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247 ADS-B Data N607SR\"/>
    </mc:Choice>
  </mc:AlternateContent>
  <bookViews>
    <workbookView xWindow="0" yWindow="0" windowWidth="23040" windowHeight="8616"/>
  </bookViews>
  <sheets>
    <sheet name="20200829_A7E2E0_43444737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U12" i="1"/>
  <c r="BB12" i="1"/>
  <c r="BW12" i="1"/>
  <c r="A13" i="1"/>
  <c r="C13" i="1"/>
  <c r="S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U62" i="1"/>
  <c r="BB62" i="1"/>
  <c r="BW62" i="1"/>
  <c r="A63" i="1"/>
  <c r="C63" i="1"/>
  <c r="S63" i="1"/>
  <c r="U63" i="1"/>
  <c r="BB63" i="1"/>
  <c r="BW63" i="1"/>
  <c r="A64" i="1"/>
  <c r="C64" i="1"/>
  <c r="S64" i="1"/>
  <c r="U64" i="1"/>
  <c r="BB64" i="1"/>
  <c r="BW64" i="1"/>
  <c r="A65" i="1"/>
  <c r="C65" i="1"/>
  <c r="S65" i="1"/>
  <c r="U65" i="1"/>
  <c r="BB65" i="1"/>
  <c r="BW65" i="1"/>
  <c r="A66" i="1"/>
  <c r="C66" i="1"/>
  <c r="S66" i="1"/>
  <c r="U66" i="1"/>
  <c r="BB66" i="1"/>
  <c r="BW66" i="1"/>
  <c r="A67" i="1"/>
  <c r="C67" i="1"/>
  <c r="S67" i="1"/>
  <c r="U67" i="1"/>
  <c r="BB67" i="1"/>
  <c r="BW67" i="1"/>
  <c r="A68" i="1"/>
  <c r="C68" i="1"/>
  <c r="S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U72" i="1"/>
  <c r="BB72" i="1"/>
  <c r="BW72" i="1"/>
  <c r="A73" i="1"/>
  <c r="C73" i="1"/>
  <c r="S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U82" i="1"/>
  <c r="BB82" i="1"/>
  <c r="BW82" i="1"/>
  <c r="A83" i="1"/>
  <c r="C83" i="1"/>
  <c r="S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U87" i="1"/>
  <c r="BB87" i="1"/>
  <c r="BW87" i="1"/>
  <c r="A88" i="1"/>
  <c r="C88" i="1"/>
  <c r="S88" i="1"/>
  <c r="U88" i="1"/>
  <c r="BB88" i="1"/>
  <c r="BW88" i="1"/>
  <c r="A89" i="1"/>
  <c r="C89" i="1"/>
  <c r="S89" i="1"/>
  <c r="U89" i="1"/>
  <c r="BB89" i="1"/>
  <c r="BW89" i="1"/>
  <c r="A90" i="1"/>
  <c r="C90" i="1"/>
  <c r="S90" i="1"/>
  <c r="U90" i="1"/>
  <c r="BB90" i="1"/>
  <c r="BW90" i="1"/>
  <c r="A91" i="1"/>
  <c r="C91" i="1"/>
  <c r="S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U97" i="1"/>
  <c r="BB97" i="1"/>
  <c r="BW97" i="1"/>
  <c r="A98" i="1"/>
  <c r="C98" i="1"/>
  <c r="S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U112" i="1"/>
  <c r="BB112" i="1"/>
  <c r="BW112" i="1"/>
  <c r="A113" i="1"/>
  <c r="C113" i="1"/>
  <c r="S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U127" i="1"/>
  <c r="BB127" i="1"/>
  <c r="BW127" i="1"/>
  <c r="A128" i="1"/>
  <c r="C128" i="1"/>
  <c r="S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U132" i="1"/>
  <c r="BB132" i="1"/>
  <c r="BW132" i="1"/>
  <c r="A133" i="1"/>
  <c r="C133" i="1"/>
  <c r="S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U164" i="1"/>
  <c r="BB164" i="1"/>
  <c r="BW164" i="1"/>
  <c r="A165" i="1"/>
  <c r="C165" i="1"/>
  <c r="S165" i="1"/>
  <c r="U165" i="1"/>
  <c r="BB165" i="1"/>
  <c r="BW165" i="1"/>
  <c r="A166" i="1"/>
  <c r="C166" i="1"/>
  <c r="S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U182" i="1"/>
  <c r="BB182" i="1"/>
  <c r="BW182" i="1"/>
  <c r="A183" i="1"/>
  <c r="C183" i="1"/>
  <c r="S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U197" i="1"/>
  <c r="BB197" i="1"/>
  <c r="BW197" i="1"/>
  <c r="A198" i="1"/>
  <c r="C198" i="1"/>
  <c r="S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U202" i="1"/>
  <c r="BB202" i="1"/>
  <c r="BW202" i="1"/>
  <c r="A203" i="1"/>
  <c r="C203" i="1"/>
  <c r="S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U207" i="1"/>
  <c r="BB207" i="1"/>
  <c r="BW207" i="1"/>
  <c r="A208" i="1"/>
  <c r="C208" i="1"/>
  <c r="S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U212" i="1"/>
  <c r="BB212" i="1"/>
  <c r="BW212" i="1"/>
  <c r="A213" i="1"/>
  <c r="C213" i="1"/>
  <c r="S213" i="1"/>
  <c r="U213" i="1"/>
  <c r="BB213" i="1"/>
  <c r="BW213" i="1"/>
  <c r="A214" i="1"/>
  <c r="C214" i="1"/>
  <c r="S214" i="1"/>
  <c r="U214" i="1"/>
  <c r="BB214" i="1"/>
  <c r="BW214" i="1"/>
  <c r="A215" i="1"/>
  <c r="C215" i="1"/>
  <c r="S215" i="1"/>
  <c r="U215" i="1"/>
  <c r="BB215" i="1"/>
  <c r="BW215" i="1"/>
  <c r="A216" i="1"/>
  <c r="C216" i="1"/>
  <c r="S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U234" i="1"/>
  <c r="BB234" i="1"/>
  <c r="BW234" i="1"/>
  <c r="A235" i="1"/>
  <c r="C235" i="1"/>
  <c r="S235" i="1"/>
  <c r="U235" i="1"/>
  <c r="BB235" i="1"/>
  <c r="BW235" i="1"/>
  <c r="A236" i="1"/>
  <c r="C236" i="1"/>
  <c r="S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U239" i="1"/>
  <c r="BB239" i="1"/>
  <c r="BW239" i="1"/>
  <c r="A240" i="1"/>
  <c r="C240" i="1"/>
  <c r="S240" i="1"/>
  <c r="U240" i="1"/>
  <c r="BB240" i="1"/>
  <c r="BW240" i="1"/>
  <c r="A241" i="1"/>
  <c r="C241" i="1"/>
  <c r="S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U275" i="1"/>
  <c r="BB275" i="1"/>
  <c r="BW275" i="1"/>
  <c r="A276" i="1"/>
  <c r="C276" i="1"/>
  <c r="S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U287" i="1"/>
  <c r="BB287" i="1"/>
  <c r="BW287" i="1"/>
  <c r="A288" i="1"/>
  <c r="C288" i="1"/>
  <c r="S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U290" i="1"/>
  <c r="BB290" i="1"/>
  <c r="BW290" i="1"/>
  <c r="A291" i="1"/>
  <c r="C291" i="1"/>
  <c r="S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U295" i="1"/>
  <c r="BB295" i="1"/>
  <c r="BW295" i="1"/>
  <c r="A296" i="1"/>
  <c r="C296" i="1"/>
  <c r="S296" i="1"/>
  <c r="U296" i="1"/>
  <c r="BB296" i="1"/>
  <c r="BW296" i="1"/>
  <c r="A297" i="1"/>
  <c r="C297" i="1"/>
  <c r="S297" i="1"/>
  <c r="U297" i="1"/>
  <c r="BB297" i="1"/>
  <c r="BW297" i="1"/>
  <c r="A298" i="1"/>
  <c r="C298" i="1"/>
  <c r="S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U307" i="1"/>
  <c r="BB307" i="1"/>
  <c r="BW307" i="1"/>
  <c r="A308" i="1"/>
  <c r="C308" i="1"/>
  <c r="S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U369" i="1"/>
  <c r="BB369" i="1"/>
  <c r="BW369" i="1"/>
  <c r="A370" i="1"/>
  <c r="C370" i="1"/>
  <c r="S370" i="1"/>
  <c r="U370" i="1"/>
  <c r="BB370" i="1"/>
  <c r="BW370" i="1"/>
  <c r="A371" i="1"/>
  <c r="C371" i="1"/>
  <c r="S371" i="1"/>
  <c r="U371" i="1"/>
  <c r="BB371" i="1"/>
  <c r="BW371" i="1"/>
  <c r="A372" i="1"/>
  <c r="C372" i="1"/>
  <c r="S372" i="1"/>
  <c r="U372" i="1"/>
  <c r="BB372" i="1"/>
  <c r="BW372" i="1"/>
  <c r="A373" i="1"/>
  <c r="C373" i="1"/>
  <c r="S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U399" i="1"/>
  <c r="BB399" i="1"/>
  <c r="BW399" i="1"/>
  <c r="A400" i="1"/>
  <c r="C400" i="1"/>
  <c r="S400" i="1"/>
  <c r="U400" i="1"/>
  <c r="BB400" i="1"/>
  <c r="BW400" i="1"/>
  <c r="A401" i="1"/>
  <c r="C401" i="1"/>
  <c r="S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U407" i="1"/>
  <c r="BB407" i="1"/>
  <c r="BW407" i="1"/>
  <c r="A408" i="1"/>
  <c r="C408" i="1"/>
  <c r="S408" i="1"/>
  <c r="U408" i="1"/>
  <c r="BB408" i="1"/>
  <c r="BW408" i="1"/>
  <c r="A409" i="1"/>
  <c r="C409" i="1"/>
  <c r="S409" i="1"/>
  <c r="U409" i="1"/>
  <c r="BB409" i="1"/>
  <c r="BW409" i="1"/>
  <c r="A410" i="1"/>
  <c r="C410" i="1"/>
  <c r="S410" i="1"/>
  <c r="U410" i="1"/>
  <c r="BB410" i="1"/>
  <c r="BW410" i="1"/>
  <c r="A411" i="1"/>
  <c r="C411" i="1"/>
  <c r="S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U424" i="1"/>
  <c r="BB424" i="1"/>
  <c r="BW424" i="1"/>
  <c r="A425" i="1"/>
  <c r="C425" i="1"/>
  <c r="S425" i="1"/>
  <c r="U425" i="1"/>
  <c r="BB425" i="1"/>
  <c r="BW425" i="1"/>
  <c r="A426" i="1"/>
  <c r="C426" i="1"/>
  <c r="S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U437" i="1"/>
  <c r="BB437" i="1"/>
  <c r="BW437" i="1"/>
  <c r="A438" i="1"/>
  <c r="C438" i="1"/>
  <c r="S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U449" i="1"/>
  <c r="BB449" i="1"/>
  <c r="BW449" i="1"/>
  <c r="A450" i="1"/>
  <c r="C450" i="1"/>
  <c r="S450" i="1"/>
  <c r="U450" i="1"/>
  <c r="BB450" i="1"/>
  <c r="BW450" i="1"/>
  <c r="A451" i="1"/>
  <c r="C451" i="1"/>
  <c r="S451" i="1"/>
  <c r="U451" i="1"/>
  <c r="BB451" i="1"/>
  <c r="BW451" i="1"/>
  <c r="A452" i="1"/>
  <c r="C452" i="1"/>
  <c r="S452" i="1"/>
  <c r="U452" i="1"/>
  <c r="BB452" i="1"/>
  <c r="BW452" i="1"/>
  <c r="A453" i="1"/>
  <c r="C453" i="1"/>
  <c r="S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U459" i="1"/>
  <c r="BB459" i="1"/>
  <c r="BW459" i="1"/>
  <c r="A460" i="1"/>
  <c r="C460" i="1"/>
  <c r="S460" i="1"/>
  <c r="U460" i="1"/>
  <c r="BB460" i="1"/>
  <c r="BW460" i="1"/>
  <c r="A461" i="1"/>
  <c r="C461" i="1"/>
  <c r="S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U464" i="1"/>
  <c r="BB464" i="1"/>
  <c r="BW464" i="1"/>
  <c r="A465" i="1"/>
  <c r="C465" i="1"/>
  <c r="S465" i="1"/>
  <c r="U465" i="1"/>
  <c r="BB465" i="1"/>
  <c r="BW465" i="1"/>
  <c r="A466" i="1"/>
  <c r="C466" i="1"/>
  <c r="S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U469" i="1"/>
  <c r="BB469" i="1"/>
  <c r="BW469" i="1"/>
  <c r="A470" i="1"/>
  <c r="C470" i="1"/>
  <c r="S470" i="1"/>
  <c r="U470" i="1"/>
  <c r="BB470" i="1"/>
  <c r="BW470" i="1"/>
  <c r="A471" i="1"/>
  <c r="C471" i="1"/>
  <c r="S471" i="1"/>
  <c r="U471" i="1"/>
  <c r="BB471" i="1"/>
  <c r="BW471" i="1"/>
  <c r="A472" i="1"/>
  <c r="C472" i="1"/>
  <c r="S472" i="1"/>
  <c r="U472" i="1"/>
  <c r="BB472" i="1"/>
  <c r="BW472" i="1"/>
  <c r="A473" i="1"/>
  <c r="C473" i="1"/>
  <c r="S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U477" i="1"/>
  <c r="BB477" i="1"/>
  <c r="BW477" i="1"/>
  <c r="A478" i="1"/>
  <c r="C478" i="1"/>
  <c r="S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U482" i="1"/>
  <c r="BB482" i="1"/>
  <c r="BW482" i="1"/>
  <c r="A483" i="1"/>
  <c r="C483" i="1"/>
  <c r="S483" i="1"/>
  <c r="U483" i="1"/>
  <c r="BB483" i="1"/>
  <c r="BW483" i="1"/>
  <c r="A484" i="1"/>
  <c r="C484" i="1"/>
  <c r="S484" i="1"/>
  <c r="U484" i="1"/>
  <c r="BB484" i="1"/>
  <c r="BW484" i="1"/>
  <c r="A485" i="1"/>
  <c r="C485" i="1"/>
  <c r="S485" i="1"/>
  <c r="U485" i="1"/>
  <c r="BB485" i="1"/>
  <c r="BW485" i="1"/>
  <c r="A486" i="1"/>
  <c r="C486" i="1"/>
  <c r="S486" i="1"/>
  <c r="U486" i="1"/>
  <c r="BB486" i="1"/>
  <c r="BW486" i="1"/>
  <c r="A487" i="1"/>
  <c r="C487" i="1"/>
  <c r="S487" i="1"/>
  <c r="U487" i="1"/>
  <c r="BB487" i="1"/>
  <c r="BW487" i="1"/>
  <c r="A488" i="1"/>
  <c r="C488" i="1"/>
  <c r="S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U497" i="1"/>
  <c r="BB497" i="1"/>
  <c r="BW497" i="1"/>
  <c r="A498" i="1"/>
  <c r="C498" i="1"/>
  <c r="S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U502" i="1"/>
  <c r="BB502" i="1"/>
  <c r="BW502" i="1"/>
  <c r="A503" i="1"/>
  <c r="C503" i="1"/>
  <c r="S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U514" i="1"/>
  <c r="BB514" i="1"/>
  <c r="BW514" i="1"/>
  <c r="A515" i="1"/>
  <c r="C515" i="1"/>
  <c r="S515" i="1"/>
  <c r="U515" i="1"/>
  <c r="BB515" i="1"/>
  <c r="BW515" i="1"/>
  <c r="A516" i="1"/>
  <c r="C516" i="1"/>
  <c r="S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U520" i="1"/>
  <c r="BB520" i="1"/>
  <c r="BW520" i="1"/>
  <c r="A521" i="1"/>
  <c r="C521" i="1"/>
  <c r="S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U540" i="1"/>
  <c r="BB540" i="1"/>
  <c r="BW540" i="1"/>
  <c r="A541" i="1"/>
  <c r="C541" i="1"/>
  <c r="S541" i="1"/>
  <c r="U541" i="1"/>
  <c r="BB541" i="1"/>
  <c r="BW541" i="1"/>
  <c r="A542" i="1"/>
  <c r="C542" i="1"/>
  <c r="S542" i="1"/>
  <c r="U542" i="1"/>
  <c r="BB542" i="1"/>
  <c r="BW542" i="1"/>
  <c r="A543" i="1"/>
  <c r="C543" i="1"/>
  <c r="S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U550" i="1"/>
  <c r="BB550" i="1"/>
  <c r="BW550" i="1"/>
  <c r="A551" i="1"/>
  <c r="C551" i="1"/>
  <c r="S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U555" i="1"/>
  <c r="BB555" i="1"/>
  <c r="BW555" i="1"/>
  <c r="A556" i="1"/>
  <c r="C556" i="1"/>
  <c r="S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U565" i="1"/>
  <c r="BB565" i="1"/>
  <c r="BW565" i="1"/>
  <c r="A566" i="1"/>
  <c r="C566" i="1"/>
  <c r="S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U580" i="1"/>
  <c r="BB580" i="1"/>
  <c r="BW580" i="1"/>
  <c r="A581" i="1"/>
  <c r="C581" i="1"/>
  <c r="S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U600" i="1"/>
  <c r="BB600" i="1"/>
  <c r="BW600" i="1"/>
  <c r="A601" i="1"/>
  <c r="C601" i="1"/>
  <c r="S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U614" i="1"/>
  <c r="BB614" i="1"/>
  <c r="BW614" i="1"/>
  <c r="A615" i="1"/>
  <c r="C615" i="1"/>
  <c r="S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U624" i="1"/>
  <c r="BB624" i="1"/>
  <c r="BW624" i="1"/>
  <c r="A625" i="1"/>
  <c r="C625" i="1"/>
  <c r="S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U640" i="1"/>
  <c r="BB640" i="1"/>
  <c r="BW640" i="1"/>
  <c r="A641" i="1"/>
  <c r="C641" i="1"/>
  <c r="S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U647" i="1"/>
  <c r="BB647" i="1"/>
  <c r="BW647" i="1"/>
  <c r="A648" i="1"/>
  <c r="C648" i="1"/>
  <c r="S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U652" i="1"/>
  <c r="BB652" i="1"/>
  <c r="BW652" i="1"/>
  <c r="A653" i="1"/>
  <c r="C653" i="1"/>
  <c r="S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U665" i="1"/>
  <c r="BB665" i="1"/>
  <c r="BW665" i="1"/>
  <c r="A666" i="1"/>
  <c r="C666" i="1"/>
  <c r="S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U694" i="1"/>
  <c r="BB694" i="1"/>
  <c r="BW694" i="1"/>
  <c r="A695" i="1"/>
  <c r="C695" i="1"/>
  <c r="S695" i="1"/>
  <c r="U695" i="1"/>
  <c r="BB695" i="1"/>
  <c r="BW695" i="1"/>
  <c r="A696" i="1"/>
  <c r="C696" i="1"/>
  <c r="S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U707" i="1"/>
  <c r="BB707" i="1"/>
  <c r="BW707" i="1"/>
  <c r="A708" i="1"/>
  <c r="C708" i="1"/>
  <c r="S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U717" i="1"/>
  <c r="BB717" i="1"/>
  <c r="BW717" i="1"/>
  <c r="A718" i="1"/>
  <c r="C718" i="1"/>
  <c r="S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U722" i="1"/>
  <c r="BB722" i="1"/>
  <c r="BW722" i="1"/>
  <c r="A723" i="1"/>
  <c r="C723" i="1"/>
  <c r="S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U725" i="1"/>
  <c r="BB725" i="1"/>
  <c r="BW725" i="1"/>
  <c r="A726" i="1"/>
  <c r="C726" i="1"/>
  <c r="S726" i="1"/>
  <c r="U726" i="1"/>
  <c r="BB726" i="1"/>
  <c r="BW726" i="1"/>
  <c r="A727" i="1"/>
  <c r="C727" i="1"/>
  <c r="S727" i="1"/>
  <c r="U727" i="1"/>
  <c r="BB727" i="1"/>
  <c r="BW727" i="1"/>
  <c r="A728" i="1"/>
  <c r="C728" i="1"/>
  <c r="S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U740" i="1"/>
  <c r="BB740" i="1"/>
  <c r="BW740" i="1"/>
  <c r="A741" i="1"/>
  <c r="C741" i="1"/>
  <c r="S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U755" i="1"/>
  <c r="BB755" i="1"/>
  <c r="BW755" i="1"/>
  <c r="A756" i="1"/>
  <c r="C756" i="1"/>
  <c r="S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U764" i="1"/>
  <c r="BB764" i="1"/>
  <c r="BW764" i="1"/>
  <c r="A765" i="1"/>
  <c r="C765" i="1"/>
  <c r="S765" i="1"/>
  <c r="U765" i="1"/>
  <c r="BB765" i="1"/>
  <c r="BW765" i="1"/>
  <c r="A766" i="1"/>
  <c r="C766" i="1"/>
  <c r="S766" i="1"/>
  <c r="U766" i="1"/>
  <c r="BB766" i="1"/>
  <c r="BW766" i="1"/>
  <c r="A767" i="1"/>
  <c r="C767" i="1"/>
  <c r="S767" i="1"/>
  <c r="U767" i="1"/>
  <c r="BB767" i="1"/>
  <c r="BW767" i="1"/>
  <c r="A768" i="1"/>
  <c r="C768" i="1"/>
  <c r="S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U772" i="1"/>
  <c r="BB772" i="1"/>
  <c r="BW772" i="1"/>
  <c r="A773" i="1"/>
  <c r="C773" i="1"/>
  <c r="S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U777" i="1"/>
  <c r="BB777" i="1"/>
  <c r="BW777" i="1"/>
  <c r="A778" i="1"/>
  <c r="C778" i="1"/>
  <c r="S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U782" i="1"/>
  <c r="BB782" i="1"/>
  <c r="BW782" i="1"/>
  <c r="A783" i="1"/>
  <c r="C783" i="1"/>
  <c r="S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U787" i="1"/>
  <c r="BB787" i="1"/>
  <c r="BW787" i="1"/>
  <c r="A788" i="1"/>
  <c r="C788" i="1"/>
  <c r="S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U802" i="1"/>
  <c r="BB802" i="1"/>
  <c r="BW802" i="1"/>
  <c r="A803" i="1"/>
  <c r="C803" i="1"/>
  <c r="S803" i="1"/>
  <c r="U803" i="1"/>
  <c r="BB803" i="1"/>
  <c r="BW803" i="1"/>
  <c r="A804" i="1"/>
  <c r="C804" i="1"/>
  <c r="S804" i="1"/>
  <c r="U804" i="1"/>
  <c r="BB804" i="1"/>
  <c r="BW804" i="1"/>
  <c r="A805" i="1"/>
  <c r="C805" i="1"/>
  <c r="S805" i="1"/>
  <c r="U805" i="1"/>
  <c r="BB805" i="1"/>
  <c r="BW805" i="1"/>
  <c r="A806" i="1"/>
  <c r="C806" i="1"/>
  <c r="S806" i="1"/>
  <c r="U806" i="1"/>
  <c r="BB806" i="1"/>
  <c r="BW806" i="1"/>
  <c r="A807" i="1"/>
  <c r="C807" i="1"/>
  <c r="S807" i="1"/>
  <c r="U807" i="1"/>
  <c r="BB807" i="1"/>
  <c r="BW807" i="1"/>
  <c r="A808" i="1"/>
  <c r="C808" i="1"/>
  <c r="S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U819" i="1"/>
  <c r="BB819" i="1"/>
  <c r="BW819" i="1"/>
  <c r="A820" i="1"/>
  <c r="C820" i="1"/>
  <c r="S820" i="1"/>
  <c r="U820" i="1"/>
  <c r="BB820" i="1"/>
  <c r="BW820" i="1"/>
  <c r="A821" i="1"/>
  <c r="C821" i="1"/>
  <c r="S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U832" i="1"/>
  <c r="BB832" i="1"/>
  <c r="BW832" i="1"/>
  <c r="A833" i="1"/>
  <c r="C833" i="1"/>
  <c r="S833" i="1"/>
  <c r="U833" i="1"/>
  <c r="BB833" i="1"/>
  <c r="BW833" i="1"/>
  <c r="A834" i="1"/>
  <c r="C834" i="1"/>
  <c r="S834" i="1"/>
  <c r="U834" i="1"/>
  <c r="BB834" i="1"/>
  <c r="BW834" i="1"/>
  <c r="A835" i="1"/>
  <c r="C835" i="1"/>
  <c r="S835" i="1"/>
  <c r="U835" i="1"/>
  <c r="BB835" i="1"/>
  <c r="BW835" i="1"/>
  <c r="A836" i="1"/>
  <c r="C836" i="1"/>
  <c r="S836" i="1"/>
  <c r="U836" i="1"/>
  <c r="BB836" i="1"/>
  <c r="BW836" i="1"/>
  <c r="A837" i="1"/>
  <c r="C837" i="1"/>
  <c r="S837" i="1"/>
  <c r="U837" i="1"/>
  <c r="BB837" i="1"/>
  <c r="BW837" i="1"/>
  <c r="A838" i="1"/>
  <c r="C838" i="1"/>
  <c r="S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U852" i="1"/>
  <c r="BB852" i="1"/>
  <c r="BW852" i="1"/>
  <c r="A853" i="1"/>
  <c r="C853" i="1"/>
  <c r="S853" i="1"/>
  <c r="U853" i="1"/>
  <c r="BB853" i="1"/>
  <c r="BW853" i="1"/>
  <c r="A854" i="1"/>
  <c r="C854" i="1"/>
  <c r="S854" i="1"/>
  <c r="U854" i="1"/>
  <c r="BB854" i="1"/>
  <c r="BW854" i="1"/>
  <c r="A855" i="1"/>
  <c r="C855" i="1"/>
  <c r="S855" i="1"/>
  <c r="U855" i="1"/>
  <c r="BB855" i="1"/>
  <c r="BW855" i="1"/>
  <c r="A856" i="1"/>
  <c r="C856" i="1"/>
  <c r="S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U859" i="1"/>
  <c r="BB859" i="1"/>
  <c r="BW859" i="1"/>
  <c r="A860" i="1"/>
  <c r="C860" i="1"/>
  <c r="S860" i="1"/>
  <c r="U860" i="1"/>
  <c r="BB860" i="1"/>
  <c r="BW860" i="1"/>
  <c r="A861" i="1"/>
  <c r="C861" i="1"/>
  <c r="S861" i="1"/>
  <c r="U861" i="1"/>
  <c r="BB861" i="1"/>
  <c r="BW861" i="1"/>
  <c r="A862" i="1"/>
  <c r="C862" i="1"/>
  <c r="S862" i="1"/>
  <c r="U862" i="1"/>
  <c r="BB862" i="1"/>
  <c r="BW862" i="1"/>
  <c r="A863" i="1"/>
  <c r="C863" i="1"/>
  <c r="S863" i="1"/>
  <c r="U863" i="1"/>
  <c r="BB863" i="1"/>
  <c r="BW863" i="1"/>
  <c r="A864" i="1"/>
  <c r="C864" i="1"/>
  <c r="S864" i="1"/>
  <c r="U864" i="1"/>
  <c r="BB864" i="1"/>
  <c r="BW864" i="1"/>
  <c r="A865" i="1"/>
  <c r="C865" i="1"/>
  <c r="S865" i="1"/>
  <c r="U865" i="1"/>
  <c r="BB865" i="1"/>
  <c r="BW865" i="1"/>
  <c r="A866" i="1"/>
  <c r="C866" i="1"/>
  <c r="S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U885" i="1"/>
  <c r="BB885" i="1"/>
  <c r="BW885" i="1"/>
  <c r="A886" i="1"/>
  <c r="C886" i="1"/>
  <c r="S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U892" i="1"/>
  <c r="BB892" i="1"/>
  <c r="BW892" i="1"/>
  <c r="A893" i="1"/>
  <c r="C893" i="1"/>
  <c r="S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U899" i="1"/>
  <c r="BB899" i="1"/>
  <c r="BW899" i="1"/>
  <c r="A900" i="1"/>
  <c r="C900" i="1"/>
  <c r="S900" i="1"/>
  <c r="U900" i="1"/>
  <c r="BB900" i="1"/>
  <c r="BW900" i="1"/>
  <c r="A901" i="1"/>
  <c r="C901" i="1"/>
  <c r="S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U904" i="1"/>
  <c r="BB904" i="1"/>
  <c r="BW904" i="1"/>
  <c r="A905" i="1"/>
  <c r="C905" i="1"/>
  <c r="S905" i="1"/>
  <c r="U905" i="1"/>
  <c r="BB905" i="1"/>
  <c r="BW905" i="1"/>
  <c r="A906" i="1"/>
  <c r="C906" i="1"/>
  <c r="S906" i="1"/>
  <c r="U906" i="1"/>
  <c r="BB906" i="1"/>
  <c r="BW906" i="1"/>
  <c r="A907" i="1"/>
  <c r="C907" i="1"/>
  <c r="S907" i="1"/>
  <c r="U907" i="1"/>
  <c r="BB907" i="1"/>
  <c r="BW907" i="1"/>
  <c r="A908" i="1"/>
  <c r="C908" i="1"/>
  <c r="S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U912" i="1"/>
  <c r="BB912" i="1"/>
  <c r="BW912" i="1"/>
  <c r="A913" i="1"/>
  <c r="C913" i="1"/>
  <c r="S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U917" i="1"/>
  <c r="BB917" i="1"/>
  <c r="BW917" i="1"/>
  <c r="A918" i="1"/>
  <c r="C918" i="1"/>
  <c r="S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U922" i="1"/>
  <c r="BB922" i="1"/>
  <c r="BW922" i="1"/>
  <c r="A923" i="1"/>
  <c r="C923" i="1"/>
  <c r="S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U927" i="1"/>
  <c r="BB927" i="1"/>
  <c r="BW927" i="1"/>
  <c r="A928" i="1"/>
  <c r="C928" i="1"/>
  <c r="S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U937" i="1"/>
  <c r="BB937" i="1"/>
  <c r="BW937" i="1"/>
  <c r="A938" i="1"/>
  <c r="C938" i="1"/>
  <c r="S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U949" i="1"/>
  <c r="BB949" i="1"/>
  <c r="BW949" i="1"/>
  <c r="A950" i="1"/>
  <c r="C950" i="1"/>
  <c r="S950" i="1"/>
  <c r="U950" i="1"/>
  <c r="BB950" i="1"/>
  <c r="BW950" i="1"/>
  <c r="A951" i="1"/>
  <c r="C951" i="1"/>
  <c r="S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U962" i="1"/>
  <c r="BB962" i="1"/>
  <c r="BW962" i="1"/>
  <c r="A963" i="1"/>
  <c r="C963" i="1"/>
  <c r="S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U990" i="1"/>
  <c r="BB990" i="1"/>
  <c r="BW990" i="1"/>
  <c r="A991" i="1"/>
  <c r="C991" i="1"/>
  <c r="S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U995" i="1"/>
  <c r="BB995" i="1"/>
  <c r="BW995" i="1"/>
  <c r="A996" i="1"/>
  <c r="C996" i="1"/>
  <c r="S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U1002" i="1"/>
  <c r="BB1002" i="1"/>
  <c r="BW1002" i="1"/>
  <c r="A1003" i="1"/>
  <c r="C1003" i="1"/>
  <c r="S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U1010" i="1"/>
  <c r="BB1010" i="1"/>
  <c r="BW1010" i="1"/>
  <c r="A1011" i="1"/>
  <c r="C1011" i="1"/>
  <c r="S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U1020" i="1"/>
  <c r="BB1020" i="1"/>
  <c r="BW1020" i="1"/>
  <c r="A1021" i="1"/>
  <c r="C1021" i="1"/>
  <c r="S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U1025" i="1"/>
  <c r="BB1025" i="1"/>
  <c r="BW1025" i="1"/>
  <c r="A1026" i="1"/>
  <c r="C1026" i="1"/>
  <c r="S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U1037" i="1"/>
  <c r="BB1037" i="1"/>
  <c r="BW1037" i="1"/>
  <c r="A1038" i="1"/>
  <c r="C1038" i="1"/>
  <c r="S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U1045" i="1"/>
  <c r="BB1045" i="1"/>
  <c r="BW1045" i="1"/>
  <c r="A1046" i="1"/>
  <c r="C1046" i="1"/>
  <c r="S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U1052" i="1"/>
  <c r="BB1052" i="1"/>
  <c r="BW1052" i="1"/>
  <c r="A1053" i="1"/>
  <c r="C1053" i="1"/>
  <c r="S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U1060" i="1"/>
  <c r="BB1060" i="1"/>
  <c r="BW1060" i="1"/>
  <c r="A1061" i="1"/>
  <c r="C1061" i="1"/>
  <c r="S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U1065" i="1"/>
  <c r="BB1065" i="1"/>
  <c r="BW1065" i="1"/>
  <c r="A1066" i="1"/>
  <c r="C1066" i="1"/>
  <c r="S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U1082" i="1"/>
  <c r="BB1082" i="1"/>
  <c r="BW1082" i="1"/>
  <c r="A1083" i="1"/>
  <c r="C1083" i="1"/>
  <c r="S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U1102" i="1"/>
  <c r="BB1102" i="1"/>
  <c r="BW1102" i="1"/>
  <c r="A1103" i="1"/>
  <c r="C1103" i="1"/>
  <c r="S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U1107" i="1"/>
  <c r="BB1107" i="1"/>
  <c r="BW1107" i="1"/>
  <c r="A1108" i="1"/>
  <c r="C1108" i="1"/>
  <c r="S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U1114" i="1"/>
  <c r="BB1114" i="1"/>
  <c r="BW1114" i="1"/>
  <c r="A1115" i="1"/>
  <c r="C1115" i="1"/>
  <c r="S1115" i="1"/>
  <c r="U1115" i="1"/>
  <c r="BB1115" i="1"/>
  <c r="BW1115" i="1"/>
  <c r="A1116" i="1"/>
  <c r="C1116" i="1"/>
  <c r="S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U1122" i="1"/>
  <c r="BB1122" i="1"/>
  <c r="BW1122" i="1"/>
  <c r="A1123" i="1"/>
  <c r="C1123" i="1"/>
  <c r="S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U1127" i="1"/>
  <c r="BB1127" i="1"/>
  <c r="BW1127" i="1"/>
  <c r="A1128" i="1"/>
  <c r="C1128" i="1"/>
  <c r="S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U1135" i="1"/>
  <c r="BB1135" i="1"/>
  <c r="BW1135" i="1"/>
  <c r="A1136" i="1"/>
  <c r="C1136" i="1"/>
  <c r="S1136" i="1"/>
  <c r="U1136" i="1"/>
  <c r="BB1136" i="1"/>
  <c r="BW1136" i="1"/>
  <c r="A1137" i="1"/>
  <c r="C1137" i="1"/>
  <c r="S1137" i="1"/>
  <c r="U1137" i="1"/>
  <c r="BB1137" i="1"/>
  <c r="BW1137" i="1"/>
  <c r="A1138" i="1"/>
  <c r="C1138" i="1"/>
  <c r="S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U1140" i="1"/>
  <c r="BB1140" i="1"/>
  <c r="BW1140" i="1"/>
  <c r="A1141" i="1"/>
  <c r="C1141" i="1"/>
  <c r="S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U1147" i="1"/>
  <c r="BB1147" i="1"/>
  <c r="BW1147" i="1"/>
  <c r="A1148" i="1"/>
  <c r="C1148" i="1"/>
  <c r="S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U1150" i="1"/>
  <c r="BB1150" i="1"/>
  <c r="BW1150" i="1"/>
  <c r="A1151" i="1"/>
  <c r="C1151" i="1"/>
  <c r="S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U1155" i="1"/>
  <c r="BB1155" i="1"/>
  <c r="BW1155" i="1"/>
  <c r="A1156" i="1"/>
  <c r="C1156" i="1"/>
  <c r="S1156" i="1"/>
  <c r="U1156" i="1"/>
  <c r="BB1156" i="1"/>
  <c r="BW1156" i="1"/>
  <c r="A1157" i="1"/>
  <c r="C1157" i="1"/>
  <c r="S1157" i="1"/>
  <c r="U1157" i="1"/>
  <c r="BB1157" i="1"/>
  <c r="BW1157" i="1"/>
  <c r="A1158" i="1"/>
  <c r="C1158" i="1"/>
  <c r="S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U1170" i="1"/>
  <c r="BB1170" i="1"/>
  <c r="BW1170" i="1"/>
  <c r="A1171" i="1"/>
  <c r="C1171" i="1"/>
  <c r="S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U1177" i="1"/>
  <c r="BB1177" i="1"/>
  <c r="BW1177" i="1"/>
  <c r="A1178" i="1"/>
  <c r="C1178" i="1"/>
  <c r="S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U1195" i="1"/>
  <c r="BB1195" i="1"/>
  <c r="BW1195" i="1"/>
  <c r="A1196" i="1"/>
  <c r="C1196" i="1"/>
  <c r="S1196" i="1"/>
  <c r="U1196" i="1"/>
  <c r="BB1196" i="1"/>
  <c r="BW1196" i="1"/>
  <c r="A1197" i="1"/>
  <c r="C1197" i="1"/>
  <c r="S1197" i="1"/>
  <c r="U1197" i="1"/>
  <c r="BB1197" i="1"/>
  <c r="BW1197" i="1"/>
  <c r="A1198" i="1"/>
  <c r="C1198" i="1"/>
  <c r="S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U1205" i="1"/>
  <c r="BB1205" i="1"/>
  <c r="BW1205" i="1"/>
  <c r="A1206" i="1"/>
  <c r="C1206" i="1"/>
  <c r="S1206" i="1"/>
  <c r="U1206" i="1"/>
  <c r="BB1206" i="1"/>
  <c r="BW1206" i="1"/>
  <c r="A1207" i="1"/>
  <c r="C1207" i="1"/>
  <c r="S1207" i="1"/>
  <c r="U1207" i="1"/>
  <c r="BB1207" i="1"/>
  <c r="BW1207" i="1"/>
  <c r="A1208" i="1"/>
  <c r="C1208" i="1"/>
  <c r="S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U1210" i="1"/>
  <c r="BB1210" i="1"/>
  <c r="BW1210" i="1"/>
  <c r="A1211" i="1"/>
  <c r="C1211" i="1"/>
  <c r="S1211" i="1"/>
  <c r="U1211" i="1"/>
  <c r="BB1211" i="1"/>
  <c r="BW1211" i="1"/>
  <c r="A1212" i="1"/>
  <c r="C1212" i="1"/>
  <c r="S1212" i="1"/>
  <c r="U1212" i="1"/>
  <c r="BB1212" i="1"/>
  <c r="BW1212" i="1"/>
  <c r="A1213" i="1"/>
  <c r="C1213" i="1"/>
  <c r="S1213" i="1"/>
  <c r="U1213" i="1"/>
  <c r="BB1213" i="1"/>
  <c r="BW1213" i="1"/>
  <c r="A1214" i="1"/>
  <c r="C1214" i="1"/>
  <c r="S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U1234" i="1"/>
  <c r="BB1234" i="1"/>
  <c r="BW1234" i="1"/>
  <c r="A1235" i="1"/>
  <c r="C1235" i="1"/>
  <c r="S1235" i="1"/>
  <c r="U1235" i="1"/>
  <c r="BB1235" i="1"/>
  <c r="BW1235" i="1"/>
  <c r="A1236" i="1"/>
  <c r="C1236" i="1"/>
  <c r="S1236" i="1"/>
  <c r="U1236" i="1"/>
  <c r="BB1236" i="1"/>
  <c r="BW1236" i="1"/>
  <c r="A1237" i="1"/>
  <c r="C1237" i="1"/>
  <c r="S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U1264" i="1"/>
  <c r="BB1264" i="1"/>
  <c r="BW1264" i="1"/>
  <c r="A1265" i="1"/>
  <c r="C1265" i="1"/>
  <c r="S1265" i="1"/>
  <c r="U1265" i="1"/>
  <c r="BB1265" i="1"/>
  <c r="BW1265" i="1"/>
  <c r="A1266" i="1"/>
  <c r="C1266" i="1"/>
  <c r="S1266" i="1"/>
  <c r="U1266" i="1"/>
  <c r="BB1266" i="1"/>
  <c r="BW1266" i="1"/>
  <c r="A1267" i="1"/>
  <c r="C1267" i="1"/>
  <c r="S1267" i="1"/>
  <c r="U1267" i="1"/>
  <c r="BB1267" i="1"/>
  <c r="BW1267" i="1"/>
  <c r="A1268" i="1"/>
  <c r="C1268" i="1"/>
  <c r="S1268" i="1"/>
  <c r="U1268" i="1"/>
  <c r="BB1268" i="1"/>
  <c r="BW1268" i="1"/>
  <c r="A1269" i="1"/>
  <c r="C1269" i="1"/>
  <c r="S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U1271" i="1"/>
  <c r="BB1271" i="1"/>
  <c r="BW1271" i="1"/>
  <c r="A1272" i="1"/>
  <c r="C1272" i="1"/>
  <c r="S1272" i="1"/>
  <c r="U1272" i="1"/>
  <c r="BB1272" i="1"/>
  <c r="BW1272" i="1"/>
  <c r="A1273" i="1"/>
  <c r="C1273" i="1"/>
  <c r="S1273" i="1"/>
  <c r="U1273" i="1"/>
  <c r="BB1273" i="1"/>
  <c r="BW1273" i="1"/>
  <c r="A1274" i="1"/>
  <c r="C1274" i="1"/>
  <c r="S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U1276" i="1"/>
  <c r="BB1276" i="1"/>
  <c r="BW1276" i="1"/>
  <c r="A1277" i="1"/>
  <c r="C1277" i="1"/>
  <c r="S1277" i="1"/>
  <c r="U1277" i="1"/>
  <c r="BB1277" i="1"/>
  <c r="BW1277" i="1"/>
  <c r="A1278" i="1"/>
  <c r="C1278" i="1"/>
  <c r="S1278" i="1"/>
  <c r="U1278" i="1"/>
  <c r="BB1278" i="1"/>
  <c r="BW1278" i="1"/>
  <c r="A1279" i="1"/>
  <c r="C1279" i="1"/>
  <c r="S1279" i="1"/>
  <c r="U1279" i="1"/>
  <c r="BB1279" i="1"/>
  <c r="BW1279" i="1"/>
  <c r="A1280" i="1"/>
  <c r="C1280" i="1"/>
  <c r="S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U1288" i="1"/>
  <c r="BB1288" i="1"/>
  <c r="BW1288" i="1"/>
  <c r="A1289" i="1"/>
  <c r="C1289" i="1"/>
  <c r="S1289" i="1"/>
  <c r="U1289" i="1"/>
  <c r="BB1289" i="1"/>
  <c r="BW1289" i="1"/>
  <c r="A1290" i="1"/>
  <c r="C1290" i="1"/>
  <c r="S1290" i="1"/>
  <c r="U1290" i="1"/>
  <c r="BB1290" i="1"/>
  <c r="BW1290" i="1"/>
  <c r="A1291" i="1"/>
  <c r="C1291" i="1"/>
  <c r="S1291" i="1"/>
  <c r="U1291" i="1"/>
  <c r="BB1291" i="1"/>
  <c r="BW1291" i="1"/>
  <c r="A1292" i="1"/>
  <c r="C1292" i="1"/>
  <c r="S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U1315" i="1"/>
  <c r="BB1315" i="1"/>
  <c r="BW1315" i="1"/>
  <c r="A1316" i="1"/>
  <c r="C1316" i="1"/>
  <c r="S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U1318" i="1"/>
  <c r="BB1318" i="1"/>
  <c r="BW1318" i="1"/>
  <c r="A1319" i="1"/>
  <c r="C1319" i="1"/>
  <c r="S1319" i="1"/>
  <c r="U1319" i="1"/>
  <c r="BB1319" i="1"/>
  <c r="BW1319" i="1"/>
  <c r="A1320" i="1"/>
  <c r="C1320" i="1"/>
  <c r="S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U1322" i="1"/>
  <c r="BB1322" i="1"/>
  <c r="BW1322" i="1"/>
  <c r="A1323" i="1"/>
  <c r="C1323" i="1"/>
  <c r="S1323" i="1"/>
  <c r="U1323" i="1"/>
  <c r="BB1323" i="1"/>
  <c r="BW1323" i="1"/>
  <c r="A1324" i="1"/>
  <c r="C1324" i="1"/>
  <c r="S1324" i="1"/>
  <c r="U1324" i="1"/>
  <c r="BB1324" i="1"/>
  <c r="BW1324" i="1"/>
  <c r="A1325" i="1"/>
  <c r="C1325" i="1"/>
  <c r="S1325" i="1"/>
  <c r="U1325" i="1"/>
  <c r="BB1325" i="1"/>
  <c r="BW1325" i="1"/>
  <c r="A1326" i="1"/>
  <c r="C1326" i="1"/>
  <c r="S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U1339" i="1"/>
  <c r="BB1339" i="1"/>
  <c r="BW1339" i="1"/>
  <c r="A1340" i="1"/>
  <c r="C1340" i="1"/>
  <c r="S1340" i="1"/>
  <c r="U1340" i="1"/>
  <c r="BB1340" i="1"/>
  <c r="BW1340" i="1"/>
  <c r="A1341" i="1"/>
  <c r="C1341" i="1"/>
  <c r="S1341" i="1"/>
  <c r="U1341" i="1"/>
  <c r="BB1341" i="1"/>
  <c r="BW1341" i="1"/>
  <c r="A1342" i="1"/>
  <c r="C1342" i="1"/>
  <c r="S1342" i="1"/>
  <c r="U1342" i="1"/>
  <c r="BB1342" i="1"/>
  <c r="BW1342" i="1"/>
  <c r="A1343" i="1"/>
  <c r="C1343" i="1"/>
  <c r="S1343" i="1"/>
  <c r="U1343" i="1"/>
  <c r="BB1343" i="1"/>
  <c r="BW1343" i="1"/>
  <c r="A1344" i="1"/>
  <c r="C1344" i="1"/>
  <c r="S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U1346" i="1"/>
  <c r="BB1346" i="1"/>
  <c r="BW1346" i="1"/>
  <c r="A1347" i="1"/>
  <c r="C1347" i="1"/>
  <c r="S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U1349" i="1"/>
  <c r="BB1349" i="1"/>
  <c r="BW1349" i="1"/>
  <c r="A1350" i="1"/>
  <c r="C1350" i="1"/>
  <c r="S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U1358" i="1"/>
  <c r="BB1358" i="1"/>
  <c r="BW1358" i="1"/>
  <c r="A1359" i="1"/>
  <c r="C1359" i="1"/>
  <c r="S1359" i="1"/>
  <c r="U1359" i="1"/>
  <c r="BB1359" i="1"/>
  <c r="BW1359" i="1"/>
  <c r="A1360" i="1"/>
  <c r="C1360" i="1"/>
  <c r="S1360" i="1"/>
  <c r="U1360" i="1"/>
  <c r="BB1360" i="1"/>
  <c r="BW1360" i="1"/>
  <c r="A1361" i="1"/>
  <c r="C1361" i="1"/>
  <c r="S1361" i="1"/>
  <c r="U1361" i="1"/>
  <c r="BB1361" i="1"/>
  <c r="BW1361" i="1"/>
  <c r="A1362" i="1"/>
  <c r="C1362" i="1"/>
  <c r="S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U1369" i="1"/>
  <c r="BB1369" i="1"/>
  <c r="BW1369" i="1"/>
  <c r="A1370" i="1"/>
  <c r="C1370" i="1"/>
  <c r="S1370" i="1"/>
  <c r="U1370" i="1"/>
  <c r="BB1370" i="1"/>
  <c r="BW1370" i="1"/>
  <c r="A1371" i="1"/>
  <c r="C1371" i="1"/>
  <c r="S1371" i="1"/>
  <c r="U1371" i="1"/>
  <c r="BB1371" i="1"/>
  <c r="BW1371" i="1"/>
  <c r="A1372" i="1"/>
  <c r="C1372" i="1"/>
  <c r="S1372" i="1"/>
  <c r="U1372" i="1"/>
  <c r="BB1372" i="1"/>
  <c r="BW1372" i="1"/>
  <c r="A1373" i="1"/>
  <c r="C1373" i="1"/>
  <c r="S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U1375" i="1"/>
  <c r="BB1375" i="1"/>
  <c r="BW1375" i="1"/>
  <c r="A1376" i="1"/>
  <c r="C1376" i="1"/>
  <c r="S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U1378" i="1"/>
  <c r="BB1378" i="1"/>
  <c r="BW1378" i="1"/>
  <c r="A1379" i="1"/>
  <c r="C1379" i="1"/>
  <c r="S1379" i="1"/>
  <c r="U1379" i="1"/>
  <c r="BB1379" i="1"/>
  <c r="BW1379" i="1"/>
  <c r="A1380" i="1"/>
  <c r="C1380" i="1"/>
  <c r="S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U1388" i="1"/>
  <c r="BB1388" i="1"/>
  <c r="BW1388" i="1"/>
  <c r="A1389" i="1"/>
  <c r="C1389" i="1"/>
  <c r="S1389" i="1"/>
  <c r="U1389" i="1"/>
  <c r="BB1389" i="1"/>
  <c r="BW1389" i="1"/>
  <c r="A1390" i="1"/>
  <c r="C1390" i="1"/>
  <c r="S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U1394" i="1"/>
  <c r="BB1394" i="1"/>
  <c r="BW1394" i="1"/>
  <c r="A1395" i="1"/>
  <c r="C1395" i="1"/>
  <c r="S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U1397" i="1"/>
  <c r="BB1397" i="1"/>
  <c r="BW1397" i="1"/>
  <c r="A1398" i="1"/>
  <c r="C1398" i="1"/>
  <c r="S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U1400" i="1"/>
  <c r="BB1400" i="1"/>
  <c r="BW1400" i="1"/>
  <c r="A1401" i="1"/>
  <c r="C1401" i="1"/>
  <c r="S1401" i="1"/>
  <c r="U1401" i="1"/>
  <c r="BB1401" i="1"/>
  <c r="BW1401" i="1"/>
  <c r="A1402" i="1"/>
  <c r="C1402" i="1"/>
  <c r="S1402" i="1"/>
  <c r="U1402" i="1"/>
  <c r="BB1402" i="1"/>
  <c r="BW1402" i="1"/>
  <c r="A1403" i="1"/>
  <c r="C1403" i="1"/>
  <c r="S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U1429" i="1"/>
  <c r="BB1429" i="1"/>
  <c r="BW1429" i="1"/>
  <c r="A1430" i="1"/>
  <c r="C1430" i="1"/>
  <c r="S1430" i="1"/>
  <c r="U1430" i="1"/>
  <c r="BB1430" i="1"/>
  <c r="BW1430" i="1"/>
  <c r="A1431" i="1"/>
  <c r="C1431" i="1"/>
  <c r="S1431" i="1"/>
  <c r="U1431" i="1"/>
  <c r="BB1431" i="1"/>
  <c r="BW1431" i="1"/>
  <c r="A1432" i="1"/>
  <c r="C1432" i="1"/>
  <c r="S1432" i="1"/>
  <c r="U1432" i="1"/>
  <c r="BB1432" i="1"/>
  <c r="BW1432" i="1"/>
  <c r="A1433" i="1"/>
  <c r="C1433" i="1"/>
  <c r="S1433" i="1"/>
  <c r="U1433" i="1"/>
  <c r="BB1433" i="1"/>
  <c r="BW1433" i="1"/>
  <c r="A1434" i="1"/>
  <c r="C1434" i="1"/>
  <c r="S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U1483" i="1"/>
  <c r="BB1483" i="1"/>
  <c r="BW1483" i="1"/>
  <c r="A1484" i="1"/>
  <c r="C1484" i="1"/>
  <c r="S1484" i="1"/>
  <c r="U1484" i="1"/>
  <c r="BB1484" i="1"/>
  <c r="BW1484" i="1"/>
  <c r="A1485" i="1"/>
  <c r="C1485" i="1"/>
  <c r="S1485" i="1"/>
  <c r="U1485" i="1"/>
  <c r="BB1485" i="1"/>
  <c r="BW1485" i="1"/>
  <c r="A1486" i="1"/>
  <c r="C1486" i="1"/>
  <c r="S1486" i="1"/>
  <c r="U1486" i="1"/>
  <c r="BB1486" i="1"/>
  <c r="BW1486" i="1"/>
  <c r="A1487" i="1"/>
  <c r="C1487" i="1"/>
  <c r="S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U1502" i="1"/>
  <c r="BB1502" i="1"/>
  <c r="BW1502" i="1"/>
  <c r="A1503" i="1"/>
  <c r="C1503" i="1"/>
  <c r="S1503" i="1"/>
  <c r="U1503" i="1"/>
  <c r="BB1503" i="1"/>
  <c r="BW1503" i="1"/>
  <c r="A1504" i="1"/>
  <c r="C1504" i="1"/>
  <c r="S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U1556" i="1"/>
  <c r="BB1556" i="1"/>
  <c r="BW1556" i="1"/>
  <c r="A1557" i="1"/>
  <c r="C1557" i="1"/>
  <c r="S1557" i="1"/>
  <c r="U1557" i="1"/>
  <c r="BB1557" i="1"/>
  <c r="BW1557" i="1"/>
  <c r="A1558" i="1"/>
  <c r="C1558" i="1"/>
  <c r="S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U1560" i="1"/>
  <c r="BB1560" i="1"/>
  <c r="BW1560" i="1"/>
  <c r="A1561" i="1"/>
  <c r="C1561" i="1"/>
  <c r="S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U1563" i="1"/>
  <c r="BB1563" i="1"/>
  <c r="BW1563" i="1"/>
  <c r="A1564" i="1"/>
  <c r="C1564" i="1"/>
  <c r="S1564" i="1"/>
  <c r="U1564" i="1"/>
  <c r="BB1564" i="1"/>
  <c r="BW1564" i="1"/>
  <c r="A1565" i="1"/>
  <c r="C1565" i="1"/>
  <c r="S1565" i="1"/>
  <c r="U1565" i="1"/>
  <c r="BB1565" i="1"/>
  <c r="BW1565" i="1"/>
  <c r="A1566" i="1"/>
  <c r="C1566" i="1"/>
  <c r="S1566" i="1"/>
  <c r="U1566" i="1"/>
  <c r="BB1566" i="1"/>
  <c r="BW1566" i="1"/>
  <c r="A1567" i="1"/>
  <c r="C1567" i="1"/>
  <c r="S1567" i="1"/>
  <c r="U1567" i="1"/>
  <c r="BB1567" i="1"/>
  <c r="BW1567" i="1"/>
  <c r="A1568" i="1"/>
  <c r="C1568" i="1"/>
  <c r="S1568" i="1"/>
  <c r="U1568" i="1"/>
  <c r="BB1568" i="1"/>
  <c r="BW1568" i="1"/>
  <c r="A1569" i="1"/>
  <c r="C1569" i="1"/>
  <c r="S1569" i="1"/>
  <c r="U1569" i="1"/>
  <c r="BB1569" i="1"/>
  <c r="BW1569" i="1"/>
  <c r="A1570" i="1"/>
  <c r="C1570" i="1"/>
  <c r="S1570" i="1"/>
  <c r="U1570" i="1"/>
  <c r="BB1570" i="1"/>
  <c r="BW1570" i="1"/>
  <c r="A1571" i="1"/>
  <c r="C1571" i="1"/>
  <c r="S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U1576" i="1"/>
  <c r="BB1576" i="1"/>
  <c r="BW1576" i="1"/>
  <c r="A1577" i="1"/>
  <c r="C1577" i="1"/>
  <c r="S1577" i="1"/>
  <c r="U1577" i="1"/>
  <c r="BB1577" i="1"/>
  <c r="BW1577" i="1"/>
  <c r="A1578" i="1"/>
  <c r="C1578" i="1"/>
  <c r="S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U1580" i="1"/>
  <c r="BB1580" i="1"/>
  <c r="BW1580" i="1"/>
  <c r="A1581" i="1"/>
  <c r="C1581" i="1"/>
  <c r="S1581" i="1"/>
  <c r="U1581" i="1"/>
  <c r="BB1581" i="1"/>
  <c r="BW1581" i="1"/>
  <c r="A1582" i="1"/>
  <c r="C1582" i="1"/>
  <c r="S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U1605" i="1"/>
  <c r="BB1605" i="1"/>
  <c r="BW1605" i="1"/>
  <c r="A1606" i="1"/>
  <c r="C1606" i="1"/>
  <c r="S1606" i="1"/>
  <c r="U1606" i="1"/>
  <c r="BB1606" i="1"/>
  <c r="BW1606" i="1"/>
  <c r="A1607" i="1"/>
  <c r="C1607" i="1"/>
  <c r="S1607" i="1"/>
  <c r="U1607" i="1"/>
  <c r="BB1607" i="1"/>
  <c r="BW1607" i="1"/>
  <c r="A1608" i="1"/>
  <c r="C1608" i="1"/>
  <c r="S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U1663" i="1"/>
  <c r="BB1663" i="1"/>
  <c r="BW1663" i="1"/>
  <c r="A1664" i="1"/>
  <c r="C1664" i="1"/>
  <c r="S1664" i="1"/>
  <c r="U1664" i="1"/>
  <c r="BB1664" i="1"/>
  <c r="BW1664" i="1"/>
  <c r="A1665" i="1"/>
  <c r="C1665" i="1"/>
  <c r="S1665" i="1"/>
  <c r="U1665" i="1"/>
  <c r="BB1665" i="1"/>
  <c r="BW1665" i="1"/>
  <c r="A1666" i="1"/>
  <c r="C1666" i="1"/>
  <c r="S1666" i="1"/>
  <c r="U1666" i="1"/>
  <c r="BB1666" i="1"/>
  <c r="BW1666" i="1"/>
  <c r="A1667" i="1"/>
  <c r="C1667" i="1"/>
  <c r="S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U1677" i="1"/>
  <c r="BB1677" i="1"/>
  <c r="BW1677" i="1"/>
  <c r="A1678" i="1"/>
  <c r="C1678" i="1"/>
  <c r="S1678" i="1"/>
  <c r="U1678" i="1"/>
  <c r="BB1678" i="1"/>
  <c r="BW1678" i="1"/>
  <c r="A1679" i="1"/>
  <c r="C1679" i="1"/>
  <c r="S1679" i="1"/>
  <c r="U1679" i="1"/>
  <c r="BB1679" i="1"/>
  <c r="BW1679" i="1"/>
  <c r="A1680" i="1"/>
  <c r="C1680" i="1"/>
  <c r="S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U1723" i="1"/>
  <c r="BB1723" i="1"/>
  <c r="BW1723" i="1"/>
  <c r="A1724" i="1"/>
  <c r="C1724" i="1"/>
  <c r="S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U1726" i="1"/>
  <c r="BB1726" i="1"/>
  <c r="BW1726" i="1"/>
  <c r="A1727" i="1"/>
  <c r="C1727" i="1"/>
  <c r="S1727" i="1"/>
  <c r="U1727" i="1"/>
  <c r="BB1727" i="1"/>
  <c r="BW1727" i="1"/>
  <c r="A1728" i="1"/>
  <c r="C1728" i="1"/>
  <c r="S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U1753" i="1"/>
  <c r="BB1753" i="1"/>
  <c r="BW1753" i="1"/>
  <c r="A1754" i="1"/>
  <c r="C1754" i="1"/>
  <c r="S1754" i="1"/>
  <c r="U1754" i="1"/>
  <c r="BB1754" i="1"/>
  <c r="BW1754" i="1"/>
  <c r="A1755" i="1"/>
  <c r="C1755" i="1"/>
  <c r="S1755" i="1"/>
  <c r="U1755" i="1"/>
  <c r="BB1755" i="1"/>
  <c r="BW1755" i="1"/>
  <c r="A1756" i="1"/>
  <c r="C1756" i="1"/>
  <c r="S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U1802" i="1"/>
  <c r="BB1802" i="1"/>
  <c r="BW1802" i="1"/>
  <c r="A1803" i="1"/>
  <c r="C1803" i="1"/>
  <c r="S1803" i="1"/>
  <c r="U1803" i="1"/>
  <c r="BB1803" i="1"/>
  <c r="BW1803" i="1"/>
  <c r="A1804" i="1"/>
  <c r="C1804" i="1"/>
  <c r="S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U1826" i="1"/>
  <c r="BB1826" i="1"/>
  <c r="BW1826" i="1"/>
  <c r="A1827" i="1"/>
  <c r="C1827" i="1"/>
  <c r="S1827" i="1"/>
  <c r="U1827" i="1"/>
  <c r="BB1827" i="1"/>
  <c r="BW1827" i="1"/>
  <c r="A1828" i="1"/>
  <c r="C1828" i="1"/>
  <c r="S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U1898" i="1"/>
  <c r="BB1898" i="1"/>
  <c r="BW1898" i="1"/>
  <c r="A1899" i="1"/>
  <c r="C1899" i="1"/>
  <c r="S1899" i="1"/>
  <c r="U1899" i="1"/>
  <c r="BB1899" i="1"/>
  <c r="BW1899" i="1"/>
  <c r="A1900" i="1"/>
  <c r="C1900" i="1"/>
  <c r="S1900" i="1"/>
  <c r="U1900" i="1"/>
  <c r="BB1900" i="1"/>
  <c r="BW1900" i="1"/>
  <c r="A1901" i="1"/>
  <c r="C1901" i="1"/>
  <c r="S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U1904" i="1"/>
  <c r="BB1904" i="1"/>
  <c r="BW1904" i="1"/>
  <c r="A1905" i="1"/>
  <c r="C1905" i="1"/>
  <c r="S1905" i="1"/>
  <c r="U1905" i="1"/>
  <c r="BB1905" i="1"/>
  <c r="BW1905" i="1"/>
  <c r="A1906" i="1"/>
  <c r="C1906" i="1"/>
  <c r="S1906" i="1"/>
  <c r="U1906" i="1"/>
  <c r="BB1906" i="1"/>
  <c r="BW1906" i="1"/>
  <c r="A1907" i="1"/>
  <c r="C1907" i="1"/>
  <c r="S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U1916" i="1"/>
  <c r="BB1916" i="1"/>
  <c r="BW1916" i="1"/>
  <c r="A1917" i="1"/>
  <c r="C1917" i="1"/>
  <c r="S1917" i="1"/>
  <c r="U1917" i="1"/>
  <c r="BB1917" i="1"/>
  <c r="BW1917" i="1"/>
  <c r="A1918" i="1"/>
  <c r="C1918" i="1"/>
  <c r="S1918" i="1"/>
  <c r="U1918" i="1"/>
  <c r="BB1918" i="1"/>
  <c r="BW1918" i="1"/>
  <c r="A1919" i="1"/>
  <c r="C1919" i="1"/>
  <c r="S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U1929" i="1"/>
  <c r="BB1929" i="1"/>
  <c r="BW1929" i="1"/>
  <c r="A1930" i="1"/>
  <c r="C1930" i="1"/>
  <c r="S1930" i="1"/>
  <c r="U1930" i="1"/>
  <c r="BB1930" i="1"/>
  <c r="BW1930" i="1"/>
  <c r="A1931" i="1"/>
  <c r="C1931" i="1"/>
  <c r="S1931" i="1"/>
  <c r="U1931" i="1"/>
  <c r="BB1931" i="1"/>
  <c r="BW1931" i="1"/>
  <c r="A1932" i="1"/>
  <c r="C1932" i="1"/>
  <c r="S1932" i="1"/>
  <c r="U1932" i="1"/>
  <c r="BB1932" i="1"/>
  <c r="BW1932" i="1"/>
  <c r="A1933" i="1"/>
  <c r="C1933" i="1"/>
  <c r="S1933" i="1"/>
  <c r="U1933" i="1"/>
  <c r="BB1933" i="1"/>
  <c r="BW1933" i="1"/>
  <c r="A1934" i="1"/>
  <c r="C1934" i="1"/>
  <c r="S1934" i="1"/>
  <c r="U1934" i="1"/>
  <c r="BB1934" i="1"/>
  <c r="BW1934" i="1"/>
  <c r="A1935" i="1"/>
  <c r="C1935" i="1"/>
  <c r="S1935" i="1"/>
  <c r="U1935" i="1"/>
  <c r="BB1935" i="1"/>
  <c r="BW1935" i="1"/>
  <c r="A1936" i="1"/>
  <c r="C1936" i="1"/>
  <c r="S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U1951" i="1"/>
  <c r="BB1951" i="1"/>
  <c r="BW1951" i="1"/>
  <c r="A1952" i="1"/>
  <c r="C1952" i="1"/>
  <c r="S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U1954" i="1"/>
  <c r="BB1954" i="1"/>
  <c r="BW1954" i="1"/>
  <c r="A1955" i="1"/>
  <c r="C1955" i="1"/>
  <c r="S1955" i="1"/>
  <c r="U1955" i="1"/>
  <c r="BB1955" i="1"/>
  <c r="BW1955" i="1"/>
  <c r="A1956" i="1"/>
  <c r="C1956" i="1"/>
  <c r="S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U1958" i="1"/>
  <c r="BB1958" i="1"/>
  <c r="BW1958" i="1"/>
  <c r="A1959" i="1"/>
  <c r="C1959" i="1"/>
  <c r="S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U1961" i="1"/>
  <c r="BB1961" i="1"/>
  <c r="BW1961" i="1"/>
  <c r="A1962" i="1"/>
  <c r="C1962" i="1"/>
  <c r="S1962" i="1"/>
  <c r="U1962" i="1"/>
  <c r="BB1962" i="1"/>
  <c r="BW1962" i="1"/>
  <c r="A1963" i="1"/>
  <c r="C1963" i="1"/>
  <c r="S1963" i="1"/>
  <c r="U1963" i="1"/>
  <c r="BB1963" i="1"/>
  <c r="BW1963" i="1"/>
  <c r="A1964" i="1"/>
  <c r="C1964" i="1"/>
  <c r="S1964" i="1"/>
  <c r="U1964" i="1"/>
  <c r="BB1964" i="1"/>
  <c r="BW1964" i="1"/>
  <c r="A1965" i="1"/>
  <c r="C1965" i="1"/>
  <c r="S1965" i="1"/>
  <c r="U1965" i="1"/>
  <c r="BB1965" i="1"/>
  <c r="BW1965" i="1"/>
  <c r="A1966" i="1"/>
  <c r="C1966" i="1"/>
  <c r="S1966" i="1"/>
  <c r="U1966" i="1"/>
  <c r="BB1966" i="1"/>
  <c r="BW1966" i="1"/>
  <c r="A1967" i="1"/>
  <c r="C1967" i="1"/>
  <c r="S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U2000" i="1"/>
  <c r="BB2000" i="1"/>
  <c r="BW2000" i="1"/>
  <c r="A2001" i="1"/>
  <c r="C2001" i="1"/>
  <c r="S2001" i="1"/>
  <c r="U2001" i="1"/>
  <c r="BB2001" i="1"/>
  <c r="BW2001" i="1"/>
  <c r="A2002" i="1"/>
  <c r="C2002" i="1"/>
  <c r="S2002" i="1"/>
  <c r="U2002" i="1"/>
  <c r="BB2002" i="1"/>
  <c r="BW2002" i="1"/>
  <c r="A2003" i="1"/>
  <c r="C2003" i="1"/>
  <c r="S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U2005" i="1"/>
  <c r="BB2005" i="1"/>
  <c r="BW2005" i="1"/>
  <c r="A2006" i="1"/>
  <c r="C2006" i="1"/>
  <c r="S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U2008" i="1"/>
  <c r="BB2008" i="1"/>
  <c r="BW2008" i="1"/>
  <c r="A2009" i="1"/>
  <c r="C2009" i="1"/>
  <c r="S2009" i="1"/>
  <c r="U2009" i="1"/>
  <c r="BB2009" i="1"/>
  <c r="BW2009" i="1"/>
  <c r="A2010" i="1"/>
  <c r="C2010" i="1"/>
  <c r="S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U2012" i="1"/>
  <c r="BB2012" i="1"/>
  <c r="BW2012" i="1"/>
  <c r="A2013" i="1"/>
  <c r="C2013" i="1"/>
  <c r="S2013" i="1"/>
  <c r="U2013" i="1"/>
  <c r="BB2013" i="1"/>
  <c r="BW2013" i="1"/>
  <c r="A2014" i="1"/>
  <c r="C2014" i="1"/>
  <c r="S2014" i="1"/>
  <c r="U2014" i="1"/>
  <c r="BB2014" i="1"/>
  <c r="BW2014" i="1"/>
  <c r="A2015" i="1"/>
  <c r="C2015" i="1"/>
  <c r="S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U2035" i="1"/>
  <c r="BB2035" i="1"/>
  <c r="BW2035" i="1"/>
  <c r="A2036" i="1"/>
  <c r="C2036" i="1"/>
  <c r="S2036" i="1"/>
  <c r="U2036" i="1"/>
  <c r="BB2036" i="1"/>
  <c r="BW2036" i="1"/>
  <c r="A2037" i="1"/>
  <c r="C2037" i="1"/>
  <c r="S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U2047" i="1"/>
  <c r="BB2047" i="1"/>
  <c r="BW2047" i="1"/>
  <c r="A2048" i="1"/>
  <c r="C2048" i="1"/>
  <c r="S2048" i="1"/>
  <c r="U2048" i="1"/>
  <c r="BB2048" i="1"/>
  <c r="BW2048" i="1"/>
  <c r="A2049" i="1"/>
  <c r="C2049" i="1"/>
  <c r="S2049" i="1"/>
  <c r="U2049" i="1"/>
  <c r="BB2049" i="1"/>
  <c r="BW2049" i="1"/>
  <c r="A2050" i="1"/>
  <c r="C2050" i="1"/>
  <c r="S2050" i="1"/>
  <c r="U2050" i="1"/>
  <c r="BB2050" i="1"/>
  <c r="BW2050" i="1"/>
  <c r="A2051" i="1"/>
  <c r="C2051" i="1"/>
  <c r="S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U2054" i="1"/>
  <c r="BB2054" i="1"/>
  <c r="BW2054" i="1"/>
  <c r="A2055" i="1"/>
  <c r="C2055" i="1"/>
  <c r="S2055" i="1"/>
  <c r="U2055" i="1"/>
  <c r="BB2055" i="1"/>
  <c r="BW2055" i="1"/>
  <c r="A2056" i="1"/>
  <c r="C2056" i="1"/>
  <c r="S2056" i="1"/>
  <c r="U2056" i="1"/>
  <c r="BB2056" i="1"/>
  <c r="BW2056" i="1"/>
  <c r="A2057" i="1"/>
  <c r="C2057" i="1"/>
  <c r="S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U2059" i="1"/>
  <c r="BB2059" i="1"/>
  <c r="BW2059" i="1"/>
  <c r="A2060" i="1"/>
  <c r="C2060" i="1"/>
  <c r="S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U2062" i="1"/>
  <c r="BB2062" i="1"/>
  <c r="BW2062" i="1"/>
  <c r="A2063" i="1"/>
  <c r="C2063" i="1"/>
  <c r="S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U2071" i="1"/>
  <c r="BB2071" i="1"/>
  <c r="BW2071" i="1"/>
  <c r="A2072" i="1"/>
  <c r="C2072" i="1"/>
  <c r="S2072" i="1"/>
  <c r="U2072" i="1"/>
  <c r="BB2072" i="1"/>
  <c r="BW2072" i="1"/>
  <c r="A2073" i="1"/>
  <c r="C2073" i="1"/>
  <c r="S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U2148" i="1"/>
  <c r="BB2148" i="1"/>
  <c r="BW2148" i="1"/>
  <c r="A2149" i="1"/>
  <c r="C2149" i="1"/>
  <c r="S2149" i="1"/>
  <c r="U2149" i="1"/>
  <c r="BB2149" i="1"/>
  <c r="BW2149" i="1"/>
  <c r="A2150" i="1"/>
  <c r="C2150" i="1"/>
  <c r="S2150" i="1"/>
  <c r="U2150" i="1"/>
  <c r="BB2150" i="1"/>
  <c r="BW2150" i="1"/>
  <c r="A2151" i="1"/>
  <c r="C2151" i="1"/>
  <c r="S2151" i="1"/>
  <c r="U2151" i="1"/>
  <c r="BB2151" i="1"/>
  <c r="BW2151" i="1"/>
  <c r="A2152" i="1"/>
  <c r="C2152" i="1"/>
  <c r="S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U2159" i="1"/>
  <c r="BB2159" i="1"/>
  <c r="BW2159" i="1"/>
  <c r="A2160" i="1"/>
  <c r="C2160" i="1"/>
  <c r="S2160" i="1"/>
  <c r="U2160" i="1"/>
  <c r="BB2160" i="1"/>
  <c r="BW2160" i="1"/>
  <c r="A2161" i="1"/>
  <c r="C2161" i="1"/>
  <c r="S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U2163" i="1"/>
  <c r="BB2163" i="1"/>
  <c r="BW2163" i="1"/>
  <c r="A2164" i="1"/>
  <c r="C2164" i="1"/>
  <c r="S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U2179" i="1"/>
  <c r="BB2179" i="1"/>
  <c r="BW2179" i="1"/>
  <c r="A2180" i="1"/>
  <c r="C2180" i="1"/>
  <c r="S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U2182" i="1"/>
  <c r="BB2182" i="1"/>
  <c r="BW2182" i="1"/>
  <c r="A2183" i="1"/>
  <c r="C2183" i="1"/>
  <c r="S2183" i="1"/>
  <c r="U2183" i="1"/>
  <c r="BB2183" i="1"/>
  <c r="BW2183" i="1"/>
  <c r="A2184" i="1"/>
  <c r="C2184" i="1"/>
  <c r="S2184" i="1"/>
  <c r="U2184" i="1"/>
  <c r="BB2184" i="1"/>
  <c r="BW2184" i="1"/>
  <c r="A2185" i="1"/>
  <c r="C2185" i="1"/>
  <c r="S2185" i="1"/>
  <c r="U2185" i="1"/>
  <c r="BB2185" i="1"/>
  <c r="BW2185" i="1"/>
  <c r="A2186" i="1"/>
  <c r="C2186" i="1"/>
  <c r="S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U2188" i="1"/>
  <c r="BB2188" i="1"/>
  <c r="BW2188" i="1"/>
  <c r="A2189" i="1"/>
  <c r="C2189" i="1"/>
  <c r="S2189" i="1"/>
  <c r="U2189" i="1"/>
  <c r="BB2189" i="1"/>
  <c r="BW2189" i="1"/>
  <c r="A2190" i="1"/>
  <c r="C2190" i="1"/>
  <c r="S2190" i="1"/>
  <c r="U2190" i="1"/>
  <c r="BB2190" i="1"/>
  <c r="BW2190" i="1"/>
  <c r="A2191" i="1"/>
  <c r="C2191" i="1"/>
  <c r="S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U2193" i="1"/>
  <c r="BB2193" i="1"/>
  <c r="BW2193" i="1"/>
  <c r="A2194" i="1"/>
  <c r="C2194" i="1"/>
  <c r="S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U2219" i="1"/>
  <c r="BB2219" i="1"/>
  <c r="BW2219" i="1"/>
  <c r="A2220" i="1"/>
  <c r="C2220" i="1"/>
  <c r="S2220" i="1"/>
  <c r="U2220" i="1"/>
  <c r="BB2220" i="1"/>
  <c r="BW2220" i="1"/>
  <c r="A2221" i="1"/>
  <c r="C2221" i="1"/>
  <c r="S2221" i="1"/>
  <c r="U2221" i="1"/>
  <c r="BB2221" i="1"/>
  <c r="BW2221" i="1"/>
  <c r="A2222" i="1"/>
  <c r="C2222" i="1"/>
  <c r="S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U2285" i="1"/>
  <c r="BB2285" i="1"/>
  <c r="BW2285" i="1"/>
  <c r="A2286" i="1"/>
  <c r="C2286" i="1"/>
  <c r="S2286" i="1"/>
  <c r="U2286" i="1"/>
  <c r="BB2286" i="1"/>
  <c r="BW2286" i="1"/>
  <c r="A2287" i="1"/>
  <c r="C2287" i="1"/>
  <c r="S2287" i="1"/>
  <c r="U2287" i="1"/>
  <c r="BB2287" i="1"/>
  <c r="BW2287" i="1"/>
  <c r="A2288" i="1"/>
  <c r="C2288" i="1"/>
  <c r="S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U2291" i="1"/>
  <c r="BB2291" i="1"/>
  <c r="BW2291" i="1"/>
  <c r="A2292" i="1"/>
  <c r="C2292" i="1"/>
  <c r="S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U2294" i="1"/>
  <c r="BB2294" i="1"/>
  <c r="BW2294" i="1"/>
  <c r="A2295" i="1"/>
  <c r="C2295" i="1"/>
  <c r="S2295" i="1"/>
  <c r="U2295" i="1"/>
  <c r="BB2295" i="1"/>
  <c r="BW2295" i="1"/>
  <c r="A2296" i="1"/>
  <c r="C2296" i="1"/>
  <c r="S2296" i="1"/>
  <c r="U2296" i="1"/>
  <c r="BB2296" i="1"/>
  <c r="BW2296" i="1"/>
  <c r="A2297" i="1"/>
  <c r="C2297" i="1"/>
  <c r="S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U2299" i="1"/>
  <c r="BB2299" i="1"/>
  <c r="BW2299" i="1"/>
  <c r="A2300" i="1"/>
  <c r="C2300" i="1"/>
  <c r="S2300" i="1"/>
  <c r="U2300" i="1"/>
  <c r="BB2300" i="1"/>
  <c r="BW2300" i="1"/>
  <c r="A2301" i="1"/>
  <c r="C2301" i="1"/>
  <c r="S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U2335" i="1"/>
  <c r="BB2335" i="1"/>
  <c r="BW2335" i="1"/>
  <c r="A2336" i="1"/>
  <c r="C2336" i="1"/>
  <c r="S2336" i="1"/>
  <c r="U2336" i="1"/>
  <c r="BB2336" i="1"/>
  <c r="BW2336" i="1"/>
  <c r="A2337" i="1"/>
  <c r="C2337" i="1"/>
  <c r="S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U2339" i="1"/>
  <c r="BB2339" i="1"/>
  <c r="BW2339" i="1"/>
  <c r="A2340" i="1"/>
  <c r="C2340" i="1"/>
  <c r="S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U2342" i="1"/>
  <c r="BB2342" i="1"/>
  <c r="BW2342" i="1"/>
  <c r="A2343" i="1"/>
  <c r="C2343" i="1"/>
  <c r="S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U2407" i="1"/>
  <c r="BB2407" i="1"/>
  <c r="BW2407" i="1"/>
  <c r="A2408" i="1"/>
  <c r="C2408" i="1"/>
  <c r="S2408" i="1"/>
  <c r="U2408" i="1"/>
  <c r="BB2408" i="1"/>
  <c r="BW2408" i="1"/>
  <c r="A2409" i="1"/>
  <c r="C2409" i="1"/>
  <c r="S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U2585" i="1"/>
  <c r="BB2585" i="1"/>
  <c r="BW2585" i="1"/>
  <c r="A2586" i="1"/>
  <c r="C2586" i="1"/>
  <c r="S2586" i="1"/>
  <c r="U2586" i="1"/>
  <c r="BB2586" i="1"/>
  <c r="BW2586" i="1"/>
  <c r="A2587" i="1"/>
  <c r="C2587" i="1"/>
  <c r="S2587" i="1"/>
  <c r="U2587" i="1"/>
  <c r="BB2587" i="1"/>
  <c r="BW2587" i="1"/>
  <c r="A2588" i="1"/>
  <c r="C2588" i="1"/>
  <c r="S2588" i="1"/>
  <c r="U2588" i="1"/>
  <c r="BB2588" i="1"/>
  <c r="BW2588" i="1"/>
  <c r="A2589" i="1"/>
  <c r="C2589" i="1"/>
  <c r="S2589" i="1"/>
  <c r="U2589" i="1"/>
  <c r="BB2589" i="1"/>
  <c r="BW2589" i="1"/>
  <c r="A2590" i="1"/>
  <c r="C2590" i="1"/>
  <c r="S2590" i="1"/>
  <c r="U2590" i="1"/>
  <c r="BB2590" i="1"/>
  <c r="BW2590" i="1"/>
  <c r="A2591" i="1"/>
  <c r="C2591" i="1"/>
  <c r="S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U2593" i="1"/>
  <c r="BB2593" i="1"/>
  <c r="BW2593" i="1"/>
  <c r="A2594" i="1"/>
  <c r="C2594" i="1"/>
  <c r="S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U2721" i="1"/>
  <c r="BB2721" i="1"/>
  <c r="BW2721" i="1"/>
  <c r="A2722" i="1"/>
  <c r="C2722" i="1"/>
  <c r="S2722" i="1"/>
  <c r="U2722" i="1"/>
  <c r="BB2722" i="1"/>
  <c r="BW2722" i="1"/>
  <c r="A2723" i="1"/>
  <c r="C2723" i="1"/>
  <c r="S2723" i="1"/>
  <c r="U2723" i="1"/>
  <c r="BB2723" i="1"/>
  <c r="BW2723" i="1"/>
  <c r="A2724" i="1"/>
  <c r="C2724" i="1"/>
  <c r="S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U2799" i="1"/>
  <c r="BB2799" i="1"/>
  <c r="BW2799" i="1"/>
  <c r="A2800" i="1"/>
  <c r="C2800" i="1"/>
  <c r="S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U2802" i="1"/>
  <c r="BB2802" i="1"/>
  <c r="BW2802" i="1"/>
  <c r="A2803" i="1"/>
  <c r="C2803" i="1"/>
  <c r="S2803" i="1"/>
  <c r="U2803" i="1"/>
  <c r="BB2803" i="1"/>
  <c r="BW2803" i="1"/>
  <c r="A2804" i="1"/>
  <c r="C2804" i="1"/>
  <c r="S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U2830" i="1"/>
  <c r="BB2830" i="1"/>
  <c r="BW2830" i="1"/>
  <c r="A2831" i="1"/>
  <c r="C2831" i="1"/>
  <c r="S2831" i="1"/>
  <c r="U2831" i="1"/>
  <c r="BB2831" i="1"/>
  <c r="BW2831" i="1"/>
  <c r="A2832" i="1"/>
  <c r="C2832" i="1"/>
  <c r="S2832" i="1"/>
  <c r="U2832" i="1"/>
  <c r="BB2832" i="1"/>
  <c r="BW2832" i="1"/>
  <c r="A2833" i="1"/>
  <c r="C2833" i="1"/>
  <c r="S2833" i="1"/>
  <c r="U2833" i="1"/>
  <c r="BB2833" i="1"/>
  <c r="BW2833" i="1"/>
  <c r="A2834" i="1"/>
  <c r="C2834" i="1"/>
  <c r="S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U2949" i="1"/>
  <c r="BB2949" i="1"/>
  <c r="BW2949" i="1"/>
  <c r="A2950" i="1"/>
  <c r="C2950" i="1"/>
  <c r="S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U2952" i="1"/>
  <c r="BB2952" i="1"/>
  <c r="BW2952" i="1"/>
  <c r="A2953" i="1"/>
  <c r="C2953" i="1"/>
  <c r="S2953" i="1"/>
  <c r="U2953" i="1"/>
  <c r="BB2953" i="1"/>
  <c r="BW2953" i="1"/>
  <c r="A2954" i="1"/>
  <c r="C2954" i="1"/>
  <c r="S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U3413" i="1"/>
  <c r="BB3413" i="1"/>
  <c r="BW3413" i="1"/>
  <c r="A3414" i="1"/>
  <c r="C3414" i="1"/>
  <c r="S3414" i="1"/>
  <c r="U3414" i="1"/>
  <c r="BB3414" i="1"/>
  <c r="BW3414" i="1"/>
  <c r="A3415" i="1"/>
  <c r="C3415" i="1"/>
  <c r="S3415" i="1"/>
  <c r="U3415" i="1"/>
  <c r="BB3415" i="1"/>
  <c r="BW3415" i="1"/>
  <c r="A3416" i="1"/>
  <c r="C3416" i="1"/>
  <c r="S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U3426" i="1"/>
  <c r="BB3426" i="1"/>
  <c r="BW3426" i="1"/>
  <c r="A3427" i="1"/>
  <c r="C3427" i="1"/>
  <c r="S3427" i="1"/>
  <c r="U3427" i="1"/>
  <c r="BB3427" i="1"/>
  <c r="BW3427" i="1"/>
  <c r="A3428" i="1"/>
  <c r="C3428" i="1"/>
  <c r="S3428" i="1"/>
  <c r="U3428" i="1"/>
  <c r="BB3428" i="1"/>
  <c r="BW3428" i="1"/>
  <c r="A3429" i="1"/>
  <c r="C3429" i="1"/>
  <c r="S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U3449" i="1"/>
  <c r="BB3449" i="1"/>
  <c r="BW3449" i="1"/>
  <c r="A3450" i="1"/>
  <c r="C3450" i="1"/>
  <c r="S3450" i="1"/>
  <c r="U3450" i="1"/>
  <c r="BB3450" i="1"/>
  <c r="BW3450" i="1"/>
  <c r="A3451" i="1"/>
  <c r="C3451" i="1"/>
  <c r="S3451" i="1"/>
  <c r="U3451" i="1"/>
  <c r="BB3451" i="1"/>
  <c r="BW3451" i="1"/>
  <c r="A3452" i="1"/>
  <c r="C3452" i="1"/>
  <c r="S3452" i="1"/>
  <c r="U3452" i="1"/>
  <c r="BB3452" i="1"/>
  <c r="BW3452" i="1"/>
  <c r="A3453" i="1"/>
  <c r="C3453" i="1"/>
  <c r="S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U3466" i="1"/>
  <c r="BB3466" i="1"/>
  <c r="BW3466" i="1"/>
  <c r="A3467" i="1"/>
  <c r="C3467" i="1"/>
  <c r="S3467" i="1"/>
  <c r="U3467" i="1"/>
  <c r="BB3467" i="1"/>
  <c r="BW3467" i="1"/>
  <c r="A3468" i="1"/>
  <c r="C3468" i="1"/>
  <c r="S3468" i="1"/>
  <c r="U3468" i="1"/>
  <c r="BB3468" i="1"/>
  <c r="BW3468" i="1"/>
  <c r="A3469" i="1"/>
  <c r="C3469" i="1"/>
  <c r="S3469" i="1"/>
  <c r="U3469" i="1"/>
  <c r="BB3469" i="1"/>
  <c r="BW3469" i="1"/>
  <c r="A3470" i="1"/>
  <c r="C3470" i="1"/>
  <c r="S3470" i="1"/>
  <c r="U3470" i="1"/>
  <c r="BB3470" i="1"/>
  <c r="BW3470" i="1"/>
  <c r="A3471" i="1"/>
  <c r="C3471" i="1"/>
  <c r="S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U3479" i="1"/>
  <c r="BB3479" i="1"/>
  <c r="BW3479" i="1"/>
  <c r="A3480" i="1"/>
  <c r="C3480" i="1"/>
  <c r="S3480" i="1"/>
  <c r="U3480" i="1"/>
  <c r="BB3480" i="1"/>
  <c r="BW3480" i="1"/>
  <c r="A3481" i="1"/>
  <c r="C3481" i="1"/>
  <c r="S3481" i="1"/>
  <c r="U3481" i="1"/>
  <c r="BB3481" i="1"/>
  <c r="BW3481" i="1"/>
  <c r="A3482" i="1"/>
  <c r="C3482" i="1"/>
  <c r="S3482" i="1"/>
  <c r="U3482" i="1"/>
  <c r="BB3482" i="1"/>
  <c r="BW3482" i="1"/>
  <c r="A3483" i="1"/>
  <c r="C3483" i="1"/>
  <c r="S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U3538" i="1"/>
  <c r="BB3538" i="1"/>
  <c r="BW3538" i="1"/>
  <c r="A3539" i="1"/>
  <c r="C3539" i="1"/>
  <c r="S3539" i="1"/>
  <c r="U3539" i="1"/>
  <c r="BB3539" i="1"/>
  <c r="BW3539" i="1"/>
  <c r="A3540" i="1"/>
  <c r="C3540" i="1"/>
  <c r="S3540" i="1"/>
  <c r="U3540" i="1"/>
  <c r="BB3540" i="1"/>
  <c r="BW3540" i="1"/>
  <c r="A3541" i="1"/>
  <c r="C3541" i="1"/>
  <c r="S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U3563" i="1"/>
  <c r="BB3563" i="1"/>
  <c r="BW3563" i="1"/>
  <c r="A3564" i="1"/>
  <c r="C3564" i="1"/>
  <c r="S3564" i="1"/>
  <c r="U3564" i="1"/>
  <c r="BB3564" i="1"/>
  <c r="BW3564" i="1"/>
  <c r="A3565" i="1"/>
  <c r="C3565" i="1"/>
  <c r="S3565" i="1"/>
  <c r="U3565" i="1"/>
  <c r="BB3565" i="1"/>
  <c r="BW3565" i="1"/>
  <c r="A3566" i="1"/>
  <c r="C3566" i="1"/>
  <c r="S3566" i="1"/>
  <c r="U3566" i="1"/>
  <c r="BB3566" i="1"/>
  <c r="BW3566" i="1"/>
  <c r="A3567" i="1"/>
  <c r="C3567" i="1"/>
  <c r="S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U3581" i="1"/>
  <c r="BB3581" i="1"/>
  <c r="BW3581" i="1"/>
  <c r="A3582" i="1"/>
  <c r="C3582" i="1"/>
  <c r="S3582" i="1"/>
  <c r="U3582" i="1"/>
  <c r="BB3582" i="1"/>
  <c r="BW3582" i="1"/>
  <c r="A3583" i="1"/>
  <c r="C3583" i="1"/>
  <c r="S3583" i="1"/>
  <c r="U3583" i="1"/>
  <c r="BB3583" i="1"/>
  <c r="BW3583" i="1"/>
  <c r="A3584" i="1"/>
  <c r="C3584" i="1"/>
  <c r="S3584" i="1"/>
  <c r="U3584" i="1"/>
  <c r="BB3584" i="1"/>
  <c r="BW3584" i="1"/>
  <c r="A3585" i="1"/>
  <c r="C3585" i="1"/>
  <c r="S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U3605" i="1"/>
  <c r="BB3605" i="1"/>
  <c r="BW3605" i="1"/>
  <c r="A3606" i="1"/>
  <c r="C3606" i="1"/>
  <c r="S3606" i="1"/>
  <c r="U3606" i="1"/>
  <c r="BB3606" i="1"/>
  <c r="BW3606" i="1"/>
  <c r="A3607" i="1"/>
  <c r="C3607" i="1"/>
  <c r="S3607" i="1"/>
  <c r="U3607" i="1"/>
  <c r="BB3607" i="1"/>
  <c r="BW3607" i="1"/>
  <c r="A3608" i="1"/>
  <c r="C3608" i="1"/>
  <c r="S3608" i="1"/>
  <c r="U3608" i="1"/>
  <c r="BB3608" i="1"/>
  <c r="BW3608" i="1"/>
  <c r="A3609" i="1"/>
  <c r="C3609" i="1"/>
  <c r="S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U3611" i="1"/>
  <c r="BB3611" i="1"/>
  <c r="BW3611" i="1"/>
  <c r="A3612" i="1"/>
  <c r="C3612" i="1"/>
  <c r="S3612" i="1"/>
  <c r="U3612" i="1"/>
  <c r="BB3612" i="1"/>
  <c r="BW3612" i="1"/>
  <c r="A3613" i="1"/>
  <c r="C3613" i="1"/>
  <c r="S3613" i="1"/>
  <c r="U3613" i="1"/>
  <c r="BB3613" i="1"/>
  <c r="BW3613" i="1"/>
  <c r="A3614" i="1"/>
  <c r="C3614" i="1"/>
  <c r="S3614" i="1"/>
  <c r="U3614" i="1"/>
  <c r="BB3614" i="1"/>
  <c r="BW3614" i="1"/>
  <c r="A3615" i="1"/>
  <c r="C3615" i="1"/>
  <c r="S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U3635" i="1"/>
  <c r="BB3635" i="1"/>
  <c r="BW3635" i="1"/>
  <c r="A3636" i="1"/>
  <c r="C3636" i="1"/>
  <c r="S3636" i="1"/>
  <c r="U3636" i="1"/>
  <c r="BB3636" i="1"/>
  <c r="BW3636" i="1"/>
  <c r="A3637" i="1"/>
  <c r="C3637" i="1"/>
  <c r="S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U3664" i="1"/>
  <c r="BB3664" i="1"/>
  <c r="BW3664" i="1"/>
  <c r="A3665" i="1"/>
  <c r="C3665" i="1"/>
  <c r="S3665" i="1"/>
  <c r="U3665" i="1"/>
  <c r="BB3665" i="1"/>
  <c r="BW3665" i="1"/>
  <c r="A3666" i="1"/>
  <c r="C3666" i="1"/>
  <c r="S3666" i="1"/>
  <c r="U3666" i="1"/>
  <c r="BB3666" i="1"/>
  <c r="BW3666" i="1"/>
  <c r="A3667" i="1"/>
  <c r="C3667" i="1"/>
  <c r="S3667" i="1"/>
  <c r="U3667" i="1"/>
  <c r="BB3667" i="1"/>
  <c r="BW3667" i="1"/>
  <c r="A3668" i="1"/>
  <c r="C3668" i="1"/>
  <c r="S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U3680" i="1"/>
  <c r="BB3680" i="1"/>
  <c r="BW3680" i="1"/>
  <c r="A3681" i="1"/>
  <c r="C3681" i="1"/>
  <c r="S3681" i="1"/>
  <c r="U3681" i="1"/>
  <c r="BB3681" i="1"/>
  <c r="BW3681" i="1"/>
  <c r="A3682" i="1"/>
  <c r="C3682" i="1"/>
  <c r="S3682" i="1"/>
  <c r="U3682" i="1"/>
  <c r="BB3682" i="1"/>
  <c r="BW3682" i="1"/>
  <c r="A3683" i="1"/>
  <c r="C3683" i="1"/>
  <c r="S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U3685" i="1"/>
  <c r="BB3685" i="1"/>
  <c r="BW3685" i="1"/>
  <c r="A3686" i="1"/>
  <c r="C3686" i="1"/>
  <c r="S3686" i="1"/>
  <c r="U3686" i="1"/>
  <c r="BB3686" i="1"/>
  <c r="BW3686" i="1"/>
  <c r="A3687" i="1"/>
  <c r="C3687" i="1"/>
  <c r="S3687" i="1"/>
  <c r="U3687" i="1"/>
  <c r="BB3687" i="1"/>
  <c r="BW3687" i="1"/>
  <c r="A3688" i="1"/>
  <c r="C3688" i="1"/>
  <c r="S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U3705" i="1"/>
  <c r="BB3705" i="1"/>
  <c r="BW3705" i="1"/>
  <c r="A3706" i="1"/>
  <c r="C3706" i="1"/>
  <c r="S3706" i="1"/>
  <c r="U3706" i="1"/>
  <c r="BB3706" i="1"/>
  <c r="BW3706" i="1"/>
  <c r="A3707" i="1"/>
  <c r="C3707" i="1"/>
  <c r="S3707" i="1"/>
  <c r="U3707" i="1"/>
  <c r="BB3707" i="1"/>
  <c r="BW3707" i="1"/>
  <c r="A3708" i="1"/>
  <c r="C3708" i="1"/>
  <c r="S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</calcChain>
</file>

<file path=xl/sharedStrings.xml><?xml version="1.0" encoding="utf-8"?>
<sst xmlns="http://schemas.openxmlformats.org/spreadsheetml/2006/main" count="26426" uniqueCount="1690">
  <si>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</si>
  <si>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</si>
  <si>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</si>
  <si>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</si>
  <si>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</si>
  <si>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</si>
  <si>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</si>
  <si>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</si>
  <si>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</si>
  <si>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</si>
  <si>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</si>
  <si>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</si>
  <si>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</si>
  <si>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</si>
  <si>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</si>
  <si>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</si>
  <si>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</si>
  <si>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</si>
  <si>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</si>
  <si>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</si>
  <si>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</si>
  <si>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</si>
  <si>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</si>
  <si>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</si>
  <si>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</si>
  <si>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</si>
  <si>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</si>
  <si>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</si>
  <si>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</si>
  <si>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</si>
  <si>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</si>
  <si>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</si>
  <si>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</si>
  <si>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</si>
  <si>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</si>
  <si>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</si>
  <si>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</si>
  <si>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</si>
  <si>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</si>
  <si>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</si>
  <si>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</si>
  <si>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</si>
  <si>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</si>
  <si>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</si>
  <si>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</si>
  <si>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</si>
  <si>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</si>
  <si>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</si>
  <si>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</si>
  <si>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</si>
  <si>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</si>
  <si>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</si>
  <si>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</si>
  <si>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</si>
  <si>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</si>
  <si>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</si>
  <si>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</si>
  <si>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</si>
  <si>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</si>
  <si>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</si>
  <si>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</si>
  <si>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</si>
  <si>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</si>
  <si>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</si>
  <si>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</si>
  <si>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</si>
  <si>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</si>
  <si>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</si>
  <si>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</si>
  <si>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</si>
  <si>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</si>
  <si>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</si>
  <si>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</si>
  <si>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</si>
  <si>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</si>
  <si>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</si>
  <si>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</si>
  <si>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</si>
  <si>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</si>
  <si>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</si>
  <si>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</si>
  <si>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</si>
  <si>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</si>
  <si>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</si>
  <si>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</si>
  <si>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</si>
  <si>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</si>
  <si>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</si>
  <si>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</si>
  <si>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</si>
  <si>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</si>
  <si>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</si>
  <si>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</si>
  <si>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</si>
  <si>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</si>
  <si>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</si>
  <si>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</si>
  <si>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</si>
  <si>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</si>
  <si>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</si>
  <si>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</si>
  <si>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</si>
  <si>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</si>
  <si>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</si>
  <si>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</si>
  <si>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</si>
  <si>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</si>
  <si>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</si>
  <si>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</si>
  <si>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</si>
  <si>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</si>
  <si>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</si>
  <si>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</si>
  <si>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</si>
  <si>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Indianapolis</t>
  </si>
  <si>
    <t>Enroute</t>
  </si>
  <si>
    <t>039:06:56.31 N</t>
  </si>
  <si>
    <t>087:26:53.71 W</t>
  </si>
  <si>
    <t>GNSS</t>
  </si>
  <si>
    <t>RS - HP 1090 Multi Chl Radio</t>
  </si>
  <si>
    <t>039:06:57.78 N</t>
  </si>
  <si>
    <t>C1</t>
  </si>
  <si>
    <t>Kansas City</t>
  </si>
  <si>
    <t>EnrouteCTV</t>
  </si>
  <si>
    <t>039:06:59.24 N</t>
  </si>
  <si>
    <t>Chicago</t>
  </si>
  <si>
    <t>039:07:00.02 N</t>
  </si>
  <si>
    <t>087:26:53.64 W</t>
  </si>
  <si>
    <t>DD</t>
  </si>
  <si>
    <t>Terre Haute</t>
  </si>
  <si>
    <t>Terminal</t>
  </si>
  <si>
    <t>039:07:00.87 N</t>
  </si>
  <si>
    <t>039:07:01.56 N</t>
  </si>
  <si>
    <t>039:07:02.33 N</t>
  </si>
  <si>
    <t>039:07:03.26 N</t>
  </si>
  <si>
    <t>087:26:53.48 W</t>
  </si>
  <si>
    <t>039:07:03.72 N</t>
  </si>
  <si>
    <t>039:07:04.50 N</t>
  </si>
  <si>
    <t>039:07:05.19 N</t>
  </si>
  <si>
    <t>039:07:05.81 N</t>
  </si>
  <si>
    <t>039:07:06.81 N</t>
  </si>
  <si>
    <t>039:07:07.59 N</t>
  </si>
  <si>
    <t>039:07:08.28 N</t>
  </si>
  <si>
    <t>087:26:53.25 W</t>
  </si>
  <si>
    <t>039:07:09.13 N</t>
  </si>
  <si>
    <t>039:07:09.59 N</t>
  </si>
  <si>
    <t>039:07:10.29 N</t>
  </si>
  <si>
    <t>039:07:11.14 N</t>
  </si>
  <si>
    <t>087:26:53.02 W</t>
  </si>
  <si>
    <t>039:07:11.76 N</t>
  </si>
  <si>
    <t>039:07:12.22 N</t>
  </si>
  <si>
    <t>039:07:13.15 N</t>
  </si>
  <si>
    <t>039:07:14.00 N</t>
  </si>
  <si>
    <t>087:26:52.79 W</t>
  </si>
  <si>
    <t>039:07:14.62 N</t>
  </si>
  <si>
    <t>039:07:15.47 N</t>
  </si>
  <si>
    <t>087:26:52.55 W</t>
  </si>
  <si>
    <t>039:07:16.16 N</t>
  </si>
  <si>
    <t>039:07:16.86 N</t>
  </si>
  <si>
    <t>087:26:52.63 W</t>
  </si>
  <si>
    <t>039:07:17.47 N</t>
  </si>
  <si>
    <t>087:26:52.32 W</t>
  </si>
  <si>
    <t>039:07:18.32 N</t>
  </si>
  <si>
    <t>087:26:52.40 W</t>
  </si>
  <si>
    <t>039:07:18.86 N</t>
  </si>
  <si>
    <t>039:07:19.87 N</t>
  </si>
  <si>
    <t>087:26:52.17 W</t>
  </si>
  <si>
    <t>039:07:20.49 N</t>
  </si>
  <si>
    <t>039:07:21.18 N</t>
  </si>
  <si>
    <t>039:07:21.65 N</t>
  </si>
  <si>
    <t>039:07:22.19 N</t>
  </si>
  <si>
    <t>039:07:22.88 N</t>
  </si>
  <si>
    <t>039:07:23.65 N</t>
  </si>
  <si>
    <t>039:07:24.43 N</t>
  </si>
  <si>
    <t>039:07:25.28 N</t>
  </si>
  <si>
    <t>039:07:26.13 N</t>
  </si>
  <si>
    <t>039:07:26.90 N</t>
  </si>
  <si>
    <t>039:07:27.59 N</t>
  </si>
  <si>
    <t>039:07:28.37 N</t>
  </si>
  <si>
    <t>039:07:29.06 N</t>
  </si>
  <si>
    <t>039:07:29.68 N</t>
  </si>
  <si>
    <t>039:07:30.37 N</t>
  </si>
  <si>
    <t>039:07:31.22 N</t>
  </si>
  <si>
    <t>039:07:31.84 N</t>
  </si>
  <si>
    <t>039:07:32.54 N</t>
  </si>
  <si>
    <t>039:07:33.08 N</t>
  </si>
  <si>
    <t>039:07:34.08 N</t>
  </si>
  <si>
    <t>039:07:34.93 N</t>
  </si>
  <si>
    <t>039:07:35.47 N</t>
  </si>
  <si>
    <t>087:26:52.86 W</t>
  </si>
  <si>
    <t>039:07:36.17 N</t>
  </si>
  <si>
    <t>039:07:36.94 N</t>
  </si>
  <si>
    <t>039:07:37.64 N</t>
  </si>
  <si>
    <t>039:07:38.25 N</t>
  </si>
  <si>
    <t>039:07:39.10 N</t>
  </si>
  <si>
    <t>039:07:39.95 N</t>
  </si>
  <si>
    <t>039:07:40.80 N</t>
  </si>
  <si>
    <t>039:07:41.65 N</t>
  </si>
  <si>
    <t>039:07:42.27 N</t>
  </si>
  <si>
    <t>087:26:53.87 W</t>
  </si>
  <si>
    <t>039:07:43.27 N</t>
  </si>
  <si>
    <t>087:26:54.10 W</t>
  </si>
  <si>
    <t>039:07:43.97 N</t>
  </si>
  <si>
    <t>087:26:54.33 W</t>
  </si>
  <si>
    <t>039:07:44.82 N</t>
  </si>
  <si>
    <t>087:26:54.56 W</t>
  </si>
  <si>
    <t>039:07:45.51 N</t>
  </si>
  <si>
    <t>039:07:46.52 N</t>
  </si>
  <si>
    <t>087:26:54.79 W</t>
  </si>
  <si>
    <t>039:07:47.29 N</t>
  </si>
  <si>
    <t>087:26:55.03 W</t>
  </si>
  <si>
    <t>039:07:47.83 N</t>
  </si>
  <si>
    <t>087:26:55.18 W</t>
  </si>
  <si>
    <t>039:07:48.68 N</t>
  </si>
  <si>
    <t>087:26:55.41 W</t>
  </si>
  <si>
    <t>039:07:49.30 N</t>
  </si>
  <si>
    <t>087:26:55.64 W</t>
  </si>
  <si>
    <t>039:07:50.15 N</t>
  </si>
  <si>
    <t>087:26:55.80 W</t>
  </si>
  <si>
    <t>039:07:50.84 N</t>
  </si>
  <si>
    <t>039:07:51.46 N</t>
  </si>
  <si>
    <t>087:26:56.03 W</t>
  </si>
  <si>
    <t>039:07:52.31 N</t>
  </si>
  <si>
    <t>087:26:56.26 W</t>
  </si>
  <si>
    <t>039:07:53.16 N</t>
  </si>
  <si>
    <t>087:26:56.49 W</t>
  </si>
  <si>
    <t>039:07:53.93 N</t>
  </si>
  <si>
    <t>087:26:56.73 W</t>
  </si>
  <si>
    <t>039:07:54.71 N</t>
  </si>
  <si>
    <t>039:07:55.40 N</t>
  </si>
  <si>
    <t>087:26:57.11 W</t>
  </si>
  <si>
    <t>039:07:56.17 N</t>
  </si>
  <si>
    <t>087:26:57.19 W</t>
  </si>
  <si>
    <t>039:07:57.02 N</t>
  </si>
  <si>
    <t>087:26:57.42 W</t>
  </si>
  <si>
    <t>039:07:57.87 N</t>
  </si>
  <si>
    <t>087:26:57.58 W</t>
  </si>
  <si>
    <t>039:07:58.72 N</t>
  </si>
  <si>
    <t>087:26:57.88 W</t>
  </si>
  <si>
    <t>039:07:59.19 N</t>
  </si>
  <si>
    <t>087:26:58.04 W</t>
  </si>
  <si>
    <t>039:08:00.04 N</t>
  </si>
  <si>
    <t>087:26:58.19 W</t>
  </si>
  <si>
    <t>039:08:01.04 N</t>
  </si>
  <si>
    <t>087:26:58.43 W</t>
  </si>
  <si>
    <t>039:08:01.74 N</t>
  </si>
  <si>
    <t>087:26:58.73 W</t>
  </si>
  <si>
    <t>039:08:02.74 N</t>
  </si>
  <si>
    <t>087:26:58.97 W</t>
  </si>
  <si>
    <t>039:08:03.36 N</t>
  </si>
  <si>
    <t>087:26:59.27 W</t>
  </si>
  <si>
    <t>039:08:04.21 N</t>
  </si>
  <si>
    <t>087:26:59.35 W</t>
  </si>
  <si>
    <t>039:08:04.98 N</t>
  </si>
  <si>
    <t>087:26:59.74 W</t>
  </si>
  <si>
    <t>039:08:05.83 N</t>
  </si>
  <si>
    <t>087:26:59.89 W</t>
  </si>
  <si>
    <t>039:08:06.84 N</t>
  </si>
  <si>
    <t>087:27:00.36 W</t>
  </si>
  <si>
    <t>039:08:07.30 N</t>
  </si>
  <si>
    <t>087:27:00.59 W</t>
  </si>
  <si>
    <t>039:08:08.07 N</t>
  </si>
  <si>
    <t>087:27:00.67 W</t>
  </si>
  <si>
    <t>039:08:08.77 N</t>
  </si>
  <si>
    <t>087:27:00.90 W</t>
  </si>
  <si>
    <t>039:08:09.46 N</t>
  </si>
  <si>
    <t>087:27:01.44 W</t>
  </si>
  <si>
    <t>039:08:10.08 N</t>
  </si>
  <si>
    <t>087:27:01.59 W</t>
  </si>
  <si>
    <t>039:08:10.93 N</t>
  </si>
  <si>
    <t>087:27:02.06 W</t>
  </si>
  <si>
    <t>039:08:11.62 N</t>
  </si>
  <si>
    <t>087:27:02.21 W</t>
  </si>
  <si>
    <t>039:08:12.40 N</t>
  </si>
  <si>
    <t>087:27:02.75 W</t>
  </si>
  <si>
    <t>039:08:13.09 N</t>
  </si>
  <si>
    <t>087:27:03.14 W</t>
  </si>
  <si>
    <t>039:08:13.86 N</t>
  </si>
  <si>
    <t>087:27:03.60 W</t>
  </si>
  <si>
    <t>039:08:14.64 N</t>
  </si>
  <si>
    <t>087:27:03.99 W</t>
  </si>
  <si>
    <t>039:08:15.33 N</t>
  </si>
  <si>
    <t>087:27:04.22 W</t>
  </si>
  <si>
    <t>039:08:16.03 N</t>
  </si>
  <si>
    <t>087:27:04.84 W</t>
  </si>
  <si>
    <t>039:08:16.65 N</t>
  </si>
  <si>
    <t>087:27:05.30 W</t>
  </si>
  <si>
    <t>039:08:17.65 N</t>
  </si>
  <si>
    <t>087:27:06.00 W</t>
  </si>
  <si>
    <t>039:08:18.34 N</t>
  </si>
  <si>
    <t>087:27:06.61 W</t>
  </si>
  <si>
    <t>039:08:19.12 N</t>
  </si>
  <si>
    <t>087:27:07.08 W</t>
  </si>
  <si>
    <t>039:08:19.66 N</t>
  </si>
  <si>
    <t>087:27:07.54 W</t>
  </si>
  <si>
    <t>039:08:20.51 N</t>
  </si>
  <si>
    <t>087:27:08.31 W</t>
  </si>
  <si>
    <t>039:08:21.13 N</t>
  </si>
  <si>
    <t>087:27:08.70 W</t>
  </si>
  <si>
    <t>039:08:21.98 N</t>
  </si>
  <si>
    <t>087:27:09.78 W</t>
  </si>
  <si>
    <t>039:08:22.67 N</t>
  </si>
  <si>
    <t>087:27:10.40 W</t>
  </si>
  <si>
    <t>039:08:23.52 N</t>
  </si>
  <si>
    <t>087:27:11.48 W</t>
  </si>
  <si>
    <t>039:08:24.52 N</t>
  </si>
  <si>
    <t>087:27:12.33 W</t>
  </si>
  <si>
    <t>039:08:25.30 N</t>
  </si>
  <si>
    <t>087:27:13.26 W</t>
  </si>
  <si>
    <t>039:08:26.07 N</t>
  </si>
  <si>
    <t>087:27:14.11 W</t>
  </si>
  <si>
    <t>039:08:26.92 N</t>
  </si>
  <si>
    <t>087:27:15.19 W</t>
  </si>
  <si>
    <t>039:08:27.54 N</t>
  </si>
  <si>
    <t>087:27:16.04 W</t>
  </si>
  <si>
    <t>039:08:28.23 N</t>
  </si>
  <si>
    <t>087:27:16.73 W</t>
  </si>
  <si>
    <t>039:08:29.01 N</t>
  </si>
  <si>
    <t>087:27:17.81 W</t>
  </si>
  <si>
    <t>039:08:29.70 N</t>
  </si>
  <si>
    <t>087:27:18.82 W</t>
  </si>
  <si>
    <t>039:08:30.40 N</t>
  </si>
  <si>
    <t>087:27:19.67 W</t>
  </si>
  <si>
    <t>039:08:30.86 N</t>
  </si>
  <si>
    <t>087:27:20.36 W</t>
  </si>
  <si>
    <t>039:08:31.55 N</t>
  </si>
  <si>
    <t>087:27:21.37 W</t>
  </si>
  <si>
    <t>039:08:32.17 N</t>
  </si>
  <si>
    <t>087:27:22.53 W</t>
  </si>
  <si>
    <t>039:08:32.71 N</t>
  </si>
  <si>
    <t>087:27:23.14 W</t>
  </si>
  <si>
    <t>039:08:33.49 N</t>
  </si>
  <si>
    <t>087:27:24.46 W</t>
  </si>
  <si>
    <t>039:08:34.10 N</t>
  </si>
  <si>
    <t>087:27:25.54 W</t>
  </si>
  <si>
    <t>039:08:34.88 N</t>
  </si>
  <si>
    <t>087:27:26.85 W</t>
  </si>
  <si>
    <t>039:08:35.49 N</t>
  </si>
  <si>
    <t>087:27:27.86 W</t>
  </si>
  <si>
    <t>039:08:36.11 N</t>
  </si>
  <si>
    <t>087:27:29.02 W</t>
  </si>
  <si>
    <t>039:08:36.65 N</t>
  </si>
  <si>
    <t>087:27:30.02 W</t>
  </si>
  <si>
    <t>039:08:37.27 N</t>
  </si>
  <si>
    <t>087:27:31.49 W</t>
  </si>
  <si>
    <t>039:08:37.81 N</t>
  </si>
  <si>
    <t>087:27:32.41 W</t>
  </si>
  <si>
    <t>039:08:38.27 N</t>
  </si>
  <si>
    <t>087:27:33.42 W</t>
  </si>
  <si>
    <t>039:08:38.58 N</t>
  </si>
  <si>
    <t>087:27:34.73 W</t>
  </si>
  <si>
    <t>039:08:39.12 N</t>
  </si>
  <si>
    <t>087:27:35.89 W</t>
  </si>
  <si>
    <t>039:08:39.43 N</t>
  </si>
  <si>
    <t>087:27:36.97 W</t>
  </si>
  <si>
    <t>039:08:39.97 N</t>
  </si>
  <si>
    <t>087:27:38.52 W</t>
  </si>
  <si>
    <t>039:08:40.28 N</t>
  </si>
  <si>
    <t>087:27:39.83 W</t>
  </si>
  <si>
    <t>039:08:40.59 N</t>
  </si>
  <si>
    <t>087:27:41.22 W</t>
  </si>
  <si>
    <t>039:08:40.90 N</t>
  </si>
  <si>
    <t>087:27:42.30 W</t>
  </si>
  <si>
    <t>039:08:41.06 N</t>
  </si>
  <si>
    <t>087:27:43.31 W</t>
  </si>
  <si>
    <t>039:08:41.21 N</t>
  </si>
  <si>
    <t>087:27:44.23 W</t>
  </si>
  <si>
    <t>039:08:41.44 N</t>
  </si>
  <si>
    <t>087:27:45.55 W</t>
  </si>
  <si>
    <t>039:08:41.60 N</t>
  </si>
  <si>
    <t>087:27:47.01 W</t>
  </si>
  <si>
    <t>087:27:48.48 W</t>
  </si>
  <si>
    <t>087:27:49.95 W</t>
  </si>
  <si>
    <t>039:08:41.75 N</t>
  </si>
  <si>
    <t>087:27:50.80 W</t>
  </si>
  <si>
    <t>087:27:51.88 W</t>
  </si>
  <si>
    <t>087:27:53.66 W</t>
  </si>
  <si>
    <t>087:27:54.97 W</t>
  </si>
  <si>
    <t>087:27:56.28 W</t>
  </si>
  <si>
    <t>087:27:57.52 W</t>
  </si>
  <si>
    <t>039:08:41.13 N</t>
  </si>
  <si>
    <t>087:27:58.91 W</t>
  </si>
  <si>
    <t>039:08:40.98 N</t>
  </si>
  <si>
    <t>087:27:59.84 W</t>
  </si>
  <si>
    <t>087:28:01.15 W</t>
  </si>
  <si>
    <t>087:28:02.70 W</t>
  </si>
  <si>
    <t>039:08:40.13 N</t>
  </si>
  <si>
    <t>087:28:03.78 W</t>
  </si>
  <si>
    <t>039:08:39.59 N</t>
  </si>
  <si>
    <t>087:28:05.24 W</t>
  </si>
  <si>
    <t>039:08:39.28 N</t>
  </si>
  <si>
    <t>087:28:06.63 W</t>
  </si>
  <si>
    <t>039:08:38.74 N</t>
  </si>
  <si>
    <t>087:28:07.87 W</t>
  </si>
  <si>
    <t>087:28:09.03 W</t>
  </si>
  <si>
    <t>087:28:10.19 W</t>
  </si>
  <si>
    <t>087:28:11.73 W</t>
  </si>
  <si>
    <t>039:08:36.50 N</t>
  </si>
  <si>
    <t>087:28:12.97 W</t>
  </si>
  <si>
    <t>087:28:14.05 W</t>
  </si>
  <si>
    <t>039:08:35.42 N</t>
  </si>
  <si>
    <t>087:28:15.21 W</t>
  </si>
  <si>
    <t>087:28:16.06 W</t>
  </si>
  <si>
    <t>087:28:17.37 W</t>
  </si>
  <si>
    <t>087:28:18.38 W</t>
  </si>
  <si>
    <t>087:28:19.38 W</t>
  </si>
  <si>
    <t>039:08:32.02 N</t>
  </si>
  <si>
    <t>087:28:20.31 W</t>
  </si>
  <si>
    <t>039:08:31.25 N</t>
  </si>
  <si>
    <t>087:28:21.31 W</t>
  </si>
  <si>
    <t>039:08:30.55 N</t>
  </si>
  <si>
    <t>087:28:22.24 W</t>
  </si>
  <si>
    <t>087:28:23.32 W</t>
  </si>
  <si>
    <t>039:08:28.85 N</t>
  </si>
  <si>
    <t>087:28:24.17 W</t>
  </si>
  <si>
    <t>039:08:27.92 N</t>
  </si>
  <si>
    <t>087:28:25.25 W</t>
  </si>
  <si>
    <t>039:08:27.00 N</t>
  </si>
  <si>
    <t>087:28:26.18 W</t>
  </si>
  <si>
    <t>087:28:26.95 W</t>
  </si>
  <si>
    <t>039:08:25.45 N</t>
  </si>
  <si>
    <t>087:28:27.80 W</t>
  </si>
  <si>
    <t>087:28:28.57 W</t>
  </si>
  <si>
    <t>087:28:29.50 W</t>
  </si>
  <si>
    <t>039:08:22.59 N</t>
  </si>
  <si>
    <t>087:28:30.43 W</t>
  </si>
  <si>
    <t>039:08:21.82 N</t>
  </si>
  <si>
    <t>087:28:30.81 W</t>
  </si>
  <si>
    <t>087:28:31.51 W</t>
  </si>
  <si>
    <t>039:08:19.97 N</t>
  </si>
  <si>
    <t>087:28:32.36 W</t>
  </si>
  <si>
    <t>039:08:18.96 N</t>
  </si>
  <si>
    <t>087:28:33.21 W</t>
  </si>
  <si>
    <t>039:08:18.04 N</t>
  </si>
  <si>
    <t>087:28:33.83 W</t>
  </si>
  <si>
    <t>039:08:16.95 N</t>
  </si>
  <si>
    <t>087:28:34.52 W</t>
  </si>
  <si>
    <t>087:28:35.14 W</t>
  </si>
  <si>
    <t>039:08:14.87 N</t>
  </si>
  <si>
    <t>087:28:35.99 W</t>
  </si>
  <si>
    <t>039:08:13.79 N</t>
  </si>
  <si>
    <t>087:28:36.76 W</t>
  </si>
  <si>
    <t>039:08:12.94 N</t>
  </si>
  <si>
    <t>087:28:37.30 W</t>
  </si>
  <si>
    <t>039:08:12.09 N</t>
  </si>
  <si>
    <t>087:28:37.69 W</t>
  </si>
  <si>
    <t>087:28:38.23 W</t>
  </si>
  <si>
    <t>039:08:09.93 N</t>
  </si>
  <si>
    <t>087:28:39.00 W</t>
  </si>
  <si>
    <t>039:08:08.92 N</t>
  </si>
  <si>
    <t>087:28:39.39 W</t>
  </si>
  <si>
    <t>039:08:07.76 N</t>
  </si>
  <si>
    <t>087:28:40.08 W</t>
  </si>
  <si>
    <t>039:08:06.60 N</t>
  </si>
  <si>
    <t>087:28:40.70 W</t>
  </si>
  <si>
    <t>039:08:05.29 N</t>
  </si>
  <si>
    <t>087:28:41.40 W</t>
  </si>
  <si>
    <t>087:28:41.78 W</t>
  </si>
  <si>
    <t>039:08:03.05 N</t>
  </si>
  <si>
    <t>087:28:42.40 W</t>
  </si>
  <si>
    <t>039:08:02.05 N</t>
  </si>
  <si>
    <t>087:28:42.63 W</t>
  </si>
  <si>
    <t>087:28:43.33 W</t>
  </si>
  <si>
    <t>087:28:43.79 W</t>
  </si>
  <si>
    <t>087:28:44.18 W</t>
  </si>
  <si>
    <t>039:07:57.57 N</t>
  </si>
  <si>
    <t>087:28:44.56 W</t>
  </si>
  <si>
    <t>039:07:56.25 N</t>
  </si>
  <si>
    <t>087:28:45.03 W</t>
  </si>
  <si>
    <t>039:07:55.17 N</t>
  </si>
  <si>
    <t>087:28:45.49 W</t>
  </si>
  <si>
    <t>039:07:53.86 N</t>
  </si>
  <si>
    <t>087:28:45.95 W</t>
  </si>
  <si>
    <t>039:07:52.62 N</t>
  </si>
  <si>
    <t>087:28:46.34 W</t>
  </si>
  <si>
    <t>039:07:51.54 N</t>
  </si>
  <si>
    <t>087:28:46.65 W</t>
  </si>
  <si>
    <t>039:07:50.46 N</t>
  </si>
  <si>
    <t>087:28:46.96 W</t>
  </si>
  <si>
    <t>087:28:47.27 W</t>
  </si>
  <si>
    <t>039:07:48.22 N</t>
  </si>
  <si>
    <t>087:28:47.42 W</t>
  </si>
  <si>
    <t>039:07:46.98 N</t>
  </si>
  <si>
    <t>087:28:47.73 W</t>
  </si>
  <si>
    <t>039:07:45.90 N</t>
  </si>
  <si>
    <t>087:28:48.04 W</t>
  </si>
  <si>
    <t>039:07:44.59 N</t>
  </si>
  <si>
    <t>087:28:48.27 W</t>
  </si>
  <si>
    <t>039:07:43.58 N</t>
  </si>
  <si>
    <t>087:28:48.50 W</t>
  </si>
  <si>
    <t>087:28:48.89 W</t>
  </si>
  <si>
    <t>039:07:41.27 N</t>
  </si>
  <si>
    <t>039:07:40.11 N</t>
  </si>
  <si>
    <t>087:28:49.28 W</t>
  </si>
  <si>
    <t>039:07:38.79 N</t>
  </si>
  <si>
    <t>087:28:49.43 W</t>
  </si>
  <si>
    <t>087:28:49.51 W</t>
  </si>
  <si>
    <t>039:07:36.40 N</t>
  </si>
  <si>
    <t>087:28:49.66 W</t>
  </si>
  <si>
    <t>039:07:35.32 N</t>
  </si>
  <si>
    <t>087:28:49.74 W</t>
  </si>
  <si>
    <t>087:28:49.89 W</t>
  </si>
  <si>
    <t>039:07:32.85 N</t>
  </si>
  <si>
    <t>087:28:50.20 W</t>
  </si>
  <si>
    <t>039:07:31.53 N</t>
  </si>
  <si>
    <t>087:28:50.36 W</t>
  </si>
  <si>
    <t>087:28:50.43 W</t>
  </si>
  <si>
    <t>039:07:28.06 N</t>
  </si>
  <si>
    <t>039:07:27.05 N</t>
  </si>
  <si>
    <t>039:07:25.51 N</t>
  </si>
  <si>
    <t>039:07:24.66 N</t>
  </si>
  <si>
    <t>039:07:22.34 N</t>
  </si>
  <si>
    <t>039:07:21.03 N</t>
  </si>
  <si>
    <t>039:07:20.18 N</t>
  </si>
  <si>
    <t>039:07:18.71 N</t>
  </si>
  <si>
    <t>087:28:50.13 W</t>
  </si>
  <si>
    <t>039:07:16.39 N</t>
  </si>
  <si>
    <t>087:28:49.97 W</t>
  </si>
  <si>
    <t>039:07:15.16 N</t>
  </si>
  <si>
    <t>039:07:14.15 N</t>
  </si>
  <si>
    <t>039:07:12.76 N</t>
  </si>
  <si>
    <t>039:07:11.45 N</t>
  </si>
  <si>
    <t>087:28:49.35 W</t>
  </si>
  <si>
    <t>039:07:07.90 N</t>
  </si>
  <si>
    <t>039:07:06.89 N</t>
  </si>
  <si>
    <t>087:28:49.04 W</t>
  </si>
  <si>
    <t>039:07:04.81 N</t>
  </si>
  <si>
    <t>039:07:03.34 N</t>
  </si>
  <si>
    <t>087:28:48.66 W</t>
  </si>
  <si>
    <t>039:07:01.25 N</t>
  </si>
  <si>
    <t>087:28:48.35 W</t>
  </si>
  <si>
    <t>039:07:00.25 N</t>
  </si>
  <si>
    <t>087:28:48.12 W</t>
  </si>
  <si>
    <t>039:06:59.09 N</t>
  </si>
  <si>
    <t>039:06:58.08 N</t>
  </si>
  <si>
    <t>087:28:47.81 W</t>
  </si>
  <si>
    <t>039:06:56.85 N</t>
  </si>
  <si>
    <t>039:06:55.38 N</t>
  </si>
  <si>
    <t>087:28:47.50 W</t>
  </si>
  <si>
    <t>039:06:54.30 N</t>
  </si>
  <si>
    <t>039:06:52.99 N</t>
  </si>
  <si>
    <t>087:28:47.04 W</t>
  </si>
  <si>
    <t>039:06:51.83 N</t>
  </si>
  <si>
    <t>039:06:50.51 N</t>
  </si>
  <si>
    <t>087:28:46.80 W</t>
  </si>
  <si>
    <t>039:06:49.12 N</t>
  </si>
  <si>
    <t>039:06:47.89 N</t>
  </si>
  <si>
    <t>087:28:46.57 W</t>
  </si>
  <si>
    <t>039:06:46.65 N</t>
  </si>
  <si>
    <t>087:28:46.42 W</t>
  </si>
  <si>
    <t>039:06:45.34 N</t>
  </si>
  <si>
    <t>087:28:46.19 W</t>
  </si>
  <si>
    <t>039:06:44.10 N</t>
  </si>
  <si>
    <t>087:28:46.11 W</t>
  </si>
  <si>
    <t>039:06:42.79 N</t>
  </si>
  <si>
    <t>039:06:41.63 N</t>
  </si>
  <si>
    <t>087:28:45.88 W</t>
  </si>
  <si>
    <t>039:06:40.09 N</t>
  </si>
  <si>
    <t>039:06:39.16 N</t>
  </si>
  <si>
    <t>087:28:45.64 W</t>
  </si>
  <si>
    <t>039:06:38.15 N</t>
  </si>
  <si>
    <t>039:06:37.15 N</t>
  </si>
  <si>
    <t>039:06:35.91 N</t>
  </si>
  <si>
    <t>039:06:34.60 N</t>
  </si>
  <si>
    <t>039:06:33.37 N</t>
  </si>
  <si>
    <t>039:06:32.05 N</t>
  </si>
  <si>
    <t>039:06:31.05 N</t>
  </si>
  <si>
    <t>039:06:29.89 N</t>
  </si>
  <si>
    <t>039:06:28.89 N</t>
  </si>
  <si>
    <t>039:06:27.73 N</t>
  </si>
  <si>
    <t>087:28:45.72 W</t>
  </si>
  <si>
    <t>039:06:26.72 N</t>
  </si>
  <si>
    <t>039:06:25.49 N</t>
  </si>
  <si>
    <t>039:06:24.17 N</t>
  </si>
  <si>
    <t>039:06:22.86 N</t>
  </si>
  <si>
    <t>039:06:21.70 N</t>
  </si>
  <si>
    <t>039:06:20.16 N</t>
  </si>
  <si>
    <t>039:06:19.23 N</t>
  </si>
  <si>
    <t>039:06:17.68 N</t>
  </si>
  <si>
    <t>087:28:46.73 W</t>
  </si>
  <si>
    <t>039:06:16.45 N</t>
  </si>
  <si>
    <t>039:06:15.68 N</t>
  </si>
  <si>
    <t>039:06:14.13 N</t>
  </si>
  <si>
    <t>039:06:13.13 N</t>
  </si>
  <si>
    <t>039:06:11.97 N</t>
  </si>
  <si>
    <t>087:28:47.58 W</t>
  </si>
  <si>
    <t>039:06:10.42 N</t>
  </si>
  <si>
    <t>039:06:09.26 N</t>
  </si>
  <si>
    <t>039:06:07.95 N</t>
  </si>
  <si>
    <t>087:28:48.58 W</t>
  </si>
  <si>
    <t>039:06:06.64 N</t>
  </si>
  <si>
    <t>039:06:05.40 N</t>
  </si>
  <si>
    <t>039:06:04.55 N</t>
  </si>
  <si>
    <t>039:06:03.39 N</t>
  </si>
  <si>
    <t>039:06:02.39 N</t>
  </si>
  <si>
    <t>039:06:00.92 N</t>
  </si>
  <si>
    <t>087:28:50.59 W</t>
  </si>
  <si>
    <t>039:05:59.69 N</t>
  </si>
  <si>
    <t>087:28:50.97 W</t>
  </si>
  <si>
    <t>039:05:58.45 N</t>
  </si>
  <si>
    <t>087:28:51.52 W</t>
  </si>
  <si>
    <t>039:05:57.37 N</t>
  </si>
  <si>
    <t>087:28:51.90 W</t>
  </si>
  <si>
    <t>039:05:56.13 N</t>
  </si>
  <si>
    <t>087:28:52.37 W</t>
  </si>
  <si>
    <t>039:05:54.90 N</t>
  </si>
  <si>
    <t>087:28:52.75 W</t>
  </si>
  <si>
    <t>039:05:53.66 N</t>
  </si>
  <si>
    <t>087:28:53.45 W</t>
  </si>
  <si>
    <t>039:05:52.66 N</t>
  </si>
  <si>
    <t>087:28:53.60 W</t>
  </si>
  <si>
    <t>039:05:51.81 N</t>
  </si>
  <si>
    <t>087:28:54.06 W</t>
  </si>
  <si>
    <t>039:05:50.65 N</t>
  </si>
  <si>
    <t>087:28:54.53 W</t>
  </si>
  <si>
    <t>039:05:49.64 N</t>
  </si>
  <si>
    <t>087:28:54.99 W</t>
  </si>
  <si>
    <t>039:05:48.41 N</t>
  </si>
  <si>
    <t>087:28:55.53 W</t>
  </si>
  <si>
    <t>039:05:47.56 N</t>
  </si>
  <si>
    <t>087:28:56.00 W</t>
  </si>
  <si>
    <t>039:05:46.32 N</t>
  </si>
  <si>
    <t>087:28:56.54 W</t>
  </si>
  <si>
    <t>039:05:45.32 N</t>
  </si>
  <si>
    <t>087:28:56.92 W</t>
  </si>
  <si>
    <t>039:05:44.00 N</t>
  </si>
  <si>
    <t>087:28:57.85 W</t>
  </si>
  <si>
    <t>039:05:43.00 N</t>
  </si>
  <si>
    <t>087:28:58.24 W</t>
  </si>
  <si>
    <t>039:05:41.76 N</t>
  </si>
  <si>
    <t>087:28:58.78 W</t>
  </si>
  <si>
    <t>039:05:40.76 N</t>
  </si>
  <si>
    <t>087:28:59.39 W</t>
  </si>
  <si>
    <t>039:05:39.60 N</t>
  </si>
  <si>
    <t>087:29:00.01 W</t>
  </si>
  <si>
    <t>039:05:38.52 N</t>
  </si>
  <si>
    <t>087:29:00.71 W</t>
  </si>
  <si>
    <t>039:05:37.28 N</t>
  </si>
  <si>
    <t>087:29:01.33 W</t>
  </si>
  <si>
    <t>039:05:35.89 N</t>
  </si>
  <si>
    <t>087:29:02.18 W</t>
  </si>
  <si>
    <t>039:05:34.73 N</t>
  </si>
  <si>
    <t>087:29:02.87 W</t>
  </si>
  <si>
    <t>039:05:33.19 N</t>
  </si>
  <si>
    <t>087:29:03.72 W</t>
  </si>
  <si>
    <t>039:05:32.42 N</t>
  </si>
  <si>
    <t>087:29:04.18 W</t>
  </si>
  <si>
    <t>039:05:31.41 N</t>
  </si>
  <si>
    <t>087:29:04.80 W</t>
  </si>
  <si>
    <t>039:05:30.25 N</t>
  </si>
  <si>
    <t>087:29:05.50 W</t>
  </si>
  <si>
    <t>039:05:29.10 N</t>
  </si>
  <si>
    <t>087:29:06.35 W</t>
  </si>
  <si>
    <t>039:05:28.09 N</t>
  </si>
  <si>
    <t>087:29:06.97 W</t>
  </si>
  <si>
    <t>039:05:27.01 N</t>
  </si>
  <si>
    <t>087:29:07.74 W</t>
  </si>
  <si>
    <t>039:05:26.01 N</t>
  </si>
  <si>
    <t>087:29:08.36 W</t>
  </si>
  <si>
    <t>039:05:24.69 N</t>
  </si>
  <si>
    <t>087:29:09.21 W</t>
  </si>
  <si>
    <t>039:05:23.69 N</t>
  </si>
  <si>
    <t>087:29:09.90 W</t>
  </si>
  <si>
    <t>039:05:22.37 N</t>
  </si>
  <si>
    <t>087:29:10.75 W</t>
  </si>
  <si>
    <t>039:05:20.98 N</t>
  </si>
  <si>
    <t>087:29:11.91 W</t>
  </si>
  <si>
    <t>039:05:19.98 N</t>
  </si>
  <si>
    <t>087:29:12.53 W</t>
  </si>
  <si>
    <t>039:05:18.67 N</t>
  </si>
  <si>
    <t>087:29:13.45 W</t>
  </si>
  <si>
    <t>039:05:17.35 N</t>
  </si>
  <si>
    <t>087:29:14.54 W</t>
  </si>
  <si>
    <t>039:05:16.35 N</t>
  </si>
  <si>
    <t>087:29:15.15 W</t>
  </si>
  <si>
    <t>039:05:15.27 N</t>
  </si>
  <si>
    <t>087:29:16.00 W</t>
  </si>
  <si>
    <t>039:05:14.11 N</t>
  </si>
  <si>
    <t>087:29:16.93 W</t>
  </si>
  <si>
    <t>039:05:12.95 N</t>
  </si>
  <si>
    <t>087:29:17.70 W</t>
  </si>
  <si>
    <t>039:05:11.64 N</t>
  </si>
  <si>
    <t>087:29:18.78 W</t>
  </si>
  <si>
    <t>039:05:10.17 N</t>
  </si>
  <si>
    <t>087:29:19.87 W</t>
  </si>
  <si>
    <t>039:05:09.09 N</t>
  </si>
  <si>
    <t>087:29:20.64 W</t>
  </si>
  <si>
    <t>039:05:08.01 N</t>
  </si>
  <si>
    <t>087:29:21.80 W</t>
  </si>
  <si>
    <t>039:05:07.00 N</t>
  </si>
  <si>
    <t>087:29:22.41 W</t>
  </si>
  <si>
    <t>039:05:05.69 N</t>
  </si>
  <si>
    <t>087:29:23.50 W</t>
  </si>
  <si>
    <t>039:05:04.61 N</t>
  </si>
  <si>
    <t>087:29:24.42 W</t>
  </si>
  <si>
    <t>039:05:03.37 N</t>
  </si>
  <si>
    <t>087:29:25.43 W</t>
  </si>
  <si>
    <t>039:05:02.45 N</t>
  </si>
  <si>
    <t>087:29:26.35 W</t>
  </si>
  <si>
    <t>039:05:01.36 N</t>
  </si>
  <si>
    <t>087:29:27.05 W</t>
  </si>
  <si>
    <t>039:05:00.05 N</t>
  </si>
  <si>
    <t>087:29:28.13 W</t>
  </si>
  <si>
    <t>039:04:58.97 N</t>
  </si>
  <si>
    <t>087:29:29.06 W</t>
  </si>
  <si>
    <t>039:04:58.12 N</t>
  </si>
  <si>
    <t>087:29:29.99 W</t>
  </si>
  <si>
    <t>039:04:57.04 N</t>
  </si>
  <si>
    <t>087:29:30.76 W</t>
  </si>
  <si>
    <t>039:04:55.80 N</t>
  </si>
  <si>
    <t>087:29:31.68 W</t>
  </si>
  <si>
    <t>039:04:54.72 N</t>
  </si>
  <si>
    <t>087:29:32.77 W</t>
  </si>
  <si>
    <t>039:04:53.87 N</t>
  </si>
  <si>
    <t>087:29:33.38 W</t>
  </si>
  <si>
    <t>039:04:52.71 N</t>
  </si>
  <si>
    <t>087:29:34.47 W</t>
  </si>
  <si>
    <t>039:04:51.71 N</t>
  </si>
  <si>
    <t>087:29:35.39 W</t>
  </si>
  <si>
    <t>039:04:50.55 N</t>
  </si>
  <si>
    <t>087:29:36.40 W</t>
  </si>
  <si>
    <t>039:04:49.54 N</t>
  </si>
  <si>
    <t>087:29:37.25 W</t>
  </si>
  <si>
    <t>039:04:48.23 N</t>
  </si>
  <si>
    <t>087:29:38.33 W</t>
  </si>
  <si>
    <t>039:04:47.15 N</t>
  </si>
  <si>
    <t>087:29:39.33 W</t>
  </si>
  <si>
    <t>039:04:46.07 N</t>
  </si>
  <si>
    <t>087:29:40.26 W</t>
  </si>
  <si>
    <t>039:04:45.30 N</t>
  </si>
  <si>
    <t>087:29:41.11 W</t>
  </si>
  <si>
    <t>039:04:44.14 N</t>
  </si>
  <si>
    <t>087:29:42.19 W</t>
  </si>
  <si>
    <t>039:04:42.82 N</t>
  </si>
  <si>
    <t>087:29:43.27 W</t>
  </si>
  <si>
    <t>039:04:41.67 N</t>
  </si>
  <si>
    <t>087:29:44.35 W</t>
  </si>
  <si>
    <t>039:04:40.35 N</t>
  </si>
  <si>
    <t>087:29:45.67 W</t>
  </si>
  <si>
    <t>039:04:38.96 N</t>
  </si>
  <si>
    <t>087:29:46.75 W</t>
  </si>
  <si>
    <t>039:04:38.03 N</t>
  </si>
  <si>
    <t>087:29:47.60 W</t>
  </si>
  <si>
    <t>039:04:37.19 N</t>
  </si>
  <si>
    <t>087:29:48.45 W</t>
  </si>
  <si>
    <t>039:04:36.10 N</t>
  </si>
  <si>
    <t>087:29:49.45 W</t>
  </si>
  <si>
    <t>039:04:35.02 N</t>
  </si>
  <si>
    <t>087:29:50.61 W</t>
  </si>
  <si>
    <t>039:04:33.94 N</t>
  </si>
  <si>
    <t>087:29:51.46 W</t>
  </si>
  <si>
    <t>039:04:32.55 N</t>
  </si>
  <si>
    <t>087:29:52.77 W</t>
  </si>
  <si>
    <t>039:04:31.70 N</t>
  </si>
  <si>
    <t>087:29:53.62 W</t>
  </si>
  <si>
    <t>039:04:30.39 N</t>
  </si>
  <si>
    <t>087:29:54.70 W</t>
  </si>
  <si>
    <t>039:04:29.31 N</t>
  </si>
  <si>
    <t>087:29:55.94 W</t>
  </si>
  <si>
    <t>039:04:28.07 N</t>
  </si>
  <si>
    <t>087:29:56.94 W</t>
  </si>
  <si>
    <t>039:04:27.22 N</t>
  </si>
  <si>
    <t>087:29:57.79 W</t>
  </si>
  <si>
    <t>039:04:26.14 N</t>
  </si>
  <si>
    <t>087:29:58.72 W</t>
  </si>
  <si>
    <t>039:04:24.83 N</t>
  </si>
  <si>
    <t>087:30:00.03 W</t>
  </si>
  <si>
    <t>039:04:23.98 N</t>
  </si>
  <si>
    <t>087:30:00.88 W</t>
  </si>
  <si>
    <t>039:04:22.89 N</t>
  </si>
  <si>
    <t>087:30:01.97 W</t>
  </si>
  <si>
    <t>039:04:21.66 N</t>
  </si>
  <si>
    <t>087:30:03.05 W</t>
  </si>
  <si>
    <t>039:04:20.65 N</t>
  </si>
  <si>
    <t>087:30:03.97 W</t>
  </si>
  <si>
    <t>039:04:19.65 N</t>
  </si>
  <si>
    <t>087:30:04.82 W</t>
  </si>
  <si>
    <t>039:04:18.57 N</t>
  </si>
  <si>
    <t>087:30:05.83 W</t>
  </si>
  <si>
    <t>039:04:17.26 N</t>
  </si>
  <si>
    <t>087:30:07.14 W</t>
  </si>
  <si>
    <t>039:04:16.17 N</t>
  </si>
  <si>
    <t>087:30:08.38 W</t>
  </si>
  <si>
    <t>039:04:15.09 N</t>
  </si>
  <si>
    <t>087:30:09.30 W</t>
  </si>
  <si>
    <t>039:04:14.01 N</t>
  </si>
  <si>
    <t>087:30:10.31 W</t>
  </si>
  <si>
    <t>039:04:12.77 N</t>
  </si>
  <si>
    <t>087:30:11.47 W</t>
  </si>
  <si>
    <t>039:04:12.00 N</t>
  </si>
  <si>
    <t>087:30:12.32 W</t>
  </si>
  <si>
    <t>039:04:10.77 N</t>
  </si>
  <si>
    <t>087:30:13.40 W</t>
  </si>
  <si>
    <t>039:04:09.92 N</t>
  </si>
  <si>
    <t>087:30:14.25 W</t>
  </si>
  <si>
    <t>039:04:09.14 N</t>
  </si>
  <si>
    <t>087:30:15.17 W</t>
  </si>
  <si>
    <t>039:04:07.75 N</t>
  </si>
  <si>
    <t>087:30:16.26 W</t>
  </si>
  <si>
    <t>039:04:06.67 N</t>
  </si>
  <si>
    <t>087:30:17.49 W</t>
  </si>
  <si>
    <t>039:04:05.59 N</t>
  </si>
  <si>
    <t>087:30:18.42 W</t>
  </si>
  <si>
    <t>039:04:04.59 N</t>
  </si>
  <si>
    <t>087:30:19.35 W</t>
  </si>
  <si>
    <t>039:04:03.58 N</t>
  </si>
  <si>
    <t>087:30:20.50 W</t>
  </si>
  <si>
    <t>039:04:02.73 N</t>
  </si>
  <si>
    <t>087:30:21.35 W</t>
  </si>
  <si>
    <t>039:04:01.57 N</t>
  </si>
  <si>
    <t>087:30:22.44 W</t>
  </si>
  <si>
    <t>039:04:00.72 N</t>
  </si>
  <si>
    <t>087:30:23.29 W</t>
  </si>
  <si>
    <t>039:03:59.72 N</t>
  </si>
  <si>
    <t>087:30:23.98 W</t>
  </si>
  <si>
    <t>039:03:58.64 N</t>
  </si>
  <si>
    <t>087:30:25.22 W</t>
  </si>
  <si>
    <t>039:03:57.33 N</t>
  </si>
  <si>
    <t>087:30:26.45 W</t>
  </si>
  <si>
    <t>039:03:56.48 N</t>
  </si>
  <si>
    <t>087:30:27.38 W</t>
  </si>
  <si>
    <t>039:03:55.16 N</t>
  </si>
  <si>
    <t>087:30:28.62 W</t>
  </si>
  <si>
    <t>039:03:54.16 N</t>
  </si>
  <si>
    <t>087:30:29.47 W</t>
  </si>
  <si>
    <t>039:03:53.23 N</t>
  </si>
  <si>
    <t>087:30:30.55 W</t>
  </si>
  <si>
    <t>039:03:52.15 N</t>
  </si>
  <si>
    <t>087:30:31.40 W</t>
  </si>
  <si>
    <t>039:03:51.22 N</t>
  </si>
  <si>
    <t>087:30:32.48 W</t>
  </si>
  <si>
    <t>039:03:49.99 N</t>
  </si>
  <si>
    <t>087:30:33.64 W</t>
  </si>
  <si>
    <t>039:03:48.91 N</t>
  </si>
  <si>
    <t>087:30:34.64 W</t>
  </si>
  <si>
    <t>039:03:47.82 N</t>
  </si>
  <si>
    <t>087:30:35.57 W</t>
  </si>
  <si>
    <t>039:03:46.97 N</t>
  </si>
  <si>
    <t>087:30:36.50 W</t>
  </si>
  <si>
    <t>039:03:45.74 N</t>
  </si>
  <si>
    <t>087:30:37.65 W</t>
  </si>
  <si>
    <t>039:03:44.97 N</t>
  </si>
  <si>
    <t>087:30:38.50 W</t>
  </si>
  <si>
    <t>039:03:43.96 N</t>
  </si>
  <si>
    <t>087:30:39.35 W</t>
  </si>
  <si>
    <t>039:03:42.65 N</t>
  </si>
  <si>
    <t>087:30:40.67 W</t>
  </si>
  <si>
    <t>039:03:41.64 N</t>
  </si>
  <si>
    <t>087:30:41.75 W</t>
  </si>
  <si>
    <t>039:03:40.25 N</t>
  </si>
  <si>
    <t>087:30:43.06 W</t>
  </si>
  <si>
    <t>039:03:39.17 N</t>
  </si>
  <si>
    <t>087:30:44.14 W</t>
  </si>
  <si>
    <t>039:03:37.94 N</t>
  </si>
  <si>
    <t>087:30:45.30 W</t>
  </si>
  <si>
    <t>039:03:36.62 N</t>
  </si>
  <si>
    <t>087:30:46.61 W</t>
  </si>
  <si>
    <t>039:03:35.54 N</t>
  </si>
  <si>
    <t>087:30:47.54 W</t>
  </si>
  <si>
    <t>039:03:34.46 N</t>
  </si>
  <si>
    <t>087:30:48.55 W</t>
  </si>
  <si>
    <t>039:03:33.38 N</t>
  </si>
  <si>
    <t>087:30:49.70 W</t>
  </si>
  <si>
    <t>039:03:32.22 N</t>
  </si>
  <si>
    <t>087:30:50.79 W</t>
  </si>
  <si>
    <t>039:03:31.37 N</t>
  </si>
  <si>
    <t>087:30:51.64 W</t>
  </si>
  <si>
    <t>039:03:30.29 N</t>
  </si>
  <si>
    <t>087:30:52.72 W</t>
  </si>
  <si>
    <t>039:03:28.98 N</t>
  </si>
  <si>
    <t>087:30:54.03 W</t>
  </si>
  <si>
    <t>039:03:27.97 N</t>
  </si>
  <si>
    <t>087:30:54.88 W</t>
  </si>
  <si>
    <t>039:03:26.89 N</t>
  </si>
  <si>
    <t>087:30:56.04 W</t>
  </si>
  <si>
    <t>039:03:25.58 N</t>
  </si>
  <si>
    <t>087:30:57.35 W</t>
  </si>
  <si>
    <t>039:03:24.19 N</t>
  </si>
  <si>
    <t>087:30:58.67 W</t>
  </si>
  <si>
    <t>039:03:23.34 N</t>
  </si>
  <si>
    <t>087:30:59.51 W</t>
  </si>
  <si>
    <t>039:03:22.33 N</t>
  </si>
  <si>
    <t>087:31:00.44 W</t>
  </si>
  <si>
    <t>039:03:21.02 N</t>
  </si>
  <si>
    <t>087:31:01.52 W</t>
  </si>
  <si>
    <t>039:03:20.09 N</t>
  </si>
  <si>
    <t>087:31:02.60 W</t>
  </si>
  <si>
    <t>039:03:18.55 N</t>
  </si>
  <si>
    <t>087:31:04.07 W</t>
  </si>
  <si>
    <t>039:03:17.77 N</t>
  </si>
  <si>
    <t>087:31:05.00 W</t>
  </si>
  <si>
    <t>039:03:16.46 N</t>
  </si>
  <si>
    <t>087:31:06.24 W</t>
  </si>
  <si>
    <t>039:03:15.15 N</t>
  </si>
  <si>
    <t>087:31:07.55 W</t>
  </si>
  <si>
    <t>039:03:13.99 N</t>
  </si>
  <si>
    <t>087:31:08.55 W</t>
  </si>
  <si>
    <t>039:03:12.83 N</t>
  </si>
  <si>
    <t>087:31:09.71 W</t>
  </si>
  <si>
    <t>039:03:11.52 N</t>
  </si>
  <si>
    <t>087:31:10.95 W</t>
  </si>
  <si>
    <t>039:03:10.20 N</t>
  </si>
  <si>
    <t>087:31:12.26 W</t>
  </si>
  <si>
    <t>039:03:09.12 N</t>
  </si>
  <si>
    <t>087:31:13.19 W</t>
  </si>
  <si>
    <t>039:03:07.81 N</t>
  </si>
  <si>
    <t>087:31:14.50 W</t>
  </si>
  <si>
    <t>039:03:06.81 N</t>
  </si>
  <si>
    <t>087:31:15.35 W</t>
  </si>
  <si>
    <t>039:03:05.72 N</t>
  </si>
  <si>
    <t>087:31:16.59 W</t>
  </si>
  <si>
    <t>039:03:04.57 N</t>
  </si>
  <si>
    <t>087:31:17.59 W</t>
  </si>
  <si>
    <t>039:03:03.56 N</t>
  </si>
  <si>
    <t>087:31:18.75 W</t>
  </si>
  <si>
    <t>039:03:02.56 N</t>
  </si>
  <si>
    <t>087:31:19.60 W</t>
  </si>
  <si>
    <t>039:03:01.78 N</t>
  </si>
  <si>
    <t>087:31:20.45 W</t>
  </si>
  <si>
    <t>039:03:00.55 N</t>
  </si>
  <si>
    <t>087:31:21.53 W</t>
  </si>
  <si>
    <t>039:02:59.24 N</t>
  </si>
  <si>
    <t>087:31:22.84 W</t>
  </si>
  <si>
    <t>039:02:58.15 N</t>
  </si>
  <si>
    <t>087:31:23.85 W</t>
  </si>
  <si>
    <t>039:02:57.30 N</t>
  </si>
  <si>
    <t>087:31:24.77 W</t>
  </si>
  <si>
    <t>039:02:54.91 N</t>
  </si>
  <si>
    <t>087:31:27.02 W</t>
  </si>
  <si>
    <t>039:02:52.67 N</t>
  </si>
  <si>
    <t>087:31:29.18 W</t>
  </si>
  <si>
    <t>039:02:50.20 N</t>
  </si>
  <si>
    <t>087:31:31.65 W</t>
  </si>
  <si>
    <t>039:02:48.34 N</t>
  </si>
  <si>
    <t>087:31:33.35 W</t>
  </si>
  <si>
    <t>039:02:45.95 N</t>
  </si>
  <si>
    <t>087:31:35.67 W</t>
  </si>
  <si>
    <t>039:02:43.48 N</t>
  </si>
  <si>
    <t>087:31:38.22 W</t>
  </si>
  <si>
    <t>DC</t>
  </si>
  <si>
    <t>Evansville</t>
  </si>
  <si>
    <t>039:02:40.15 N</t>
  </si>
  <si>
    <t>087:31:41.54 W</t>
  </si>
  <si>
    <t>039:02:37.91 N</t>
  </si>
  <si>
    <t>087:31:43.70 W</t>
  </si>
  <si>
    <t>039:02:35.91 N</t>
  </si>
  <si>
    <t>087:31:45.55 W</t>
  </si>
  <si>
    <t>039:02:33.74 N</t>
  </si>
  <si>
    <t>087:31:47.72 W</t>
  </si>
  <si>
    <t>039:02:31.89 N</t>
  </si>
  <si>
    <t>087:31:49.65 W</t>
  </si>
  <si>
    <t>039:02:29.49 N</t>
  </si>
  <si>
    <t>087:31:51.81 W</t>
  </si>
  <si>
    <t>039:02:27.33 N</t>
  </si>
  <si>
    <t>087:31:53.97 W</t>
  </si>
  <si>
    <t>039:02:25.40 N</t>
  </si>
  <si>
    <t>087:31:55.83 W</t>
  </si>
  <si>
    <t>039:02:23.01 N</t>
  </si>
  <si>
    <t>087:31:58.30 W</t>
  </si>
  <si>
    <t>039:02:20.92 N</t>
  </si>
  <si>
    <t>087:32:00.23 W</t>
  </si>
  <si>
    <t>039:02:18.99 N</t>
  </si>
  <si>
    <t>087:32:02.16 W</t>
  </si>
  <si>
    <t>039:02:16.83 N</t>
  </si>
  <si>
    <t>087:32:04.17 W</t>
  </si>
  <si>
    <t>039:02:14.51 N</t>
  </si>
  <si>
    <t>087:32:06.41 W</t>
  </si>
  <si>
    <t>039:02:12.11 N</t>
  </si>
  <si>
    <t>087:32:08.73 W</t>
  </si>
  <si>
    <t>039:02:09.64 N</t>
  </si>
  <si>
    <t>087:32:11.20 W</t>
  </si>
  <si>
    <t>039:02:07.71 N</t>
  </si>
  <si>
    <t>087:32:13.13 W</t>
  </si>
  <si>
    <t>039:02:05.24 N</t>
  </si>
  <si>
    <t>087:32:15.37 W</t>
  </si>
  <si>
    <t>039:02:03.62 N</t>
  </si>
  <si>
    <t>087:32:17.07 W</t>
  </si>
  <si>
    <t>039:02:01.76 N</t>
  </si>
  <si>
    <t>087:32:18.93 W</t>
  </si>
  <si>
    <t>039:01:59.37 N</t>
  </si>
  <si>
    <t>087:32:21.09 W</t>
  </si>
  <si>
    <t>039:01:57.21 N</t>
  </si>
  <si>
    <t>087:32:23.25 W</t>
  </si>
  <si>
    <t>039:01:55.20 N</t>
  </si>
  <si>
    <t>087:32:25.26 W</t>
  </si>
  <si>
    <t>039:01:52.88 N</t>
  </si>
  <si>
    <t>087:32:27.50 W</t>
  </si>
  <si>
    <t>039:01:51.03 N</t>
  </si>
  <si>
    <t>087:32:29.20 W</t>
  </si>
  <si>
    <t>039:01:48.86 N</t>
  </si>
  <si>
    <t>087:32:31.36 W</t>
  </si>
  <si>
    <t>039:01:46.47 N</t>
  </si>
  <si>
    <t>087:32:33.53 W</t>
  </si>
  <si>
    <t>039:01:44.30 N</t>
  </si>
  <si>
    <t>087:32:35.69 W</t>
  </si>
  <si>
    <t>039:01:42.45 N</t>
  </si>
  <si>
    <t>087:32:37.54 W</t>
  </si>
  <si>
    <t>039:01:40.52 N</t>
  </si>
  <si>
    <t>087:32:39.32 W</t>
  </si>
  <si>
    <t>039:01:38.51 N</t>
  </si>
  <si>
    <t>087:32:41.25 W</t>
  </si>
  <si>
    <t>039:01:36.43 N</t>
  </si>
  <si>
    <t>087:32:43.41 W</t>
  </si>
  <si>
    <t>039:01:34.26 N</t>
  </si>
  <si>
    <t>087:32:45.34 W</t>
  </si>
  <si>
    <t>039:01:32.10 N</t>
  </si>
  <si>
    <t>087:32:47.51 W</t>
  </si>
  <si>
    <t>039:01:30.17 N</t>
  </si>
  <si>
    <t>087:32:49.44 W</t>
  </si>
  <si>
    <t>039:01:28.24 N</t>
  </si>
  <si>
    <t>087:32:51.14 W</t>
  </si>
  <si>
    <t>039:01:26.07 N</t>
  </si>
  <si>
    <t>087:32:53.38 W</t>
  </si>
  <si>
    <t>039:01:24.07 N</t>
  </si>
  <si>
    <t>087:32:55.31 W</t>
  </si>
  <si>
    <t>039:01:21.59 N</t>
  </si>
  <si>
    <t>087:32:57.63 W</t>
  </si>
  <si>
    <t>039:01:19.35 N</t>
  </si>
  <si>
    <t>087:32:59.71 W</t>
  </si>
  <si>
    <t>039:01:17.42 N</t>
  </si>
  <si>
    <t>087:33:01.49 W</t>
  </si>
  <si>
    <t>039:01:15.34 N</t>
  </si>
  <si>
    <t>087:33:03.65 W</t>
  </si>
  <si>
    <t>039:01:12.94 N</t>
  </si>
  <si>
    <t>087:33:05.66 W</t>
  </si>
  <si>
    <t>039:01:10.93 N</t>
  </si>
  <si>
    <t>087:33:07.90 W</t>
  </si>
  <si>
    <t>039:01:09.08 N</t>
  </si>
  <si>
    <t>087:33:09.60 W</t>
  </si>
  <si>
    <t>039:01:06.76 N</t>
  </si>
  <si>
    <t>087:33:11.84 W</t>
  </si>
  <si>
    <t>039:01:04.45 N</t>
  </si>
  <si>
    <t>087:33:13.93 W</t>
  </si>
  <si>
    <t>039:01:02.59 N</t>
  </si>
  <si>
    <t>087:33:15.78 W</t>
  </si>
  <si>
    <t>039:01:00.35 N</t>
  </si>
  <si>
    <t>087:33:18.02 W</t>
  </si>
  <si>
    <t>039:00:58.42 N</t>
  </si>
  <si>
    <t>087:33:19.72 W</t>
  </si>
  <si>
    <t>039:00:56.49 N</t>
  </si>
  <si>
    <t>087:33:21.65 W</t>
  </si>
  <si>
    <t>039:00:54.17 N</t>
  </si>
  <si>
    <t>087:33:23.89 W</t>
  </si>
  <si>
    <t>039:00:52.01 N</t>
  </si>
  <si>
    <t>087:33:25.90 W</t>
  </si>
  <si>
    <t>039:00:49.77 N</t>
  </si>
  <si>
    <t>087:33:28.14 W</t>
  </si>
  <si>
    <t>039:00:47.99 N</t>
  </si>
  <si>
    <t>087:33:29.84 W</t>
  </si>
  <si>
    <t>039:00:45.98 N</t>
  </si>
  <si>
    <t>087:33:31.54 W</t>
  </si>
  <si>
    <t>039:00:43.82 N</t>
  </si>
  <si>
    <t>087:33:33.78 W</t>
  </si>
  <si>
    <t>039:00:41.50 N</t>
  </si>
  <si>
    <t>087:33:36.10 W</t>
  </si>
  <si>
    <t>039:00:39.11 N</t>
  </si>
  <si>
    <t>087:33:38.18 W</t>
  </si>
  <si>
    <t>039:00:37.10 N</t>
  </si>
  <si>
    <t>087:33:40.19 W</t>
  </si>
  <si>
    <t>039:00:34.78 N</t>
  </si>
  <si>
    <t>087:33:42.51 W</t>
  </si>
  <si>
    <t>039:00:32.39 N</t>
  </si>
  <si>
    <t>087:33:44.59 W</t>
  </si>
  <si>
    <t>039:00:30.15 N</t>
  </si>
  <si>
    <t>087:33:46.83 W</t>
  </si>
  <si>
    <t>039:00:28.22 N</t>
  </si>
  <si>
    <t>087:33:48.76 W</t>
  </si>
  <si>
    <t>039:00:26.21 N</t>
  </si>
  <si>
    <t>087:33:50.46 W</t>
  </si>
  <si>
    <t>039:00:23.89 N</t>
  </si>
  <si>
    <t>087:33:52.86 W</t>
  </si>
  <si>
    <t>039:00:21.88 N</t>
  </si>
  <si>
    <t>087:33:54.79 W</t>
  </si>
  <si>
    <t>039:00:19.80 N</t>
  </si>
  <si>
    <t>087:33:56.72 W</t>
  </si>
  <si>
    <t>039:00:17.79 N</t>
  </si>
  <si>
    <t>087:33:58.65 W</t>
  </si>
  <si>
    <t>039:00:15.47 N</t>
  </si>
  <si>
    <t>087:34:00.82 W</t>
  </si>
  <si>
    <t>039:00:13.31 N</t>
  </si>
  <si>
    <t>087:34:02.82 W</t>
  </si>
  <si>
    <t>039:00:11.30 N</t>
  </si>
  <si>
    <t>087:34:04.99 W</t>
  </si>
  <si>
    <t>039:00:09.14 N</t>
  </si>
  <si>
    <t>087:34:06.99 W</t>
  </si>
  <si>
    <t>039:00:07.13 N</t>
  </si>
  <si>
    <t>087:34:08.93 W</t>
  </si>
  <si>
    <t>039:00:05.12 N</t>
  </si>
  <si>
    <t>087:34:10.93 W</t>
  </si>
  <si>
    <t>039:00:03.11 N</t>
  </si>
  <si>
    <t>087:34:12.63 W</t>
  </si>
  <si>
    <t>039:00:01.18 N</t>
  </si>
  <si>
    <t>087:34:14.57 W</t>
  </si>
  <si>
    <t>038:59:58.71 N</t>
  </si>
  <si>
    <t>087:34:16.88 W</t>
  </si>
  <si>
    <t>038:59:56.85 N</t>
  </si>
  <si>
    <t>087:34:18.66 W</t>
  </si>
  <si>
    <t>038:59:54.92 N</t>
  </si>
  <si>
    <t>087:34:20.59 W</t>
  </si>
  <si>
    <t>038:59:52.53 N</t>
  </si>
  <si>
    <t>087:34:22.83 W</t>
  </si>
  <si>
    <t>038:59:50.75 N</t>
  </si>
  <si>
    <t>087:34:24.45 W</t>
  </si>
  <si>
    <t>038:59:48.67 N</t>
  </si>
  <si>
    <t>087:34:26.62 W</t>
  </si>
  <si>
    <t>038:59:46.81 N</t>
  </si>
  <si>
    <t>087:34:28.32 W</t>
  </si>
  <si>
    <t>038:59:44.80 N</t>
  </si>
  <si>
    <t>087:34:30.25 W</t>
  </si>
  <si>
    <t>038:59:43.03 N</t>
  </si>
  <si>
    <t>087:34:31.95 W</t>
  </si>
  <si>
    <t>038:59:41.17 N</t>
  </si>
  <si>
    <t>087:34:33.80 W</t>
  </si>
  <si>
    <t>038:59:39.16 N</t>
  </si>
  <si>
    <t>087:34:35.73 W</t>
  </si>
  <si>
    <t>038:59:36.92 N</t>
  </si>
  <si>
    <t>087:34:37.74 W</t>
  </si>
  <si>
    <t>038:59:34.92 N</t>
  </si>
  <si>
    <t>087:34:39.67 W</t>
  </si>
  <si>
    <t>038:59:32.75 N</t>
  </si>
  <si>
    <t>087:34:41.91 W</t>
  </si>
  <si>
    <t>038:59:30.51 N</t>
  </si>
  <si>
    <t>087:34:44.00 W</t>
  </si>
  <si>
    <t>038:59:28.50 N</t>
  </si>
  <si>
    <t>087:34:45.93 W</t>
  </si>
  <si>
    <t>038:59:26.57 N</t>
  </si>
  <si>
    <t>087:34:47.86 W</t>
  </si>
  <si>
    <t>038:59:24.87 N</t>
  </si>
  <si>
    <t>087:34:49.40 W</t>
  </si>
  <si>
    <t>038:59:22.94 N</t>
  </si>
  <si>
    <t>087:34:51.34 W</t>
  </si>
  <si>
    <t>038:59:20.70 N</t>
  </si>
  <si>
    <t>087:34:53.58 W</t>
  </si>
  <si>
    <t>038:59:18.77 N</t>
  </si>
  <si>
    <t>087:34:55.20 W</t>
  </si>
  <si>
    <t>038:59:16.99 N</t>
  </si>
  <si>
    <t>087:34:56.82 W</t>
  </si>
  <si>
    <t>038:59:15.37 N</t>
  </si>
  <si>
    <t>087:34:58.60 W</t>
  </si>
  <si>
    <t>038:59:13.13 N</t>
  </si>
  <si>
    <t>087:35:00.84 W</t>
  </si>
  <si>
    <t>038:59:11.12 N</t>
  </si>
  <si>
    <t>087:35:02.77 W</t>
  </si>
  <si>
    <t>038:59:09.11 N</t>
  </si>
  <si>
    <t>087:35:04.54 W</t>
  </si>
  <si>
    <t>038:59:06.95 N</t>
  </si>
  <si>
    <t>087:35:06.78 W</t>
  </si>
  <si>
    <t>038:59:04.94 N</t>
  </si>
  <si>
    <t>087:35:08.72 W</t>
  </si>
  <si>
    <t>038:59:03.09 N</t>
  </si>
  <si>
    <t>087:35:10.26 W</t>
  </si>
  <si>
    <t>038:59:01.00 N</t>
  </si>
  <si>
    <t>087:35:12.35 W</t>
  </si>
  <si>
    <t>038:58:58.99 N</t>
  </si>
  <si>
    <t>087:35:14.28 W</t>
  </si>
  <si>
    <t>038:58:57.06 N</t>
  </si>
  <si>
    <t>087:35:16.21 W</t>
  </si>
  <si>
    <t>038:58:55.21 N</t>
  </si>
  <si>
    <t>087:35:17.91 W</t>
  </si>
  <si>
    <t>038:58:53.12 N</t>
  </si>
  <si>
    <t>087:35:19.92 W</t>
  </si>
  <si>
    <t>038:58:51.35 N</t>
  </si>
  <si>
    <t>087:35:21.69 W</t>
  </si>
  <si>
    <t>038:58:49.11 N</t>
  </si>
  <si>
    <t>087:35:23.78 W</t>
  </si>
  <si>
    <t>038:58:47.49 N</t>
  </si>
  <si>
    <t>087:35:25.40 W</t>
  </si>
  <si>
    <t>038:58:45.71 N</t>
  </si>
  <si>
    <t>087:35:27.02 W</t>
  </si>
  <si>
    <t>038:58:44.16 N</t>
  </si>
  <si>
    <t>087:35:28.49 W</t>
  </si>
  <si>
    <t>038:58:42.31 N</t>
  </si>
  <si>
    <t>087:35:30.27 W</t>
  </si>
  <si>
    <t>038:58:40.46 N</t>
  </si>
  <si>
    <t>087:35:32.04 W</t>
  </si>
  <si>
    <t>038:58:38.76 N</t>
  </si>
  <si>
    <t>087:35:33.90 W</t>
  </si>
  <si>
    <t>038:58:36.98 N</t>
  </si>
  <si>
    <t>087:35:35.52 W</t>
  </si>
  <si>
    <t>038:58:34.82 N</t>
  </si>
  <si>
    <t>087:35:37.53 W</t>
  </si>
  <si>
    <t>038:58:32.73 N</t>
  </si>
  <si>
    <t>087:35:39.46 W</t>
  </si>
  <si>
    <t>038:58:30.72 N</t>
  </si>
  <si>
    <t>087:35:41.47 W</t>
  </si>
  <si>
    <t>038:58:29.02 N</t>
  </si>
  <si>
    <t>087:35:43.09 W</t>
  </si>
  <si>
    <t>038:58:27.25 N</t>
  </si>
  <si>
    <t>087:35:44.71 W</t>
  </si>
  <si>
    <t>038:58:25.55 N</t>
  </si>
  <si>
    <t>087:35:46.34 W</t>
  </si>
  <si>
    <t>038:58:23.62 N</t>
  </si>
  <si>
    <t>087:35:48.27 W</t>
  </si>
  <si>
    <t>038:58:21.30 N</t>
  </si>
  <si>
    <t>087:35:50.43 W</t>
  </si>
  <si>
    <t>038:58:19.44 N</t>
  </si>
  <si>
    <t>087:35:52.36 W</t>
  </si>
  <si>
    <t>038:58:17.51 N</t>
  </si>
  <si>
    <t>087:35:54.06 W</t>
  </si>
  <si>
    <t>038:58:15.50 N</t>
  </si>
  <si>
    <t>087:35:55.99 W</t>
  </si>
  <si>
    <t>038:58:13.50 N</t>
  </si>
  <si>
    <t>087:35:57.92 W</t>
  </si>
  <si>
    <t>038:58:11.41 N</t>
  </si>
  <si>
    <t>087:35:59.85 W</t>
  </si>
  <si>
    <t>038:58:09.63 N</t>
  </si>
  <si>
    <t>087:36:01.71 W</t>
  </si>
  <si>
    <t>038:58:07.63 N</t>
  </si>
  <si>
    <t>087:36:03.56 W</t>
  </si>
  <si>
    <t>038:58:05.93 N</t>
  </si>
  <si>
    <t>087:36:05.18 W</t>
  </si>
  <si>
    <t>038:58:03.84 N</t>
  </si>
  <si>
    <t>087:36:07.19 W</t>
  </si>
  <si>
    <t>038:58:02.06 N</t>
  </si>
  <si>
    <t>087:36:08.89 W</t>
  </si>
  <si>
    <t>038:58:00.29 N</t>
  </si>
  <si>
    <t>087:36:10.67 W</t>
  </si>
  <si>
    <t>038:57:58.51 N</t>
  </si>
  <si>
    <t>087:36:12.37 W</t>
  </si>
  <si>
    <t>038:57:56.73 N</t>
  </si>
  <si>
    <t>087:36:13.99 W</t>
  </si>
  <si>
    <t>038:57:54.88 N</t>
  </si>
  <si>
    <t>087:36:15.77 W</t>
  </si>
  <si>
    <t>038:57:52.95 N</t>
  </si>
  <si>
    <t>087:36:17.70 W</t>
  </si>
  <si>
    <t>038:57:51.17 N</t>
  </si>
  <si>
    <t>087:36:19.24 W</t>
  </si>
  <si>
    <t>038:57:49.16 N</t>
  </si>
  <si>
    <t>087:36:21.41 W</t>
  </si>
  <si>
    <t>038:57:47.15 N</t>
  </si>
  <si>
    <t>087:36:23.11 W</t>
  </si>
  <si>
    <t>038:57:45.38 N</t>
  </si>
  <si>
    <t>087:36:25.04 W</t>
  </si>
  <si>
    <t>038:57:43.52 N</t>
  </si>
  <si>
    <t>087:36:26.74 W</t>
  </si>
  <si>
    <t>038:57:41.59 N</t>
  </si>
  <si>
    <t>087:36:28.44 W</t>
  </si>
  <si>
    <t>038:57:39.74 N</t>
  </si>
  <si>
    <t>087:36:30.37 W</t>
  </si>
  <si>
    <t>038:57:37.65 N</t>
  </si>
  <si>
    <t>087:36:32.22 W</t>
  </si>
  <si>
    <t>038:57:35.95 N</t>
  </si>
  <si>
    <t>087:36:33.84 W</t>
  </si>
  <si>
    <t>038:57:34.18 N</t>
  </si>
  <si>
    <t>087:36:35.77 W</t>
  </si>
  <si>
    <t>038:57:32.40 N</t>
  </si>
  <si>
    <t>087:36:37.24 W</t>
  </si>
  <si>
    <t>038:57:30.39 N</t>
  </si>
  <si>
    <t>087:36:39.17 W</t>
  </si>
  <si>
    <t>038:57:28.62 N</t>
  </si>
  <si>
    <t>087:36:40.79 W</t>
  </si>
  <si>
    <t>038:57:26.61 N</t>
  </si>
  <si>
    <t>087:36:42.65 W</t>
  </si>
  <si>
    <t>038:57:24.91 N</t>
  </si>
  <si>
    <t>087:36:44.04 W</t>
  </si>
  <si>
    <t>038:57:22.90 N</t>
  </si>
  <si>
    <t>087:36:45.82 W</t>
  </si>
  <si>
    <t>038:57:21.12 N</t>
  </si>
  <si>
    <t>087:36:47.13 W</t>
  </si>
  <si>
    <t>038:57:19.19 N</t>
  </si>
  <si>
    <t>087:36:48.67 W</t>
  </si>
  <si>
    <t>038:57:17.18 N</t>
  </si>
  <si>
    <t>087:36:49.99 W</t>
  </si>
  <si>
    <t>038:57:15.17 N</t>
  </si>
  <si>
    <t>087:36:51.30 W</t>
  </si>
  <si>
    <t>038:57:13.24 N</t>
  </si>
  <si>
    <t>087:36:52.30 W</t>
  </si>
  <si>
    <t>038:57:11.39 N</t>
  </si>
  <si>
    <t>087:36:53.39 W</t>
  </si>
  <si>
    <t>038:57:09.07 N</t>
  </si>
  <si>
    <t>087:36:54.24 W</t>
  </si>
  <si>
    <t>038:57:06.83 N</t>
  </si>
  <si>
    <t>087:36:55.09 W</t>
  </si>
  <si>
    <t>038:57:04.59 N</t>
  </si>
  <si>
    <t>087:36:55.70 W</t>
  </si>
  <si>
    <t>038:57:02.27 N</t>
  </si>
  <si>
    <t>087:36:56.40 W</t>
  </si>
  <si>
    <t>038:56:59.72 N</t>
  </si>
  <si>
    <t>087:36:56.79 W</t>
  </si>
  <si>
    <t>038:56:57.56 N</t>
  </si>
  <si>
    <t>087:36:57.25 W</t>
  </si>
  <si>
    <t>038:56:55.24 N</t>
  </si>
  <si>
    <t>087:36:57.48 W</t>
  </si>
  <si>
    <t>038:56:52.70 N</t>
  </si>
  <si>
    <t>087:36:57.71 W</t>
  </si>
  <si>
    <t>038:56:49.99 N</t>
  </si>
  <si>
    <t>038:56:47.37 N</t>
  </si>
  <si>
    <t>038:56:44.74 N</t>
  </si>
  <si>
    <t>038:56:41.96 N</t>
  </si>
  <si>
    <t>087:36:57.02 W</t>
  </si>
  <si>
    <t>038:56:39.64 N</t>
  </si>
  <si>
    <t>087:36:56.63 W</t>
  </si>
  <si>
    <t>038:56:36.94 N</t>
  </si>
  <si>
    <t>087:36:56.17 W</t>
  </si>
  <si>
    <t>038:56:34.46 N</t>
  </si>
  <si>
    <t>087:36:55.55 W</t>
  </si>
  <si>
    <t>038:56:31.61 N</t>
  </si>
  <si>
    <t>038:56:29.21 N</t>
  </si>
  <si>
    <t>087:36:54.70 W</t>
  </si>
  <si>
    <t>038:56:26.43 N</t>
  </si>
  <si>
    <t>087:36:54.16 W</t>
  </si>
  <si>
    <t>038:56:23.73 N</t>
  </si>
  <si>
    <t>087:36:53.77 W</t>
  </si>
  <si>
    <t>038:56:20.56 N</t>
  </si>
  <si>
    <t>087:36:53.08 W</t>
  </si>
  <si>
    <t>038:56:17.86 N</t>
  </si>
  <si>
    <t>087:36:52.61 W</t>
  </si>
  <si>
    <t>038:56:15.08 N</t>
  </si>
  <si>
    <t>038:56:11.91 N</t>
  </si>
  <si>
    <t>087:36:51.69 W</t>
  </si>
  <si>
    <t>038:56:09.51 N</t>
  </si>
  <si>
    <t>038:56:07.27 N</t>
  </si>
  <si>
    <t>087:36:51.07 W</t>
  </si>
  <si>
    <t>038:56:04.80 N</t>
  </si>
  <si>
    <t>087:36:50.45 W</t>
  </si>
  <si>
    <t>038:56:02.25 N</t>
  </si>
  <si>
    <t>038:55:59.78 N</t>
  </si>
  <si>
    <t>087:36:49.60 W</t>
  </si>
  <si>
    <t>038:55:57.08 N</t>
  </si>
  <si>
    <t>087:36:49.14 W</t>
  </si>
  <si>
    <t>038:55:54.30 N</t>
  </si>
  <si>
    <t>087:36:48.91 W</t>
  </si>
  <si>
    <t>038:55:51.67 N</t>
  </si>
  <si>
    <t>087:36:48.44 W</t>
  </si>
  <si>
    <t>038:55:49.04 N</t>
  </si>
  <si>
    <t>087:36:48.06 W</t>
  </si>
  <si>
    <t>038:55:46.18 N</t>
  </si>
  <si>
    <t>087:36:47.82 W</t>
  </si>
  <si>
    <t>038:55:43.40 N</t>
  </si>
  <si>
    <t>087:36:47.36 W</t>
  </si>
  <si>
    <t>038:55:40.78 N</t>
  </si>
  <si>
    <t>038:55:38.00 N</t>
  </si>
  <si>
    <t>087:36:46.90 W</t>
  </si>
  <si>
    <t>038:55:35.45 N</t>
  </si>
  <si>
    <t>087:36:46.51 W</t>
  </si>
  <si>
    <t>038:55:33.44 N</t>
  </si>
  <si>
    <t>038:55:30.97 N</t>
  </si>
  <si>
    <t>087:36:46.05 W</t>
  </si>
  <si>
    <t>038:55:28.42 N</t>
  </si>
  <si>
    <t>038:55:25.87 N</t>
  </si>
  <si>
    <t>087:36:45.58 W</t>
  </si>
  <si>
    <t>038:55:23.40 N</t>
  </si>
  <si>
    <t>087:36:45.20 W</t>
  </si>
  <si>
    <t>038:55:20.85 N</t>
  </si>
  <si>
    <t>087:36:44.97 W</t>
  </si>
  <si>
    <t>038:55:18.22 N</t>
  </si>
  <si>
    <t>087:36:44.58 W</t>
  </si>
  <si>
    <t>038:55:16.21 N</t>
  </si>
  <si>
    <t>087:36:44.35 W</t>
  </si>
  <si>
    <t>038:55:13.74 N</t>
  </si>
  <si>
    <t>087:36:43.96 W</t>
  </si>
  <si>
    <t>038:55:10.96 N</t>
  </si>
  <si>
    <t>087:36:43.65 W</t>
  </si>
  <si>
    <t>038:55:08.33 N</t>
  </si>
  <si>
    <t>087:36:43.11 W</t>
  </si>
  <si>
    <t>038:55:05.32 N</t>
  </si>
  <si>
    <t>038:55:02.85 N</t>
  </si>
  <si>
    <t>087:36:42.19 W</t>
  </si>
  <si>
    <t>038:55:00.38 N</t>
  </si>
  <si>
    <t>087:36:42.03 W</t>
  </si>
  <si>
    <t>038:54:57.91 N</t>
  </si>
  <si>
    <t>087:36:41.57 W</t>
  </si>
  <si>
    <t>038:54:55.97 N</t>
  </si>
  <si>
    <t>087:36:41.18 W</t>
  </si>
  <si>
    <t>038:54:53.89 N</t>
  </si>
  <si>
    <t>038:54:50.88 N</t>
  </si>
  <si>
    <t>087:36:40.33 W</t>
  </si>
  <si>
    <t>038:54:48.17 N</t>
  </si>
  <si>
    <t>087:36:39.87 W</t>
  </si>
  <si>
    <t>038:54:46.01 N</t>
  </si>
  <si>
    <t>087:36:39.71 W</t>
  </si>
  <si>
    <t>038:54:43.46 N</t>
  </si>
  <si>
    <t>087:36:39.40 W</t>
  </si>
  <si>
    <t>038:54:41.14 N</t>
  </si>
  <si>
    <t>087:36:39.25 W</t>
  </si>
  <si>
    <t>038:54:38.98 N</t>
  </si>
  <si>
    <t>087:36:39.02 W</t>
  </si>
  <si>
    <t>038:54:36.04 N</t>
  </si>
  <si>
    <t>038:54:33.96 N</t>
  </si>
  <si>
    <t>087:36:38.79 W</t>
  </si>
  <si>
    <t>038:54:31.72 N</t>
  </si>
  <si>
    <t>038:54:29.25 N</t>
  </si>
  <si>
    <t>038:54:26.93 N</t>
  </si>
  <si>
    <t>038:54:24.77 N</t>
  </si>
  <si>
    <t>038:54:22.37 N</t>
  </si>
  <si>
    <t>038:54:19.67 N</t>
  </si>
  <si>
    <t>038:54:17.89 N</t>
  </si>
  <si>
    <t>038:54:15.34 N</t>
  </si>
  <si>
    <t>038:54:12.87 N</t>
  </si>
  <si>
    <t>038:54:10.32 N</t>
  </si>
  <si>
    <t>038:54:08.00 N</t>
  </si>
  <si>
    <t>038:54:05.30 N</t>
  </si>
  <si>
    <t>038:54:02.98 N</t>
  </si>
  <si>
    <t>038:54:00.59 N</t>
  </si>
  <si>
    <t>038:53:58.42 N</t>
  </si>
  <si>
    <t>038:53:56.11 N</t>
  </si>
  <si>
    <t>038:53:53.79 N</t>
  </si>
  <si>
    <t>038:53:51.01 N</t>
  </si>
  <si>
    <t>038:53:48.85 N</t>
  </si>
  <si>
    <t>038:53:46.68 N</t>
  </si>
  <si>
    <t>038:53:44.37 N</t>
  </si>
  <si>
    <t>038:53:42.28 N</t>
  </si>
  <si>
    <t>038:53:39.96 N</t>
  </si>
  <si>
    <t>038:53:37.64 N</t>
  </si>
  <si>
    <t>038:53:35.33 N</t>
  </si>
  <si>
    <t>087:36:38.55 W</t>
  </si>
  <si>
    <t>038:53:32.70 N</t>
  </si>
  <si>
    <t>038:53:31.08 N</t>
  </si>
  <si>
    <t>038:53:28.76 N</t>
  </si>
  <si>
    <t>038:53:26.44 N</t>
  </si>
  <si>
    <t>038:53:23.74 N</t>
  </si>
  <si>
    <t>087:36:38.40 W</t>
  </si>
  <si>
    <t>038:53:21.58 N</t>
  </si>
  <si>
    <t>038:53:19.34 N</t>
  </si>
  <si>
    <t>038:53:17.17 N</t>
  </si>
  <si>
    <t>038:53:14.70 N</t>
  </si>
  <si>
    <t>087:36:38.17 W</t>
  </si>
  <si>
    <t>038:53:12.31 N</t>
  </si>
  <si>
    <t>038:53:10.30 N</t>
  </si>
  <si>
    <t>038:53:07.83 N</t>
  </si>
  <si>
    <t>087:36:37.94 W</t>
  </si>
  <si>
    <t>038:53:05.74 N</t>
  </si>
  <si>
    <t>038:53:03.58 N</t>
  </si>
  <si>
    <t>038:53:01.42 N</t>
  </si>
  <si>
    <t>087:36:37.71 W</t>
  </si>
  <si>
    <t>038:52:59.25 N</t>
  </si>
  <si>
    <t>038:52:57.17 N</t>
  </si>
  <si>
    <t>087:36:37.47 W</t>
  </si>
  <si>
    <t>038:52:55.00 N</t>
  </si>
  <si>
    <t>038:52:52.53 N</t>
  </si>
  <si>
    <t>038:52:50.06 N</t>
  </si>
  <si>
    <t>038:52:48.21 N</t>
  </si>
  <si>
    <t>038:52:46.28 N</t>
  </si>
  <si>
    <t>087:36:37.09 W</t>
  </si>
  <si>
    <t>038:52:43.96 N</t>
  </si>
  <si>
    <t>038:52:41.79 N</t>
  </si>
  <si>
    <t>087:36:36.86 W</t>
  </si>
  <si>
    <t>038:52:39.48 N</t>
  </si>
  <si>
    <t>038:52:37.55 N</t>
  </si>
  <si>
    <t>087:36:36.62 W</t>
  </si>
  <si>
    <t>038:52:35.15 N</t>
  </si>
  <si>
    <t>038:52:32.99 N</t>
  </si>
  <si>
    <t>087:36:36.39 W</t>
  </si>
  <si>
    <t>038:52:31.13 N</t>
  </si>
  <si>
    <t>038:52:28.89 N</t>
  </si>
  <si>
    <t>087:36:36.16 W</t>
  </si>
  <si>
    <t>038:52:26.89 N</t>
  </si>
  <si>
    <t>038:52:25.03 N</t>
  </si>
  <si>
    <t>087:36:36.01 W</t>
  </si>
  <si>
    <t>038:52:22.87 N</t>
  </si>
  <si>
    <t>038:52:21.25 N</t>
  </si>
  <si>
    <t>038:52:18.85 N</t>
  </si>
  <si>
    <t>087:36:35.70 W</t>
  </si>
  <si>
    <t>038:52:16.46 N</t>
  </si>
  <si>
    <t>087:36:35.54 W</t>
  </si>
  <si>
    <t>038:52:14.45 N</t>
  </si>
  <si>
    <t>038:52:12.21 N</t>
  </si>
  <si>
    <t>038:52:10.12 N</t>
  </si>
  <si>
    <t>087:36:35.31 W</t>
  </si>
  <si>
    <t>038:52:07.96 N</t>
  </si>
  <si>
    <t>038:52:05.95 N</t>
  </si>
  <si>
    <t>087:36:35.08 W</t>
  </si>
  <si>
    <t>038:52:04.10 N</t>
  </si>
  <si>
    <t>087:36:34.92 W</t>
  </si>
  <si>
    <t>038:52:01.78 N</t>
  </si>
  <si>
    <t>087:36:34.85 W</t>
  </si>
  <si>
    <t>038:51:59.93 N</t>
  </si>
  <si>
    <t>087:36:34.69 W</t>
  </si>
  <si>
    <t>038:51:58.07 N</t>
  </si>
  <si>
    <t>087:36:34.62 W</t>
  </si>
  <si>
    <t>038:51:56.14 N</t>
  </si>
  <si>
    <t>087:36:34.46 W</t>
  </si>
  <si>
    <t>038:51:54.21 N</t>
  </si>
  <si>
    <t>087:36:34.23 W</t>
  </si>
  <si>
    <t>038:51:51.89 N</t>
  </si>
  <si>
    <t>087:36:34.00 W</t>
  </si>
  <si>
    <t>038:51:49.58 N</t>
  </si>
  <si>
    <t>038:51:47.57 N</t>
  </si>
  <si>
    <t>087:36:33.61 W</t>
  </si>
  <si>
    <t>038:51:45.71 N</t>
  </si>
  <si>
    <t>087:36:33.30 W</t>
  </si>
  <si>
    <t>038:51:43.86 N</t>
  </si>
  <si>
    <t>087:36:33.07 W</t>
  </si>
  <si>
    <t>038:51:41.85 N</t>
  </si>
  <si>
    <t>087:36:32.84 W</t>
  </si>
  <si>
    <t>038:51:39.69 N</t>
  </si>
  <si>
    <t>087:36:32.53 W</t>
  </si>
  <si>
    <t>038:51:37.68 N</t>
  </si>
  <si>
    <t>087:36:32.30 W</t>
  </si>
  <si>
    <t>038:51:36.13 N</t>
  </si>
  <si>
    <t>038:51:34.28 N</t>
  </si>
  <si>
    <t>087:36:31.99 W</t>
  </si>
  <si>
    <t>038:51:32.27 N</t>
  </si>
  <si>
    <t>087:36:31.68 W</t>
  </si>
  <si>
    <t>038:51:30.57 N</t>
  </si>
  <si>
    <t>087:36:31.53 W</t>
  </si>
  <si>
    <t>038:51:28.80 N</t>
  </si>
  <si>
    <t>087:36:31.37 W</t>
  </si>
  <si>
    <t>038:51:27.17 N</t>
  </si>
  <si>
    <t>087:36:31.06 W</t>
  </si>
  <si>
    <t>038:51:25.86 N</t>
  </si>
  <si>
    <t>087:36:30.83 W</t>
  </si>
  <si>
    <t>038:51:23.85 N</t>
  </si>
  <si>
    <t>087:36:30.60 W</t>
  </si>
  <si>
    <t>038:51:22.38 N</t>
  </si>
  <si>
    <t>087:36:30.44 W</t>
  </si>
  <si>
    <t>038:51:20.53 N</t>
  </si>
  <si>
    <t>087:36:29.98 W</t>
  </si>
  <si>
    <t>038:51:19.22 N</t>
  </si>
  <si>
    <t>087:36:29.83 W</t>
  </si>
  <si>
    <t>038:51:17.29 N</t>
  </si>
  <si>
    <t>087:36:29.52 W</t>
  </si>
  <si>
    <t>038:51:15.43 N</t>
  </si>
  <si>
    <t>087:36:29.13 W</t>
  </si>
  <si>
    <t>038:51:13.50 N</t>
  </si>
  <si>
    <t>087:36:28.90 W</t>
  </si>
  <si>
    <t>038:51:12.03 N</t>
  </si>
  <si>
    <t>038:51:10.33 N</t>
  </si>
  <si>
    <t>087:36:28.28 W</t>
  </si>
  <si>
    <t>038:51:08.63 N</t>
  </si>
  <si>
    <t>087:36:27.82 W</t>
  </si>
  <si>
    <t>038:51:07.09 N</t>
  </si>
  <si>
    <t>087:36:27.35 W</t>
  </si>
  <si>
    <t>038:51:05.00 N</t>
  </si>
  <si>
    <t>087:36:26.97 W</t>
  </si>
  <si>
    <t>038:51:03.30 N</t>
  </si>
  <si>
    <t>038:51:01.14 N</t>
  </si>
  <si>
    <t>087:36:26.35 W</t>
  </si>
  <si>
    <t>038:50:59.44 N</t>
  </si>
  <si>
    <t>087:36:26.04 W</t>
  </si>
  <si>
    <t>038:50:57.36 N</t>
  </si>
  <si>
    <t>087:36:25.65 W</t>
  </si>
  <si>
    <t>038:50:55.27 N</t>
  </si>
  <si>
    <t>087:36:25.19 W</t>
  </si>
  <si>
    <t>038:50:53.18 N</t>
  </si>
  <si>
    <t>087:36:24.80 W</t>
  </si>
  <si>
    <t>038:50:51.10 N</t>
  </si>
  <si>
    <t>087:36:24.34 W</t>
  </si>
  <si>
    <t>038:50:49.40 N</t>
  </si>
  <si>
    <t>087:36:24.11 W</t>
  </si>
  <si>
    <t>038:50:47.62 N</t>
  </si>
  <si>
    <t>087:36:23.72 W</t>
  </si>
  <si>
    <t>038:50:45.31 N</t>
  </si>
  <si>
    <t>087:36:23.34 W</t>
  </si>
  <si>
    <t>038:50:43.53 N</t>
  </si>
  <si>
    <t>087:36:22.80 W</t>
  </si>
  <si>
    <t>038:50:41.67 N</t>
  </si>
  <si>
    <t>087:36:22.41 W</t>
  </si>
  <si>
    <t>038:50:39.67 N</t>
  </si>
  <si>
    <t>087:36:22.02 W</t>
  </si>
  <si>
    <t>038:50:37.74 N</t>
  </si>
  <si>
    <t>087:36:21.56 W</t>
  </si>
  <si>
    <t>038:50:35.80 N</t>
  </si>
  <si>
    <t>087:36:21.25 W</t>
  </si>
  <si>
    <t>038:50:33.80 N</t>
  </si>
  <si>
    <t>087:36:20.56 W</t>
  </si>
  <si>
    <t>038:50:31.79 N</t>
  </si>
  <si>
    <t>087:36:20.09 W</t>
  </si>
  <si>
    <t>038:50:29.47 N</t>
  </si>
  <si>
    <t>087:36:19.63 W</t>
  </si>
  <si>
    <t>038:50:27.23 N</t>
  </si>
  <si>
    <t>087:36:19.01 W</t>
  </si>
  <si>
    <t>038:50:25.76 N</t>
  </si>
  <si>
    <t>087:36:18.78 W</t>
  </si>
  <si>
    <t>038:50:23.75 N</t>
  </si>
  <si>
    <t>087:36:18.39 W</t>
  </si>
  <si>
    <t>038:50:21.20 N</t>
  </si>
  <si>
    <t>038:50:19.43 N</t>
  </si>
  <si>
    <t>087:36:17.31 W</t>
  </si>
  <si>
    <t>038:50:17.42 N</t>
  </si>
  <si>
    <t>087:36:16.85 W</t>
  </si>
  <si>
    <t>038:50:15.49 N</t>
  </si>
  <si>
    <t>087:36:16.46 W</t>
  </si>
  <si>
    <t>038:50:13.71 N</t>
  </si>
  <si>
    <t>087:36:16.15 W</t>
  </si>
  <si>
    <t>038:50:11.70 N</t>
  </si>
  <si>
    <t>038:50:09.85 N</t>
  </si>
  <si>
    <t>087:36:15.38 W</t>
  </si>
  <si>
    <t>038:50:07.53 N</t>
  </si>
  <si>
    <t>087:36:15.15 W</t>
  </si>
  <si>
    <t>038:50:05.83 N</t>
  </si>
  <si>
    <t>087:36:14.84 W</t>
  </si>
  <si>
    <t>038:50:03.82 N</t>
  </si>
  <si>
    <t>087:36:14.61 W</t>
  </si>
  <si>
    <t>038:50:02.12 N</t>
  </si>
  <si>
    <t>087:36:14.45 W</t>
  </si>
  <si>
    <t>038:50:00.27 N</t>
  </si>
  <si>
    <t>087:36:14.22 W</t>
  </si>
  <si>
    <t>038:49:58.42 N</t>
  </si>
  <si>
    <t>038:49:56.41 N</t>
  </si>
  <si>
    <t>038:49:54.71 N</t>
  </si>
  <si>
    <t>087:36:13.84 W</t>
  </si>
  <si>
    <t>038:49:53.24 N</t>
  </si>
  <si>
    <t>087:36:13.60 W</t>
  </si>
  <si>
    <t>038:49:51.39 N</t>
  </si>
  <si>
    <t>087:36:13.76 W</t>
  </si>
  <si>
    <t>038:49:49.53 N</t>
  </si>
  <si>
    <t>087:36:13.53 W</t>
  </si>
  <si>
    <t>038:49:47.68 N</t>
  </si>
  <si>
    <t>038:49:45.67 N</t>
  </si>
  <si>
    <t>038:49:43.97 N</t>
  </si>
  <si>
    <t>087:36:13.45 W</t>
  </si>
  <si>
    <t>038:49:41.81 N</t>
  </si>
  <si>
    <t>087:36:13.29 W</t>
  </si>
  <si>
    <t>038:49:40.34 N</t>
  </si>
  <si>
    <t>038:49:38.72 N</t>
  </si>
  <si>
    <t>038:49:36.48 N</t>
  </si>
  <si>
    <t>038:49:34.47 N</t>
  </si>
  <si>
    <t>087:36:13.22 W</t>
  </si>
  <si>
    <t>038:49:32.46 N</t>
  </si>
  <si>
    <t>087:36:12.99 W</t>
  </si>
  <si>
    <t>038:49:30.45 N</t>
  </si>
  <si>
    <t>087:36:12.91 W</t>
  </si>
  <si>
    <t>038:49:28.68 N</t>
  </si>
  <si>
    <t>087:36:12.75 W</t>
  </si>
  <si>
    <t>038:49:26.67 N</t>
  </si>
  <si>
    <t>087:36:12.52 W</t>
  </si>
  <si>
    <t>038:49:25.12 N</t>
  </si>
  <si>
    <t>087:36:12.45 W</t>
  </si>
  <si>
    <t>038:49:22.73 N</t>
  </si>
  <si>
    <t>038:49:20.72 N</t>
  </si>
  <si>
    <t>087:36:12.21 W</t>
  </si>
  <si>
    <t>038:49:19.10 N</t>
  </si>
  <si>
    <t>087:36:12.14 W</t>
  </si>
  <si>
    <t>038:49:17.01 N</t>
  </si>
  <si>
    <t>087:36:11.98 W</t>
  </si>
  <si>
    <t>038:49:15.00 N</t>
  </si>
  <si>
    <t>087:36:11.90 W</t>
  </si>
  <si>
    <t>038:49:13.15 N</t>
  </si>
  <si>
    <t>087:36:11.67 W</t>
  </si>
  <si>
    <t>038:49:10.91 N</t>
  </si>
  <si>
    <t>038:49:08.82 N</t>
  </si>
  <si>
    <t>087:36:11.60 W</t>
  </si>
  <si>
    <t>038:49:07.12 N</t>
  </si>
  <si>
    <t>038:49:05.42 N</t>
  </si>
  <si>
    <t>087:36:11.52 W</t>
  </si>
  <si>
    <t>038:49:03.65 N</t>
  </si>
  <si>
    <t>038:49:02.10 N</t>
  </si>
  <si>
    <t>087:36:11.36 W</t>
  </si>
  <si>
    <t>038:49:00.25 N</t>
  </si>
  <si>
    <t>038:48:58.32 N</t>
  </si>
  <si>
    <t>038:48:56.62 N</t>
  </si>
  <si>
    <t>038:48:54.61 N</t>
  </si>
  <si>
    <t>038:48:53.06 N</t>
  </si>
  <si>
    <t>038:48:51.13 N</t>
  </si>
  <si>
    <t>038:48:49.20 N</t>
  </si>
  <si>
    <t>087:36:11.75 W</t>
  </si>
  <si>
    <t>038:48:47.35 N</t>
  </si>
  <si>
    <t>038:48:45.49 N</t>
  </si>
  <si>
    <t>038:48:43.56 N</t>
  </si>
  <si>
    <t>038:48:41.86 N</t>
  </si>
  <si>
    <t>038:48:40.09 N</t>
  </si>
  <si>
    <t>038:48:38.46 N</t>
  </si>
  <si>
    <t>087:36:12.68 W</t>
  </si>
  <si>
    <t>038:48:35.76 N</t>
  </si>
  <si>
    <t>038:48:34.14 N</t>
  </si>
  <si>
    <t>038:48:32.44 N</t>
  </si>
  <si>
    <t>038:48:30.28 N</t>
  </si>
  <si>
    <t>038:48:28.81 N</t>
  </si>
  <si>
    <t>038:48:27.11 N</t>
  </si>
  <si>
    <t>038:48:25.02 N</t>
  </si>
  <si>
    <t>038:48:23.09 N</t>
  </si>
  <si>
    <t>038:48:21.08 N</t>
  </si>
  <si>
    <t>038:48:19.31 N</t>
  </si>
  <si>
    <t>087:36:15.54 W</t>
  </si>
  <si>
    <t>038:48:17.22 N</t>
  </si>
  <si>
    <t>087:36:15.92 W</t>
  </si>
  <si>
    <t>038:48:15.37 N</t>
  </si>
  <si>
    <t>038:48:13.90 N</t>
  </si>
  <si>
    <t>087:36:16.38 W</t>
  </si>
  <si>
    <t>038:48:12.20 N</t>
  </si>
  <si>
    <t>038:48:10.04 N</t>
  </si>
  <si>
    <t>087:36:17.08 W</t>
  </si>
  <si>
    <t>038:48:08.26 N</t>
  </si>
  <si>
    <t>087:36:17.47 W</t>
  </si>
  <si>
    <t>038:48:06.41 N</t>
  </si>
  <si>
    <t>038:48:04.63 N</t>
  </si>
  <si>
    <t>087:36:18.16 W</t>
  </si>
  <si>
    <t>038:48:03.01 N</t>
  </si>
  <si>
    <t>038:48:01.31 N</t>
  </si>
  <si>
    <t>087:36:18.62 W</t>
  </si>
  <si>
    <t>038:47:59.30 N</t>
  </si>
  <si>
    <t>038:47:57.68 N</t>
  </si>
  <si>
    <t>038:47:56.13 N</t>
  </si>
  <si>
    <t>038:47:54.59 N</t>
  </si>
  <si>
    <t>038:47:52.58 N</t>
  </si>
  <si>
    <t>038:47:51.11 N</t>
  </si>
  <si>
    <t>038:47:47.64 N</t>
  </si>
  <si>
    <t>038:47:46.01 N</t>
  </si>
  <si>
    <t>038:47:41.53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</si>
</sst>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760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"08/29/2020 06:11:35.238"</f>
        <v>08/29/2020 06:11:35.238</v>
      </c>
      <c r="C2" t="str">
        <f t="shared" ref="C2:C65" si="0">"FFDFD3C0"</f>
        <v>FFDFD3C0</v>
      </c>
      <c r="D2" t="s">
        <v>113</v>
      </c>
      <c r="E2">
        <v>5</v>
      </c>
      <c r="H2">
        <v>163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"06:11:38.125"</f>
        <v>06:11:38.125</v>
      </c>
      <c r="T2" t="str">
        <f>"06:11:37.725"</f>
        <v>06:11:37.725</v>
      </c>
      <c r="U2" t="str">
        <f t="shared" ref="U2:U65" si="1">"A7E2E0"</f>
        <v>A7E2E0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39.115640999999997</v>
      </c>
      <c r="AK2" t="s">
        <v>117</v>
      </c>
      <c r="AL2">
        <v>-87.448254000000006</v>
      </c>
      <c r="AM2">
        <v>100</v>
      </c>
      <c r="AN2">
        <v>800</v>
      </c>
      <c r="AO2" t="s">
        <v>118</v>
      </c>
      <c r="AP2">
        <v>1</v>
      </c>
      <c r="AQ2">
        <v>90</v>
      </c>
      <c r="AR2">
        <v>832</v>
      </c>
      <c r="AZ2">
        <v>1200</v>
      </c>
      <c r="BA2">
        <v>0</v>
      </c>
      <c r="BB2" t="str">
        <f t="shared" ref="BB2:BB65" si="2">"N607SR  "</f>
        <v xml:space="preserve">N607SR  </v>
      </c>
      <c r="BC2">
        <v>1</v>
      </c>
      <c r="BE2">
        <v>0</v>
      </c>
      <c r="BF2">
        <v>0</v>
      </c>
      <c r="BG2">
        <v>0</v>
      </c>
      <c r="BH2">
        <v>475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"06:11:38.126"</f>
        <v>06:11:38.126</v>
      </c>
      <c r="CJ2">
        <v>0</v>
      </c>
      <c r="CK2">
        <v>2</v>
      </c>
      <c r="CL2">
        <v>0</v>
      </c>
      <c r="CM2">
        <v>2</v>
      </c>
      <c r="CN2">
        <v>0</v>
      </c>
      <c r="CO2">
        <v>5</v>
      </c>
      <c r="CP2" t="s">
        <v>119</v>
      </c>
      <c r="CQ2">
        <v>457</v>
      </c>
      <c r="CR2">
        <v>0</v>
      </c>
      <c r="CW2">
        <v>15508555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1</v>
      </c>
    </row>
    <row r="3" spans="1:113" x14ac:dyDescent="0.3">
      <c r="A3" t="str">
        <f>"08/29/2020 06:11:36.251"</f>
        <v>08/29/2020 06:11:36.251</v>
      </c>
      <c r="C3" t="str">
        <f t="shared" si="0"/>
        <v>FFDFD3C0</v>
      </c>
      <c r="D3" t="s">
        <v>113</v>
      </c>
      <c r="E3">
        <v>5</v>
      </c>
      <c r="H3">
        <v>163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"06:11:39.148"</f>
        <v>06:11:39.148</v>
      </c>
      <c r="T3" t="str">
        <f>"06:11:38.748"</f>
        <v>06:11:38.748</v>
      </c>
      <c r="U3" t="str">
        <f t="shared" si="1"/>
        <v>A7E2E0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120</v>
      </c>
      <c r="AJ3">
        <v>39.116048999999997</v>
      </c>
      <c r="AK3" t="s">
        <v>117</v>
      </c>
      <c r="AL3">
        <v>-87.448254000000006</v>
      </c>
      <c r="AM3">
        <v>100</v>
      </c>
      <c r="AN3">
        <v>800</v>
      </c>
      <c r="AO3" t="s">
        <v>118</v>
      </c>
      <c r="AP3">
        <v>1</v>
      </c>
      <c r="AQ3">
        <v>91</v>
      </c>
      <c r="AR3">
        <v>768</v>
      </c>
      <c r="AZ3">
        <v>1200</v>
      </c>
      <c r="BA3">
        <v>0</v>
      </c>
      <c r="BB3" t="str">
        <f t="shared" si="2"/>
        <v xml:space="preserve">N607SR  </v>
      </c>
      <c r="BC3">
        <v>1</v>
      </c>
      <c r="BE3">
        <v>0</v>
      </c>
      <c r="BF3">
        <v>0</v>
      </c>
      <c r="BG3">
        <v>0</v>
      </c>
      <c r="BH3">
        <v>475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"06:11:39.153"</f>
        <v>06:11:39.153</v>
      </c>
      <c r="CJ3">
        <v>0</v>
      </c>
      <c r="CK3">
        <v>2</v>
      </c>
      <c r="CL3">
        <v>0</v>
      </c>
      <c r="CM3">
        <v>2</v>
      </c>
      <c r="CN3">
        <v>0</v>
      </c>
      <c r="CO3">
        <v>5</v>
      </c>
      <c r="CP3" t="s">
        <v>119</v>
      </c>
      <c r="CQ3">
        <v>457</v>
      </c>
      <c r="CR3">
        <v>0</v>
      </c>
      <c r="CW3">
        <v>15508589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1</v>
      </c>
    </row>
    <row r="4" spans="1:113" x14ac:dyDescent="0.3">
      <c r="A4" t="str">
        <f>"08/29/2020 06:11:36.909"</f>
        <v>08/29/2020 06:11:36.909</v>
      </c>
      <c r="C4" t="str">
        <f t="shared" si="0"/>
        <v>FFDFD3C0</v>
      </c>
      <c r="D4" t="s">
        <v>121</v>
      </c>
      <c r="E4">
        <v>13</v>
      </c>
      <c r="F4">
        <v>1013</v>
      </c>
      <c r="G4" t="s">
        <v>122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"06:11:40.109"</f>
        <v>06:11:40.109</v>
      </c>
      <c r="T4" t="str">
        <f>"06:11:39.609"</f>
        <v>06:11:39.609</v>
      </c>
      <c r="U4" t="str">
        <f t="shared" si="1"/>
        <v>A7E2E0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124</v>
      </c>
      <c r="AJ4">
        <v>39.116456999999997</v>
      </c>
      <c r="AK4" t="s">
        <v>117</v>
      </c>
      <c r="AL4">
        <v>-87.448254000000006</v>
      </c>
      <c r="AM4">
        <v>100</v>
      </c>
      <c r="AN4">
        <v>800</v>
      </c>
      <c r="AO4" t="s">
        <v>118</v>
      </c>
      <c r="AP4">
        <v>1</v>
      </c>
      <c r="AQ4">
        <v>92</v>
      </c>
      <c r="AR4">
        <v>832</v>
      </c>
      <c r="AZ4">
        <v>4552</v>
      </c>
      <c r="BA4">
        <v>1</v>
      </c>
      <c r="BB4" t="str">
        <f t="shared" si="2"/>
        <v xml:space="preserve">N607SR  </v>
      </c>
      <c r="BC4">
        <v>1</v>
      </c>
      <c r="BE4">
        <v>0</v>
      </c>
      <c r="BF4">
        <v>0</v>
      </c>
      <c r="BG4">
        <v>0</v>
      </c>
      <c r="BH4">
        <v>500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"06:11:40.115"</f>
        <v>06:11:40.115</v>
      </c>
      <c r="CJ4">
        <v>0</v>
      </c>
      <c r="CK4">
        <v>2</v>
      </c>
      <c r="CL4">
        <v>0</v>
      </c>
      <c r="CM4">
        <v>2</v>
      </c>
      <c r="CN4">
        <v>0</v>
      </c>
      <c r="CO4">
        <v>5</v>
      </c>
      <c r="CP4" t="s">
        <v>119</v>
      </c>
      <c r="CQ4">
        <v>457</v>
      </c>
      <c r="CR4">
        <v>0</v>
      </c>
      <c r="CW4">
        <v>15508616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"08/29/2020 06:11:36.909"</f>
        <v>08/29/2020 06:11:36.909</v>
      </c>
      <c r="C5" t="str">
        <f t="shared" si="0"/>
        <v>FFDFD3C0</v>
      </c>
      <c r="D5" t="s">
        <v>121</v>
      </c>
      <c r="E5">
        <v>11</v>
      </c>
      <c r="F5">
        <v>1011</v>
      </c>
      <c r="G5" t="s">
        <v>125</v>
      </c>
      <c r="J5" t="s">
        <v>123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"06:11:40.109"</f>
        <v>06:11:40.109</v>
      </c>
      <c r="T5" t="str">
        <f>"06:11:39.609"</f>
        <v>06:11:39.609</v>
      </c>
      <c r="U5" t="str">
        <f t="shared" si="1"/>
        <v>A7E2E0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124</v>
      </c>
      <c r="AJ5">
        <v>39.116456999999997</v>
      </c>
      <c r="AK5" t="s">
        <v>117</v>
      </c>
      <c r="AL5">
        <v>-87.448254000000006</v>
      </c>
      <c r="AM5">
        <v>100</v>
      </c>
      <c r="AN5">
        <v>800</v>
      </c>
      <c r="AO5" t="s">
        <v>118</v>
      </c>
      <c r="AP5">
        <v>1</v>
      </c>
      <c r="AQ5">
        <v>92</v>
      </c>
      <c r="AR5">
        <v>832</v>
      </c>
      <c r="AZ5">
        <v>4552</v>
      </c>
      <c r="BA5">
        <v>1</v>
      </c>
      <c r="BB5" t="str">
        <f t="shared" si="2"/>
        <v xml:space="preserve">N607SR  </v>
      </c>
      <c r="BC5">
        <v>1</v>
      </c>
      <c r="BE5">
        <v>0</v>
      </c>
      <c r="BF5">
        <v>0</v>
      </c>
      <c r="BG5">
        <v>0</v>
      </c>
      <c r="BH5">
        <v>500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"06:11:40.115"</f>
        <v>06:11:40.115</v>
      </c>
      <c r="CJ5">
        <v>0</v>
      </c>
      <c r="CK5">
        <v>2</v>
      </c>
      <c r="CL5">
        <v>0</v>
      </c>
      <c r="CM5">
        <v>2</v>
      </c>
      <c r="CN5">
        <v>0</v>
      </c>
      <c r="CO5">
        <v>5</v>
      </c>
      <c r="CP5" t="s">
        <v>119</v>
      </c>
      <c r="CQ5">
        <v>457</v>
      </c>
      <c r="CR5">
        <v>0</v>
      </c>
      <c r="CW5">
        <v>15508616</v>
      </c>
      <c r="CY5">
        <v>0</v>
      </c>
      <c r="CZ5">
        <v>0</v>
      </c>
      <c r="DA5">
        <v>1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"08/29/2020 06:11:36.909"</f>
        <v>08/29/2020 06:11:36.909</v>
      </c>
      <c r="C6" t="str">
        <f t="shared" si="0"/>
        <v>FFDFD3C0</v>
      </c>
      <c r="D6" t="s">
        <v>121</v>
      </c>
      <c r="E6">
        <v>10</v>
      </c>
      <c r="F6">
        <v>1010</v>
      </c>
      <c r="G6" t="s">
        <v>114</v>
      </c>
      <c r="J6" t="s">
        <v>123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"06:11:40.109"</f>
        <v>06:11:40.109</v>
      </c>
      <c r="T6" t="str">
        <f>"06:11:39.609"</f>
        <v>06:11:39.609</v>
      </c>
      <c r="U6" t="str">
        <f t="shared" si="1"/>
        <v>A7E2E0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124</v>
      </c>
      <c r="AJ6">
        <v>39.116456999999997</v>
      </c>
      <c r="AK6" t="s">
        <v>117</v>
      </c>
      <c r="AL6">
        <v>-87.448254000000006</v>
      </c>
      <c r="AM6">
        <v>100</v>
      </c>
      <c r="AN6">
        <v>800</v>
      </c>
      <c r="AO6" t="s">
        <v>118</v>
      </c>
      <c r="AP6">
        <v>1</v>
      </c>
      <c r="AQ6">
        <v>92</v>
      </c>
      <c r="AR6">
        <v>832</v>
      </c>
      <c r="AZ6">
        <v>4552</v>
      </c>
      <c r="BA6">
        <v>1</v>
      </c>
      <c r="BB6" t="str">
        <f t="shared" si="2"/>
        <v xml:space="preserve">N607SR  </v>
      </c>
      <c r="BC6">
        <v>1</v>
      </c>
      <c r="BE6">
        <v>0</v>
      </c>
      <c r="BF6">
        <v>0</v>
      </c>
      <c r="BG6">
        <v>0</v>
      </c>
      <c r="BH6">
        <v>500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"06:11:40.115"</f>
        <v>06:11:40.115</v>
      </c>
      <c r="CJ6">
        <v>0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457</v>
      </c>
      <c r="CR6">
        <v>0</v>
      </c>
      <c r="CW6">
        <v>15508616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"08/29/2020 06:11:37.464"</f>
        <v>08/29/2020 06:11:37.464</v>
      </c>
      <c r="C7" t="str">
        <f t="shared" si="0"/>
        <v>FFDFD3C0</v>
      </c>
      <c r="D7" t="s">
        <v>113</v>
      </c>
      <c r="E7">
        <v>5</v>
      </c>
      <c r="H7">
        <v>163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"06:11:40.680"</f>
        <v>06:11:40.680</v>
      </c>
      <c r="T7" t="str">
        <f>"06:11:40.180"</f>
        <v>06:11:40.180</v>
      </c>
      <c r="U7" t="str">
        <f t="shared" si="1"/>
        <v>A7E2E0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126</v>
      </c>
      <c r="AJ7">
        <v>39.116670999999997</v>
      </c>
      <c r="AK7" t="s">
        <v>127</v>
      </c>
      <c r="AL7">
        <v>-87.448232000000004</v>
      </c>
      <c r="AM7">
        <v>100</v>
      </c>
      <c r="AN7">
        <v>800</v>
      </c>
      <c r="AO7" t="s">
        <v>118</v>
      </c>
      <c r="AP7">
        <v>2</v>
      </c>
      <c r="AQ7">
        <v>92</v>
      </c>
      <c r="AR7">
        <v>896</v>
      </c>
      <c r="AZ7">
        <v>4552</v>
      </c>
      <c r="BA7">
        <v>1</v>
      </c>
      <c r="BB7" t="str">
        <f t="shared" si="2"/>
        <v xml:space="preserve">N607SR  </v>
      </c>
      <c r="BC7">
        <v>1</v>
      </c>
      <c r="BE7">
        <v>0</v>
      </c>
      <c r="BF7">
        <v>0</v>
      </c>
      <c r="BG7">
        <v>0</v>
      </c>
      <c r="BH7">
        <v>500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"06:11:40.682"</f>
        <v>06:11:40.682</v>
      </c>
      <c r="CJ7">
        <v>0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457</v>
      </c>
      <c r="CR7">
        <v>0</v>
      </c>
      <c r="CW7">
        <v>15508631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"08/29/2020 06:11:37.464"</f>
        <v>08/29/2020 06:11:37.464</v>
      </c>
      <c r="C8" t="str">
        <f t="shared" si="0"/>
        <v>FFDFD3C0</v>
      </c>
      <c r="D8" t="s">
        <v>128</v>
      </c>
      <c r="E8">
        <v>5</v>
      </c>
      <c r="H8">
        <v>241</v>
      </c>
      <c r="I8" t="s">
        <v>129</v>
      </c>
      <c r="J8" t="s">
        <v>130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"06:11:40.680"</f>
        <v>06:11:40.680</v>
      </c>
      <c r="T8" t="str">
        <f>"06:11:40.180"</f>
        <v>06:11:40.180</v>
      </c>
      <c r="U8" t="str">
        <f t="shared" si="1"/>
        <v>A7E2E0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126</v>
      </c>
      <c r="AJ8">
        <v>39.116670999999997</v>
      </c>
      <c r="AK8" t="s">
        <v>127</v>
      </c>
      <c r="AL8">
        <v>-87.448232000000004</v>
      </c>
      <c r="AM8">
        <v>100</v>
      </c>
      <c r="AN8">
        <v>800</v>
      </c>
      <c r="AO8" t="s">
        <v>118</v>
      </c>
      <c r="AP8">
        <v>2</v>
      </c>
      <c r="AQ8">
        <v>92</v>
      </c>
      <c r="AR8">
        <v>896</v>
      </c>
      <c r="AZ8">
        <v>4552</v>
      </c>
      <c r="BA8">
        <v>1</v>
      </c>
      <c r="BB8" t="str">
        <f t="shared" si="2"/>
        <v xml:space="preserve">N607SR  </v>
      </c>
      <c r="BC8">
        <v>1</v>
      </c>
      <c r="BE8">
        <v>0</v>
      </c>
      <c r="BF8">
        <v>0</v>
      </c>
      <c r="BG8">
        <v>0</v>
      </c>
      <c r="BH8">
        <v>500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"06:11:40.682"</f>
        <v>06:11:40.682</v>
      </c>
      <c r="CJ8">
        <v>0</v>
      </c>
      <c r="CK8">
        <v>2</v>
      </c>
      <c r="CL8">
        <v>0</v>
      </c>
      <c r="CM8">
        <v>2</v>
      </c>
      <c r="CN8">
        <v>0</v>
      </c>
      <c r="CO8">
        <v>5</v>
      </c>
      <c r="CP8" t="s">
        <v>119</v>
      </c>
      <c r="CQ8">
        <v>457</v>
      </c>
      <c r="CR8">
        <v>0</v>
      </c>
      <c r="CW8">
        <v>15508631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"08/29/2020 06:11:37.973"</f>
        <v>08/29/2020 06:11:37.973</v>
      </c>
      <c r="C9" t="str">
        <f t="shared" si="0"/>
        <v>FFDFD3C0</v>
      </c>
      <c r="D9" t="s">
        <v>121</v>
      </c>
      <c r="E9">
        <v>13</v>
      </c>
      <c r="F9">
        <v>1013</v>
      </c>
      <c r="G9" t="s">
        <v>122</v>
      </c>
      <c r="J9" t="s">
        <v>123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"06:11:41.188"</f>
        <v>06:11:41.188</v>
      </c>
      <c r="T9" t="str">
        <f>"06:11:40.688"</f>
        <v>06:11:40.688</v>
      </c>
      <c r="U9" t="str">
        <f t="shared" si="1"/>
        <v>A7E2E0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131</v>
      </c>
      <c r="AJ9">
        <v>39.116906999999998</v>
      </c>
      <c r="AK9" t="s">
        <v>117</v>
      </c>
      <c r="AL9">
        <v>-87.448254000000006</v>
      </c>
      <c r="AM9">
        <v>100</v>
      </c>
      <c r="AN9">
        <v>800</v>
      </c>
      <c r="AO9" t="s">
        <v>118</v>
      </c>
      <c r="AP9">
        <v>2</v>
      </c>
      <c r="AQ9">
        <v>92</v>
      </c>
      <c r="AR9">
        <v>960</v>
      </c>
      <c r="AZ9">
        <v>4552</v>
      </c>
      <c r="BA9">
        <v>1</v>
      </c>
      <c r="BB9" t="str">
        <f t="shared" si="2"/>
        <v xml:space="preserve">N607SR  </v>
      </c>
      <c r="BC9">
        <v>1</v>
      </c>
      <c r="BE9">
        <v>0</v>
      </c>
      <c r="BF9">
        <v>0</v>
      </c>
      <c r="BG9">
        <v>0</v>
      </c>
      <c r="BH9">
        <v>525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"06:11:41.191"</f>
        <v>06:11:41.191</v>
      </c>
      <c r="CJ9">
        <v>0</v>
      </c>
      <c r="CK9">
        <v>2</v>
      </c>
      <c r="CL9">
        <v>0</v>
      </c>
      <c r="CM9">
        <v>2</v>
      </c>
      <c r="CN9">
        <v>0</v>
      </c>
      <c r="CO9">
        <v>6</v>
      </c>
      <c r="CP9" t="s">
        <v>119</v>
      </c>
      <c r="CQ9">
        <v>457</v>
      </c>
      <c r="CR9">
        <v>0</v>
      </c>
      <c r="CW9">
        <v>15508647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"08/29/2020 06:11:37.973"</f>
        <v>08/29/2020 06:11:37.973</v>
      </c>
      <c r="C10" t="str">
        <f t="shared" si="0"/>
        <v>FFDFD3C0</v>
      </c>
      <c r="D10" t="s">
        <v>121</v>
      </c>
      <c r="E10">
        <v>10</v>
      </c>
      <c r="F10">
        <v>1010</v>
      </c>
      <c r="G10" t="s">
        <v>114</v>
      </c>
      <c r="J10" t="s">
        <v>123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"06:11:41.188"</f>
        <v>06:11:41.188</v>
      </c>
      <c r="T10" t="str">
        <f>"06:11:40.688"</f>
        <v>06:11:40.688</v>
      </c>
      <c r="U10" t="str">
        <f t="shared" si="1"/>
        <v>A7E2E0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131</v>
      </c>
      <c r="AJ10">
        <v>39.116906999999998</v>
      </c>
      <c r="AK10" t="s">
        <v>117</v>
      </c>
      <c r="AL10">
        <v>-87.448254000000006</v>
      </c>
      <c r="AM10">
        <v>100</v>
      </c>
      <c r="AN10">
        <v>800</v>
      </c>
      <c r="AO10" t="s">
        <v>118</v>
      </c>
      <c r="AP10">
        <v>2</v>
      </c>
      <c r="AQ10">
        <v>92</v>
      </c>
      <c r="AR10">
        <v>960</v>
      </c>
      <c r="AZ10">
        <v>4552</v>
      </c>
      <c r="BA10">
        <v>1</v>
      </c>
      <c r="BB10" t="str">
        <f t="shared" si="2"/>
        <v xml:space="preserve">N607SR  </v>
      </c>
      <c r="BC10">
        <v>1</v>
      </c>
      <c r="BE10">
        <v>0</v>
      </c>
      <c r="BF10">
        <v>0</v>
      </c>
      <c r="BG10">
        <v>0</v>
      </c>
      <c r="BH10">
        <v>525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"06:11:41.191"</f>
        <v>06:11:41.191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119</v>
      </c>
      <c r="CQ10">
        <v>457</v>
      </c>
      <c r="CR10">
        <v>0</v>
      </c>
      <c r="CW10">
        <v>15508647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"08/29/2020 06:11:37.973"</f>
        <v>08/29/2020 06:11:37.973</v>
      </c>
      <c r="C11" t="str">
        <f t="shared" si="0"/>
        <v>FFDFD3C0</v>
      </c>
      <c r="D11" t="s">
        <v>121</v>
      </c>
      <c r="E11">
        <v>11</v>
      </c>
      <c r="F11">
        <v>1011</v>
      </c>
      <c r="G11" t="s">
        <v>125</v>
      </c>
      <c r="J11" t="s">
        <v>123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"06:11:41.188"</f>
        <v>06:11:41.188</v>
      </c>
      <c r="T11" t="str">
        <f>"06:11:40.688"</f>
        <v>06:11:40.688</v>
      </c>
      <c r="U11" t="str">
        <f t="shared" si="1"/>
        <v>A7E2E0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131</v>
      </c>
      <c r="AJ11">
        <v>39.116906999999998</v>
      </c>
      <c r="AK11" t="s">
        <v>117</v>
      </c>
      <c r="AL11">
        <v>-87.448254000000006</v>
      </c>
      <c r="AM11">
        <v>100</v>
      </c>
      <c r="AN11">
        <v>800</v>
      </c>
      <c r="AO11" t="s">
        <v>118</v>
      </c>
      <c r="AP11">
        <v>2</v>
      </c>
      <c r="AQ11">
        <v>92</v>
      </c>
      <c r="AR11">
        <v>960</v>
      </c>
      <c r="AZ11">
        <v>4552</v>
      </c>
      <c r="BA11">
        <v>1</v>
      </c>
      <c r="BB11" t="str">
        <f t="shared" si="2"/>
        <v xml:space="preserve">N607SR  </v>
      </c>
      <c r="BC11">
        <v>1</v>
      </c>
      <c r="BE11">
        <v>0</v>
      </c>
      <c r="BF11">
        <v>0</v>
      </c>
      <c r="BG11">
        <v>0</v>
      </c>
      <c r="BH11">
        <v>525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"06:11:41.191"</f>
        <v>06:11:41.191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6</v>
      </c>
      <c r="CP11" t="s">
        <v>119</v>
      </c>
      <c r="CQ11">
        <v>457</v>
      </c>
      <c r="CR11">
        <v>0</v>
      </c>
      <c r="CW11">
        <v>15508647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"08/29/2020 06:11:38.410"</f>
        <v>08/29/2020 06:11:38.410</v>
      </c>
      <c r="C12" t="str">
        <f t="shared" si="0"/>
        <v>FFDFD3C0</v>
      </c>
      <c r="D12" t="s">
        <v>128</v>
      </c>
      <c r="E12">
        <v>5</v>
      </c>
      <c r="H12">
        <v>241</v>
      </c>
      <c r="I12" t="s">
        <v>129</v>
      </c>
      <c r="J12" t="s">
        <v>130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"06:11:41.617"</f>
        <v>06:11:41.617</v>
      </c>
      <c r="U12" t="str">
        <f t="shared" si="1"/>
        <v>A7E2E0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132</v>
      </c>
      <c r="AJ12">
        <v>39.117100000000001</v>
      </c>
      <c r="AK12" t="s">
        <v>127</v>
      </c>
      <c r="AL12">
        <v>-87.448232000000004</v>
      </c>
      <c r="AM12">
        <v>100</v>
      </c>
      <c r="AN12">
        <v>800</v>
      </c>
      <c r="AO12" t="s">
        <v>118</v>
      </c>
      <c r="AP12">
        <v>3</v>
      </c>
      <c r="AQ12">
        <v>93</v>
      </c>
      <c r="AR12">
        <v>1024</v>
      </c>
      <c r="AZ12">
        <v>4552</v>
      </c>
      <c r="BA12">
        <v>1</v>
      </c>
      <c r="BB12" t="str">
        <f t="shared" si="2"/>
        <v xml:space="preserve">N607SR  </v>
      </c>
      <c r="BC12">
        <v>1</v>
      </c>
      <c r="BE12">
        <v>0</v>
      </c>
      <c r="BF12">
        <v>0</v>
      </c>
      <c r="BG12">
        <v>0</v>
      </c>
      <c r="BH12">
        <v>525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"06:11:41.621"</f>
        <v>06:11:41.621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6</v>
      </c>
      <c r="CP12" t="s">
        <v>119</v>
      </c>
      <c r="CQ12">
        <v>457</v>
      </c>
      <c r="CR12">
        <v>0</v>
      </c>
      <c r="CW12">
        <v>15508660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"08/29/2020 06:11:38.410"</f>
        <v>08/29/2020 06:11:38.410</v>
      </c>
      <c r="C13" t="str">
        <f t="shared" si="0"/>
        <v>FFDFD3C0</v>
      </c>
      <c r="D13" t="s">
        <v>113</v>
      </c>
      <c r="E13">
        <v>5</v>
      </c>
      <c r="H13">
        <v>163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"06:11:41.617"</f>
        <v>06:11:41.617</v>
      </c>
      <c r="U13" t="str">
        <f t="shared" si="1"/>
        <v>A7E2E0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132</v>
      </c>
      <c r="AJ13">
        <v>39.117100000000001</v>
      </c>
      <c r="AK13" t="s">
        <v>127</v>
      </c>
      <c r="AL13">
        <v>-87.448232000000004</v>
      </c>
      <c r="AM13">
        <v>100</v>
      </c>
      <c r="AN13">
        <v>800</v>
      </c>
      <c r="AO13" t="s">
        <v>118</v>
      </c>
      <c r="AP13">
        <v>3</v>
      </c>
      <c r="AQ13">
        <v>93</v>
      </c>
      <c r="AR13">
        <v>1024</v>
      </c>
      <c r="AZ13">
        <v>4552</v>
      </c>
      <c r="BA13">
        <v>1</v>
      </c>
      <c r="BB13" t="str">
        <f t="shared" si="2"/>
        <v xml:space="preserve">N607SR  </v>
      </c>
      <c r="BC13">
        <v>1</v>
      </c>
      <c r="BE13">
        <v>0</v>
      </c>
      <c r="BF13">
        <v>0</v>
      </c>
      <c r="BG13">
        <v>0</v>
      </c>
      <c r="BH13">
        <v>525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"06:11:41.621"</f>
        <v>06:11:41.621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6</v>
      </c>
      <c r="CP13" t="s">
        <v>119</v>
      </c>
      <c r="CQ13">
        <v>457</v>
      </c>
      <c r="CR13">
        <v>0</v>
      </c>
      <c r="CW13">
        <v>15508660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"08/29/2020 06:11:38.936"</f>
        <v>08/29/2020 06:11:38.936</v>
      </c>
      <c r="C14" t="str">
        <f t="shared" si="0"/>
        <v>FFDFD3C0</v>
      </c>
      <c r="D14" t="s">
        <v>121</v>
      </c>
      <c r="E14">
        <v>13</v>
      </c>
      <c r="F14">
        <v>1013</v>
      </c>
      <c r="G14" t="s">
        <v>122</v>
      </c>
      <c r="J14" t="s">
        <v>123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"06:11:42.117"</f>
        <v>06:11:42.117</v>
      </c>
      <c r="T14" t="str">
        <f>"06:11:41.717"</f>
        <v>06:11:41.717</v>
      </c>
      <c r="U14" t="str">
        <f t="shared" si="1"/>
        <v>A7E2E0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133</v>
      </c>
      <c r="AJ14">
        <v>39.117314999999998</v>
      </c>
      <c r="AK14" t="s">
        <v>117</v>
      </c>
      <c r="AL14">
        <v>-87.448254000000006</v>
      </c>
      <c r="AM14">
        <v>100</v>
      </c>
      <c r="AN14">
        <v>800</v>
      </c>
      <c r="AO14" t="s">
        <v>118</v>
      </c>
      <c r="AP14">
        <v>3</v>
      </c>
      <c r="AQ14">
        <v>93</v>
      </c>
      <c r="AR14">
        <v>1024</v>
      </c>
      <c r="AZ14">
        <v>4552</v>
      </c>
      <c r="BA14">
        <v>1</v>
      </c>
      <c r="BB14" t="str">
        <f t="shared" si="2"/>
        <v xml:space="preserve">N607SR  </v>
      </c>
      <c r="BC14">
        <v>1</v>
      </c>
      <c r="BE14">
        <v>0</v>
      </c>
      <c r="BF14">
        <v>0</v>
      </c>
      <c r="BG14">
        <v>0</v>
      </c>
      <c r="BH14">
        <v>525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"06:11:42.120"</f>
        <v>06:11:42.120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6</v>
      </c>
      <c r="CP14" t="s">
        <v>119</v>
      </c>
      <c r="CQ14">
        <v>457</v>
      </c>
      <c r="CR14">
        <v>0</v>
      </c>
      <c r="CW14">
        <v>15508676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"08/29/2020 06:11:38.936"</f>
        <v>08/29/2020 06:11:38.936</v>
      </c>
      <c r="C15" t="str">
        <f t="shared" si="0"/>
        <v>FFDFD3C0</v>
      </c>
      <c r="D15" t="s">
        <v>121</v>
      </c>
      <c r="E15">
        <v>10</v>
      </c>
      <c r="F15">
        <v>1010</v>
      </c>
      <c r="G15" t="s">
        <v>114</v>
      </c>
      <c r="J15" t="s">
        <v>123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"06:11:42.117"</f>
        <v>06:11:42.117</v>
      </c>
      <c r="T15" t="str">
        <f>"06:11:41.717"</f>
        <v>06:11:41.717</v>
      </c>
      <c r="U15" t="str">
        <f t="shared" si="1"/>
        <v>A7E2E0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133</v>
      </c>
      <c r="AJ15">
        <v>39.117314999999998</v>
      </c>
      <c r="AK15" t="s">
        <v>117</v>
      </c>
      <c r="AL15">
        <v>-87.448254000000006</v>
      </c>
      <c r="AM15">
        <v>100</v>
      </c>
      <c r="AN15">
        <v>800</v>
      </c>
      <c r="AO15" t="s">
        <v>118</v>
      </c>
      <c r="AP15">
        <v>3</v>
      </c>
      <c r="AQ15">
        <v>93</v>
      </c>
      <c r="AR15">
        <v>1024</v>
      </c>
      <c r="AZ15">
        <v>4552</v>
      </c>
      <c r="BA15">
        <v>1</v>
      </c>
      <c r="BB15" t="str">
        <f t="shared" si="2"/>
        <v xml:space="preserve">N607SR  </v>
      </c>
      <c r="BC15">
        <v>1</v>
      </c>
      <c r="BE15">
        <v>0</v>
      </c>
      <c r="BF15">
        <v>0</v>
      </c>
      <c r="BG15">
        <v>0</v>
      </c>
      <c r="BH15">
        <v>525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"06:11:42.120"</f>
        <v>06:11:42.120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6</v>
      </c>
      <c r="CP15" t="s">
        <v>119</v>
      </c>
      <c r="CQ15">
        <v>457</v>
      </c>
      <c r="CR15">
        <v>0</v>
      </c>
      <c r="CW15">
        <v>15508676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"08/29/2020 06:11:38.936"</f>
        <v>08/29/2020 06:11:38.936</v>
      </c>
      <c r="C16" t="str">
        <f t="shared" si="0"/>
        <v>FFDFD3C0</v>
      </c>
      <c r="D16" t="s">
        <v>121</v>
      </c>
      <c r="E16">
        <v>11</v>
      </c>
      <c r="F16">
        <v>1011</v>
      </c>
      <c r="G16" t="s">
        <v>125</v>
      </c>
      <c r="J16" t="s">
        <v>123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"06:11:42.117"</f>
        <v>06:11:42.117</v>
      </c>
      <c r="T16" t="str">
        <f>"06:11:41.717"</f>
        <v>06:11:41.717</v>
      </c>
      <c r="U16" t="str">
        <f t="shared" si="1"/>
        <v>A7E2E0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133</v>
      </c>
      <c r="AJ16">
        <v>39.117314999999998</v>
      </c>
      <c r="AK16" t="s">
        <v>117</v>
      </c>
      <c r="AL16">
        <v>-87.448254000000006</v>
      </c>
      <c r="AM16">
        <v>100</v>
      </c>
      <c r="AN16">
        <v>800</v>
      </c>
      <c r="AO16" t="s">
        <v>118</v>
      </c>
      <c r="AP16">
        <v>3</v>
      </c>
      <c r="AQ16">
        <v>93</v>
      </c>
      <c r="AR16">
        <v>1024</v>
      </c>
      <c r="AZ16">
        <v>4552</v>
      </c>
      <c r="BA16">
        <v>1</v>
      </c>
      <c r="BB16" t="str">
        <f t="shared" si="2"/>
        <v xml:space="preserve">N607SR  </v>
      </c>
      <c r="BC16">
        <v>1</v>
      </c>
      <c r="BE16">
        <v>0</v>
      </c>
      <c r="BF16">
        <v>0</v>
      </c>
      <c r="BG16">
        <v>0</v>
      </c>
      <c r="BH16">
        <v>525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"06:11:42.120"</f>
        <v>06:11:42.120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6</v>
      </c>
      <c r="CP16" t="s">
        <v>119</v>
      </c>
      <c r="CQ16">
        <v>457</v>
      </c>
      <c r="CR16">
        <v>0</v>
      </c>
      <c r="CW16">
        <v>15508676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"08/29/2020 06:11:39.425"</f>
        <v>08/29/2020 06:11:39.425</v>
      </c>
      <c r="C17" t="str">
        <f t="shared" si="0"/>
        <v>FFDFD3C0</v>
      </c>
      <c r="D17" t="s">
        <v>128</v>
      </c>
      <c r="E17">
        <v>5</v>
      </c>
      <c r="H17">
        <v>241</v>
      </c>
      <c r="I17" t="s">
        <v>129</v>
      </c>
      <c r="J17" t="s">
        <v>130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"06:11:42.633"</f>
        <v>06:11:42.633</v>
      </c>
      <c r="T17" t="str">
        <f>"06:11:42.133"</f>
        <v>06:11:42.133</v>
      </c>
      <c r="U17" t="str">
        <f t="shared" si="1"/>
        <v>A7E2E0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134</v>
      </c>
      <c r="AJ17">
        <v>39.117572000000003</v>
      </c>
      <c r="AK17" t="s">
        <v>135</v>
      </c>
      <c r="AL17">
        <v>-87.448188999999999</v>
      </c>
      <c r="AM17">
        <v>100</v>
      </c>
      <c r="AN17">
        <v>800</v>
      </c>
      <c r="AO17" t="s">
        <v>118</v>
      </c>
      <c r="AP17">
        <v>3</v>
      </c>
      <c r="AQ17">
        <v>93</v>
      </c>
      <c r="AR17">
        <v>1088</v>
      </c>
      <c r="AZ17">
        <v>4552</v>
      </c>
      <c r="BA17">
        <v>1</v>
      </c>
      <c r="BB17" t="str">
        <f t="shared" si="2"/>
        <v xml:space="preserve">N607SR  </v>
      </c>
      <c r="BC17">
        <v>1</v>
      </c>
      <c r="BE17">
        <v>0</v>
      </c>
      <c r="BF17">
        <v>0</v>
      </c>
      <c r="BG17">
        <v>0</v>
      </c>
      <c r="BH17">
        <v>550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"06:11:42.636"</f>
        <v>06:11:42.636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7</v>
      </c>
      <c r="CP17" t="s">
        <v>119</v>
      </c>
      <c r="CQ17">
        <v>457</v>
      </c>
      <c r="CR17">
        <v>0</v>
      </c>
      <c r="CW17">
        <v>15508690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"08/29/2020 06:11:39.425"</f>
        <v>08/29/2020 06:11:39.425</v>
      </c>
      <c r="C18" t="str">
        <f t="shared" si="0"/>
        <v>FFDFD3C0</v>
      </c>
      <c r="D18" t="s">
        <v>113</v>
      </c>
      <c r="E18">
        <v>5</v>
      </c>
      <c r="H18">
        <v>163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"06:11:42.633"</f>
        <v>06:11:42.633</v>
      </c>
      <c r="T18" t="str">
        <f>"06:11:42.133"</f>
        <v>06:11:42.133</v>
      </c>
      <c r="U18" t="str">
        <f t="shared" si="1"/>
        <v>A7E2E0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134</v>
      </c>
      <c r="AJ18">
        <v>39.117572000000003</v>
      </c>
      <c r="AK18" t="s">
        <v>135</v>
      </c>
      <c r="AL18">
        <v>-87.448188999999999</v>
      </c>
      <c r="AM18">
        <v>100</v>
      </c>
      <c r="AN18">
        <v>800</v>
      </c>
      <c r="AO18" t="s">
        <v>118</v>
      </c>
      <c r="AP18">
        <v>3</v>
      </c>
      <c r="AQ18">
        <v>93</v>
      </c>
      <c r="AR18">
        <v>1088</v>
      </c>
      <c r="AZ18">
        <v>4552</v>
      </c>
      <c r="BA18">
        <v>1</v>
      </c>
      <c r="BB18" t="str">
        <f t="shared" si="2"/>
        <v xml:space="preserve">N607SR  </v>
      </c>
      <c r="BC18">
        <v>1</v>
      </c>
      <c r="BE18">
        <v>0</v>
      </c>
      <c r="BF18">
        <v>0</v>
      </c>
      <c r="BG18">
        <v>0</v>
      </c>
      <c r="BH18">
        <v>550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"06:11:42.636"</f>
        <v>06:11:42.636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7</v>
      </c>
      <c r="CP18" t="s">
        <v>119</v>
      </c>
      <c r="CQ18">
        <v>457</v>
      </c>
      <c r="CR18">
        <v>0</v>
      </c>
      <c r="CW18">
        <v>15508690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"08/29/2020 06:11:39.849"</f>
        <v>08/29/2020 06:11:39.849</v>
      </c>
      <c r="C19" t="str">
        <f t="shared" si="0"/>
        <v>FFDFD3C0</v>
      </c>
      <c r="D19" t="s">
        <v>121</v>
      </c>
      <c r="E19">
        <v>10</v>
      </c>
      <c r="F19">
        <v>1010</v>
      </c>
      <c r="G19" t="s">
        <v>114</v>
      </c>
      <c r="J19" t="s">
        <v>123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"06:11:43.086"</f>
        <v>06:11:43.086</v>
      </c>
      <c r="T19" t="str">
        <f>"06:11:42.686"</f>
        <v>06:11:42.686</v>
      </c>
      <c r="U19" t="str">
        <f t="shared" si="1"/>
        <v>A7E2E0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136</v>
      </c>
      <c r="AJ19">
        <v>39.117700999999997</v>
      </c>
      <c r="AK19" t="s">
        <v>135</v>
      </c>
      <c r="AL19">
        <v>-87.448188999999999</v>
      </c>
      <c r="AM19">
        <v>100</v>
      </c>
      <c r="AN19">
        <v>800</v>
      </c>
      <c r="AO19" t="s">
        <v>118</v>
      </c>
      <c r="AP19">
        <v>3</v>
      </c>
      <c r="AQ19">
        <v>93</v>
      </c>
      <c r="AR19">
        <v>1152</v>
      </c>
      <c r="AZ19">
        <v>4552</v>
      </c>
      <c r="BA19">
        <v>1</v>
      </c>
      <c r="BB19" t="str">
        <f t="shared" si="2"/>
        <v xml:space="preserve">N607SR  </v>
      </c>
      <c r="BC19">
        <v>1</v>
      </c>
      <c r="BE19">
        <v>0</v>
      </c>
      <c r="BF19">
        <v>0</v>
      </c>
      <c r="BG19">
        <v>0</v>
      </c>
      <c r="BH19">
        <v>550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"06:11:43.090"</f>
        <v>06:11:43.090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7</v>
      </c>
      <c r="CP19" t="s">
        <v>119</v>
      </c>
      <c r="CQ19">
        <v>457</v>
      </c>
      <c r="CR19">
        <v>0</v>
      </c>
      <c r="CW19">
        <v>15508709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"08/29/2020 06:11:39.849"</f>
        <v>08/29/2020 06:11:39.849</v>
      </c>
      <c r="C20" t="str">
        <f t="shared" si="0"/>
        <v>FFDFD3C0</v>
      </c>
      <c r="D20" t="s">
        <v>121</v>
      </c>
      <c r="E20">
        <v>13</v>
      </c>
      <c r="F20">
        <v>1013</v>
      </c>
      <c r="G20" t="s">
        <v>122</v>
      </c>
      <c r="J20" t="s">
        <v>123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"06:11:43.086"</f>
        <v>06:11:43.086</v>
      </c>
      <c r="T20" t="str">
        <f>"06:11:42.686"</f>
        <v>06:11:42.686</v>
      </c>
      <c r="U20" t="str">
        <f t="shared" si="1"/>
        <v>A7E2E0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136</v>
      </c>
      <c r="AJ20">
        <v>39.117700999999997</v>
      </c>
      <c r="AK20" t="s">
        <v>135</v>
      </c>
      <c r="AL20">
        <v>-87.448188999999999</v>
      </c>
      <c r="AM20">
        <v>100</v>
      </c>
      <c r="AN20">
        <v>800</v>
      </c>
      <c r="AO20" t="s">
        <v>118</v>
      </c>
      <c r="AP20">
        <v>3</v>
      </c>
      <c r="AQ20">
        <v>93</v>
      </c>
      <c r="AR20">
        <v>1152</v>
      </c>
      <c r="AZ20">
        <v>4552</v>
      </c>
      <c r="BA20">
        <v>1</v>
      </c>
      <c r="BB20" t="str">
        <f t="shared" si="2"/>
        <v xml:space="preserve">N607SR  </v>
      </c>
      <c r="BC20">
        <v>1</v>
      </c>
      <c r="BE20">
        <v>0</v>
      </c>
      <c r="BF20">
        <v>0</v>
      </c>
      <c r="BG20">
        <v>0</v>
      </c>
      <c r="BH20">
        <v>550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"06:11:43.090"</f>
        <v>06:11:43.090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7</v>
      </c>
      <c r="CP20" t="s">
        <v>119</v>
      </c>
      <c r="CQ20">
        <v>457</v>
      </c>
      <c r="CR20">
        <v>0</v>
      </c>
      <c r="CW20">
        <v>15508709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"08/29/2020 06:11:39.849"</f>
        <v>08/29/2020 06:11:39.849</v>
      </c>
      <c r="C21" t="str">
        <f t="shared" si="0"/>
        <v>FFDFD3C0</v>
      </c>
      <c r="D21" t="s">
        <v>121</v>
      </c>
      <c r="E21">
        <v>11</v>
      </c>
      <c r="F21">
        <v>1011</v>
      </c>
      <c r="G21" t="s">
        <v>125</v>
      </c>
      <c r="J21" t="s">
        <v>123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"06:11:43.086"</f>
        <v>06:11:43.086</v>
      </c>
      <c r="T21" t="str">
        <f>"06:11:42.686"</f>
        <v>06:11:42.686</v>
      </c>
      <c r="U21" t="str">
        <f t="shared" si="1"/>
        <v>A7E2E0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136</v>
      </c>
      <c r="AJ21">
        <v>39.117700999999997</v>
      </c>
      <c r="AK21" t="s">
        <v>135</v>
      </c>
      <c r="AL21">
        <v>-87.448188999999999</v>
      </c>
      <c r="AM21">
        <v>100</v>
      </c>
      <c r="AN21">
        <v>800</v>
      </c>
      <c r="AO21" t="s">
        <v>118</v>
      </c>
      <c r="AP21">
        <v>3</v>
      </c>
      <c r="AQ21">
        <v>93</v>
      </c>
      <c r="AR21">
        <v>1152</v>
      </c>
      <c r="AZ21">
        <v>4552</v>
      </c>
      <c r="BA21">
        <v>1</v>
      </c>
      <c r="BB21" t="str">
        <f t="shared" si="2"/>
        <v xml:space="preserve">N607SR  </v>
      </c>
      <c r="BC21">
        <v>1</v>
      </c>
      <c r="BE21">
        <v>0</v>
      </c>
      <c r="BF21">
        <v>0</v>
      </c>
      <c r="BG21">
        <v>0</v>
      </c>
      <c r="BH21">
        <v>550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"06:11:43.090"</f>
        <v>06:11:43.090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7</v>
      </c>
      <c r="CP21" t="s">
        <v>119</v>
      </c>
      <c r="CQ21">
        <v>457</v>
      </c>
      <c r="CR21">
        <v>0</v>
      </c>
      <c r="CW21">
        <v>15508709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"08/29/2020 06:11:40.338"</f>
        <v>08/29/2020 06:11:40.338</v>
      </c>
      <c r="C22" t="str">
        <f t="shared" si="0"/>
        <v>FFDFD3C0</v>
      </c>
      <c r="D22" t="s">
        <v>128</v>
      </c>
      <c r="E22">
        <v>5</v>
      </c>
      <c r="H22">
        <v>241</v>
      </c>
      <c r="I22" t="s">
        <v>129</v>
      </c>
      <c r="J22" t="s">
        <v>130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"06:11:43.539"</f>
        <v>06:11:43.539</v>
      </c>
      <c r="T22" t="str">
        <f>"06:11:43.139"</f>
        <v>06:11:43.139</v>
      </c>
      <c r="U22" t="str">
        <f t="shared" si="1"/>
        <v>A7E2E0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137</v>
      </c>
      <c r="AJ22">
        <v>39.117916000000001</v>
      </c>
      <c r="AK22" t="s">
        <v>135</v>
      </c>
      <c r="AL22">
        <v>-87.448188999999999</v>
      </c>
      <c r="AM22">
        <v>100</v>
      </c>
      <c r="AN22">
        <v>900</v>
      </c>
      <c r="AO22" t="s">
        <v>118</v>
      </c>
      <c r="AP22">
        <v>3</v>
      </c>
      <c r="AQ22">
        <v>93</v>
      </c>
      <c r="AR22">
        <v>1152</v>
      </c>
      <c r="AZ22">
        <v>4552</v>
      </c>
      <c r="BA22">
        <v>1</v>
      </c>
      <c r="BB22" t="str">
        <f t="shared" si="2"/>
        <v xml:space="preserve">N607SR  </v>
      </c>
      <c r="BC22">
        <v>1</v>
      </c>
      <c r="BE22">
        <v>0</v>
      </c>
      <c r="BF22">
        <v>0</v>
      </c>
      <c r="BG22">
        <v>0</v>
      </c>
      <c r="BH22">
        <v>650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"06:11:43.541"</f>
        <v>06:11:43.541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7</v>
      </c>
      <c r="CP22" t="s">
        <v>119</v>
      </c>
      <c r="CQ22">
        <v>457</v>
      </c>
      <c r="CR22">
        <v>0</v>
      </c>
      <c r="CW22">
        <v>15508721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"08/29/2020 06:11:40.338"</f>
        <v>08/29/2020 06:11:40.338</v>
      </c>
      <c r="C23" t="str">
        <f t="shared" si="0"/>
        <v>FFDFD3C0</v>
      </c>
      <c r="D23" t="s">
        <v>113</v>
      </c>
      <c r="E23">
        <v>5</v>
      </c>
      <c r="H23">
        <v>163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"06:11:43.539"</f>
        <v>06:11:43.539</v>
      </c>
      <c r="T23" t="str">
        <f>"06:11:43.139"</f>
        <v>06:11:43.139</v>
      </c>
      <c r="U23" t="str">
        <f t="shared" si="1"/>
        <v>A7E2E0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137</v>
      </c>
      <c r="AJ23">
        <v>39.117916000000001</v>
      </c>
      <c r="AK23" t="s">
        <v>135</v>
      </c>
      <c r="AL23">
        <v>-87.448188999999999</v>
      </c>
      <c r="AM23">
        <v>100</v>
      </c>
      <c r="AN23">
        <v>900</v>
      </c>
      <c r="AO23" t="s">
        <v>118</v>
      </c>
      <c r="AP23">
        <v>3</v>
      </c>
      <c r="AQ23">
        <v>93</v>
      </c>
      <c r="AR23">
        <v>1152</v>
      </c>
      <c r="AZ23">
        <v>4552</v>
      </c>
      <c r="BA23">
        <v>1</v>
      </c>
      <c r="BB23" t="str">
        <f t="shared" si="2"/>
        <v xml:space="preserve">N607SR  </v>
      </c>
      <c r="BC23">
        <v>1</v>
      </c>
      <c r="BE23">
        <v>0</v>
      </c>
      <c r="BF23">
        <v>0</v>
      </c>
      <c r="BG23">
        <v>0</v>
      </c>
      <c r="BH23">
        <v>650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"06:11:43.541"</f>
        <v>06:11:43.541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7</v>
      </c>
      <c r="CP23" t="s">
        <v>119</v>
      </c>
      <c r="CQ23">
        <v>457</v>
      </c>
      <c r="CR23">
        <v>0</v>
      </c>
      <c r="CW23">
        <v>15508721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"08/29/2020 06:11:40.723"</f>
        <v>08/29/2020 06:11:40.723</v>
      </c>
      <c r="C24" t="str">
        <f t="shared" si="0"/>
        <v>FFDFD3C0</v>
      </c>
      <c r="D24" t="s">
        <v>121</v>
      </c>
      <c r="E24">
        <v>11</v>
      </c>
      <c r="F24">
        <v>1011</v>
      </c>
      <c r="G24" t="s">
        <v>125</v>
      </c>
      <c r="J24" t="s">
        <v>123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"06:11:43.953"</f>
        <v>06:11:43.953</v>
      </c>
      <c r="T24" t="str">
        <f>"06:11:43.553"</f>
        <v>06:11:43.553</v>
      </c>
      <c r="U24" t="str">
        <f t="shared" si="1"/>
        <v>A7E2E0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138</v>
      </c>
      <c r="AJ24">
        <v>39.118108999999997</v>
      </c>
      <c r="AK24" t="s">
        <v>135</v>
      </c>
      <c r="AL24">
        <v>-87.448188999999999</v>
      </c>
      <c r="AM24">
        <v>100</v>
      </c>
      <c r="AN24">
        <v>900</v>
      </c>
      <c r="AO24" t="s">
        <v>118</v>
      </c>
      <c r="AP24">
        <v>3</v>
      </c>
      <c r="AQ24">
        <v>93</v>
      </c>
      <c r="AR24">
        <v>1216</v>
      </c>
      <c r="AZ24">
        <v>4552</v>
      </c>
      <c r="BA24">
        <v>1</v>
      </c>
      <c r="BB24" t="str">
        <f t="shared" si="2"/>
        <v xml:space="preserve">N607SR  </v>
      </c>
      <c r="BC24">
        <v>1</v>
      </c>
      <c r="BE24">
        <v>0</v>
      </c>
      <c r="BF24">
        <v>0</v>
      </c>
      <c r="BG24">
        <v>0</v>
      </c>
      <c r="BH24">
        <v>575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"06:11:43.959"</f>
        <v>06:11:43.959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7</v>
      </c>
      <c r="CP24" t="s">
        <v>119</v>
      </c>
      <c r="CQ24">
        <v>457</v>
      </c>
      <c r="CR24">
        <v>0</v>
      </c>
      <c r="CW24">
        <v>15508737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"08/29/2020 06:11:40.723"</f>
        <v>08/29/2020 06:11:40.723</v>
      </c>
      <c r="C25" t="str">
        <f t="shared" si="0"/>
        <v>FFDFD3C0</v>
      </c>
      <c r="D25" t="s">
        <v>121</v>
      </c>
      <c r="E25">
        <v>10</v>
      </c>
      <c r="F25">
        <v>1010</v>
      </c>
      <c r="G25" t="s">
        <v>114</v>
      </c>
      <c r="J25" t="s">
        <v>123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"06:11:43.953"</f>
        <v>06:11:43.953</v>
      </c>
      <c r="T25" t="str">
        <f>"06:11:43.553"</f>
        <v>06:11:43.553</v>
      </c>
      <c r="U25" t="str">
        <f t="shared" si="1"/>
        <v>A7E2E0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138</v>
      </c>
      <c r="AJ25">
        <v>39.118108999999997</v>
      </c>
      <c r="AK25" t="s">
        <v>135</v>
      </c>
      <c r="AL25">
        <v>-87.448188999999999</v>
      </c>
      <c r="AM25">
        <v>100</v>
      </c>
      <c r="AN25">
        <v>900</v>
      </c>
      <c r="AO25" t="s">
        <v>118</v>
      </c>
      <c r="AP25">
        <v>3</v>
      </c>
      <c r="AQ25">
        <v>93</v>
      </c>
      <c r="AR25">
        <v>1216</v>
      </c>
      <c r="AZ25">
        <v>4552</v>
      </c>
      <c r="BA25">
        <v>1</v>
      </c>
      <c r="BB25" t="str">
        <f t="shared" si="2"/>
        <v xml:space="preserve">N607SR  </v>
      </c>
      <c r="BC25">
        <v>1</v>
      </c>
      <c r="BE25">
        <v>0</v>
      </c>
      <c r="BF25">
        <v>0</v>
      </c>
      <c r="BG25">
        <v>0</v>
      </c>
      <c r="BH25">
        <v>575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"06:11:43.959"</f>
        <v>06:11:43.959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7</v>
      </c>
      <c r="CP25" t="s">
        <v>119</v>
      </c>
      <c r="CQ25">
        <v>457</v>
      </c>
      <c r="CR25">
        <v>0</v>
      </c>
      <c r="CW25">
        <v>15508737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"08/29/2020 06:11:40.723"</f>
        <v>08/29/2020 06:11:40.723</v>
      </c>
      <c r="C26" t="str">
        <f t="shared" si="0"/>
        <v>FFDFD3C0</v>
      </c>
      <c r="D26" t="s">
        <v>121</v>
      </c>
      <c r="E26">
        <v>13</v>
      </c>
      <c r="F26">
        <v>1013</v>
      </c>
      <c r="G26" t="s">
        <v>122</v>
      </c>
      <c r="J26" t="s">
        <v>123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"06:11:43.953"</f>
        <v>06:11:43.953</v>
      </c>
      <c r="T26" t="str">
        <f>"06:11:43.553"</f>
        <v>06:11:43.553</v>
      </c>
      <c r="U26" t="str">
        <f t="shared" si="1"/>
        <v>A7E2E0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138</v>
      </c>
      <c r="AJ26">
        <v>39.118108999999997</v>
      </c>
      <c r="AK26" t="s">
        <v>135</v>
      </c>
      <c r="AL26">
        <v>-87.448188999999999</v>
      </c>
      <c r="AM26">
        <v>100</v>
      </c>
      <c r="AN26">
        <v>900</v>
      </c>
      <c r="AO26" t="s">
        <v>118</v>
      </c>
      <c r="AP26">
        <v>3</v>
      </c>
      <c r="AQ26">
        <v>93</v>
      </c>
      <c r="AR26">
        <v>1216</v>
      </c>
      <c r="AZ26">
        <v>4552</v>
      </c>
      <c r="BA26">
        <v>1</v>
      </c>
      <c r="BB26" t="str">
        <f t="shared" si="2"/>
        <v xml:space="preserve">N607SR  </v>
      </c>
      <c r="BC26">
        <v>1</v>
      </c>
      <c r="BE26">
        <v>0</v>
      </c>
      <c r="BF26">
        <v>0</v>
      </c>
      <c r="BG26">
        <v>0</v>
      </c>
      <c r="BH26">
        <v>575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"06:11:43.959"</f>
        <v>06:11:43.959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7</v>
      </c>
      <c r="CP26" t="s">
        <v>119</v>
      </c>
      <c r="CQ26">
        <v>457</v>
      </c>
      <c r="CR26">
        <v>0</v>
      </c>
      <c r="CW26">
        <v>15508737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"08/29/2020 06:11:41.149"</f>
        <v>08/29/2020 06:11:41.149</v>
      </c>
      <c r="C27" t="str">
        <f t="shared" si="0"/>
        <v>FFDFD3C0</v>
      </c>
      <c r="D27" t="s">
        <v>128</v>
      </c>
      <c r="E27">
        <v>5</v>
      </c>
      <c r="H27">
        <v>241</v>
      </c>
      <c r="I27" t="s">
        <v>129</v>
      </c>
      <c r="J27" t="s">
        <v>130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"06:11:44.383"</f>
        <v>06:11:44.383</v>
      </c>
      <c r="T27" t="str">
        <f>"06:11:43.983"</f>
        <v>06:11:43.983</v>
      </c>
      <c r="U27" t="str">
        <f t="shared" si="1"/>
        <v>A7E2E0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0</v>
      </c>
      <c r="AI27" t="s">
        <v>139</v>
      </c>
      <c r="AJ27">
        <v>39.118279999999999</v>
      </c>
      <c r="AK27" t="s">
        <v>135</v>
      </c>
      <c r="AL27">
        <v>-87.448188999999999</v>
      </c>
      <c r="AM27">
        <v>100</v>
      </c>
      <c r="AN27">
        <v>900</v>
      </c>
      <c r="AO27" t="s">
        <v>118</v>
      </c>
      <c r="AP27">
        <v>3</v>
      </c>
      <c r="AQ27">
        <v>93</v>
      </c>
      <c r="AR27">
        <v>1216</v>
      </c>
      <c r="AZ27">
        <v>4552</v>
      </c>
      <c r="BA27">
        <v>1</v>
      </c>
      <c r="BB27" t="str">
        <f t="shared" si="2"/>
        <v xml:space="preserve">N607SR  </v>
      </c>
      <c r="BC27">
        <v>1</v>
      </c>
      <c r="BE27">
        <v>0</v>
      </c>
      <c r="BF27">
        <v>0</v>
      </c>
      <c r="BG27">
        <v>0</v>
      </c>
      <c r="BH27">
        <v>575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"06:11:44.385"</f>
        <v>06:11:44.385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7</v>
      </c>
      <c r="CP27" t="s">
        <v>119</v>
      </c>
      <c r="CQ27">
        <v>457</v>
      </c>
      <c r="CR27">
        <v>0</v>
      </c>
      <c r="CW27">
        <v>15508749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"08/29/2020 06:11:41.149"</f>
        <v>08/29/2020 06:11:41.149</v>
      </c>
      <c r="C28" t="str">
        <f t="shared" si="0"/>
        <v>FFDFD3C0</v>
      </c>
      <c r="D28" t="s">
        <v>113</v>
      </c>
      <c r="E28">
        <v>5</v>
      </c>
      <c r="H28">
        <v>163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"06:11:44.383"</f>
        <v>06:11:44.383</v>
      </c>
      <c r="T28" t="str">
        <f>"06:11:43.983"</f>
        <v>06:11:43.983</v>
      </c>
      <c r="U28" t="str">
        <f t="shared" si="1"/>
        <v>A7E2E0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0</v>
      </c>
      <c r="AI28" t="s">
        <v>139</v>
      </c>
      <c r="AJ28">
        <v>39.118279999999999</v>
      </c>
      <c r="AK28" t="s">
        <v>135</v>
      </c>
      <c r="AL28">
        <v>-87.448188999999999</v>
      </c>
      <c r="AM28">
        <v>100</v>
      </c>
      <c r="AN28">
        <v>900</v>
      </c>
      <c r="AO28" t="s">
        <v>118</v>
      </c>
      <c r="AP28">
        <v>3</v>
      </c>
      <c r="AQ28">
        <v>93</v>
      </c>
      <c r="AR28">
        <v>1216</v>
      </c>
      <c r="AZ28">
        <v>4552</v>
      </c>
      <c r="BA28">
        <v>1</v>
      </c>
      <c r="BB28" t="str">
        <f t="shared" si="2"/>
        <v xml:space="preserve">N607SR  </v>
      </c>
      <c r="BC28">
        <v>1</v>
      </c>
      <c r="BE28">
        <v>0</v>
      </c>
      <c r="BF28">
        <v>0</v>
      </c>
      <c r="BG28">
        <v>0</v>
      </c>
      <c r="BH28">
        <v>575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"06:11:44.385"</f>
        <v>06:11:44.385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7</v>
      </c>
      <c r="CP28" t="s">
        <v>119</v>
      </c>
      <c r="CQ28">
        <v>457</v>
      </c>
      <c r="CR28">
        <v>0</v>
      </c>
      <c r="CW28">
        <v>15508749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"08/29/2020 06:11:41.738"</f>
        <v>08/29/2020 06:11:41.738</v>
      </c>
      <c r="C29" t="str">
        <f t="shared" si="0"/>
        <v>FFDFD3C0</v>
      </c>
      <c r="D29" t="s">
        <v>121</v>
      </c>
      <c r="E29">
        <v>11</v>
      </c>
      <c r="F29">
        <v>1011</v>
      </c>
      <c r="G29" t="s">
        <v>125</v>
      </c>
      <c r="J29" t="s">
        <v>123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"06:11:44.961"</f>
        <v>06:11:44.961</v>
      </c>
      <c r="T29" t="str">
        <f>"06:11:44.461"</f>
        <v>06:11:44.461</v>
      </c>
      <c r="U29" t="str">
        <f t="shared" si="1"/>
        <v>A7E2E0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0</v>
      </c>
      <c r="AI29" t="s">
        <v>140</v>
      </c>
      <c r="AJ29">
        <v>39.118558999999998</v>
      </c>
      <c r="AK29" t="s">
        <v>135</v>
      </c>
      <c r="AL29">
        <v>-87.448188999999999</v>
      </c>
      <c r="AM29">
        <v>100</v>
      </c>
      <c r="AN29">
        <v>900</v>
      </c>
      <c r="AO29" t="s">
        <v>118</v>
      </c>
      <c r="AP29">
        <v>3</v>
      </c>
      <c r="AQ29">
        <v>93</v>
      </c>
      <c r="AR29">
        <v>1280</v>
      </c>
      <c r="AZ29">
        <v>4552</v>
      </c>
      <c r="BA29">
        <v>1</v>
      </c>
      <c r="BB29" t="str">
        <f t="shared" si="2"/>
        <v xml:space="preserve">N607SR  </v>
      </c>
      <c r="BC29">
        <v>1</v>
      </c>
      <c r="BE29">
        <v>0</v>
      </c>
      <c r="BF29">
        <v>0</v>
      </c>
      <c r="BG29">
        <v>0</v>
      </c>
      <c r="BH29">
        <v>575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"06:11:44.965"</f>
        <v>06:11:44.965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7</v>
      </c>
      <c r="CP29" t="s">
        <v>119</v>
      </c>
      <c r="CQ29">
        <v>457</v>
      </c>
      <c r="CR29">
        <v>0</v>
      </c>
      <c r="CW29">
        <v>15508766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"08/29/2020 06:11:41.738"</f>
        <v>08/29/2020 06:11:41.738</v>
      </c>
      <c r="C30" t="str">
        <f t="shared" si="0"/>
        <v>FFDFD3C0</v>
      </c>
      <c r="D30" t="s">
        <v>121</v>
      </c>
      <c r="E30">
        <v>13</v>
      </c>
      <c r="F30">
        <v>1013</v>
      </c>
      <c r="G30" t="s">
        <v>122</v>
      </c>
      <c r="J30" t="s">
        <v>123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"06:11:44.961"</f>
        <v>06:11:44.961</v>
      </c>
      <c r="T30" t="str">
        <f>"06:11:44.461"</f>
        <v>06:11:44.461</v>
      </c>
      <c r="U30" t="str">
        <f t="shared" si="1"/>
        <v>A7E2E0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0</v>
      </c>
      <c r="AI30" t="s">
        <v>140</v>
      </c>
      <c r="AJ30">
        <v>39.118558999999998</v>
      </c>
      <c r="AK30" t="s">
        <v>135</v>
      </c>
      <c r="AL30">
        <v>-87.448188999999999</v>
      </c>
      <c r="AM30">
        <v>100</v>
      </c>
      <c r="AN30">
        <v>900</v>
      </c>
      <c r="AO30" t="s">
        <v>118</v>
      </c>
      <c r="AP30">
        <v>3</v>
      </c>
      <c r="AQ30">
        <v>93</v>
      </c>
      <c r="AR30">
        <v>1280</v>
      </c>
      <c r="AZ30">
        <v>4552</v>
      </c>
      <c r="BA30">
        <v>1</v>
      </c>
      <c r="BB30" t="str">
        <f t="shared" si="2"/>
        <v xml:space="preserve">N607SR  </v>
      </c>
      <c r="BC30">
        <v>1</v>
      </c>
      <c r="BE30">
        <v>0</v>
      </c>
      <c r="BF30">
        <v>0</v>
      </c>
      <c r="BG30">
        <v>0</v>
      </c>
      <c r="BH30">
        <v>575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"06:11:44.965"</f>
        <v>06:11:44.965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7</v>
      </c>
      <c r="CP30" t="s">
        <v>119</v>
      </c>
      <c r="CQ30">
        <v>457</v>
      </c>
      <c r="CR30">
        <v>0</v>
      </c>
      <c r="CW30">
        <v>15508766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"08/29/2020 06:11:41.738"</f>
        <v>08/29/2020 06:11:41.738</v>
      </c>
      <c r="C31" t="str">
        <f t="shared" si="0"/>
        <v>FFDFD3C0</v>
      </c>
      <c r="D31" t="s">
        <v>121</v>
      </c>
      <c r="E31">
        <v>10</v>
      </c>
      <c r="F31">
        <v>1010</v>
      </c>
      <c r="G31" t="s">
        <v>114</v>
      </c>
      <c r="J31" t="s">
        <v>123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"06:11:44.961"</f>
        <v>06:11:44.961</v>
      </c>
      <c r="T31" t="str">
        <f>"06:11:44.461"</f>
        <v>06:11:44.461</v>
      </c>
      <c r="U31" t="str">
        <f t="shared" si="1"/>
        <v>A7E2E0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0</v>
      </c>
      <c r="AI31" t="s">
        <v>140</v>
      </c>
      <c r="AJ31">
        <v>39.118558999999998</v>
      </c>
      <c r="AK31" t="s">
        <v>135</v>
      </c>
      <c r="AL31">
        <v>-87.448188999999999</v>
      </c>
      <c r="AM31">
        <v>100</v>
      </c>
      <c r="AN31">
        <v>900</v>
      </c>
      <c r="AO31" t="s">
        <v>118</v>
      </c>
      <c r="AP31">
        <v>3</v>
      </c>
      <c r="AQ31">
        <v>93</v>
      </c>
      <c r="AR31">
        <v>1280</v>
      </c>
      <c r="AZ31">
        <v>4552</v>
      </c>
      <c r="BA31">
        <v>1</v>
      </c>
      <c r="BB31" t="str">
        <f t="shared" si="2"/>
        <v xml:space="preserve">N607SR  </v>
      </c>
      <c r="BC31">
        <v>1</v>
      </c>
      <c r="BE31">
        <v>0</v>
      </c>
      <c r="BF31">
        <v>0</v>
      </c>
      <c r="BG31">
        <v>0</v>
      </c>
      <c r="BH31">
        <v>575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"06:11:44.965"</f>
        <v>06:11:44.965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119</v>
      </c>
      <c r="CQ31">
        <v>457</v>
      </c>
      <c r="CR31">
        <v>0</v>
      </c>
      <c r="CW31">
        <v>15508766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"08/29/2020 06:11:42.233"</f>
        <v>08/29/2020 06:11:42.233</v>
      </c>
      <c r="C32" t="str">
        <f t="shared" si="0"/>
        <v>FFDFD3C0</v>
      </c>
      <c r="D32" t="s">
        <v>113</v>
      </c>
      <c r="E32">
        <v>5</v>
      </c>
      <c r="H32">
        <v>163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"06:11:45.461"</f>
        <v>06:11:45.461</v>
      </c>
      <c r="T32" t="str">
        <f>"06:11:45.061"</f>
        <v>06:11:45.061</v>
      </c>
      <c r="U32" t="str">
        <f t="shared" si="1"/>
        <v>A7E2E0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0</v>
      </c>
      <c r="AI32" t="s">
        <v>141</v>
      </c>
      <c r="AJ32">
        <v>39.118774000000002</v>
      </c>
      <c r="AK32" t="s">
        <v>135</v>
      </c>
      <c r="AL32">
        <v>-87.448188999999999</v>
      </c>
      <c r="AM32">
        <v>100</v>
      </c>
      <c r="AN32">
        <v>900</v>
      </c>
      <c r="AO32" t="s">
        <v>118</v>
      </c>
      <c r="AP32">
        <v>4</v>
      </c>
      <c r="AQ32">
        <v>93</v>
      </c>
      <c r="AR32">
        <v>1344</v>
      </c>
      <c r="AZ32">
        <v>4552</v>
      </c>
      <c r="BA32">
        <v>1</v>
      </c>
      <c r="BB32" t="str">
        <f t="shared" si="2"/>
        <v xml:space="preserve">N607SR  </v>
      </c>
      <c r="BC32">
        <v>1</v>
      </c>
      <c r="BE32">
        <v>0</v>
      </c>
      <c r="BF32">
        <v>0</v>
      </c>
      <c r="BG32">
        <v>0</v>
      </c>
      <c r="BH32">
        <v>600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"06:11:45.461"</f>
        <v>06:11:45.461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119</v>
      </c>
      <c r="CQ32">
        <v>457</v>
      </c>
      <c r="CR32">
        <v>0</v>
      </c>
      <c r="CW32">
        <v>15508780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"08/29/2020 06:11:42.233"</f>
        <v>08/29/2020 06:11:42.233</v>
      </c>
      <c r="C33" t="str">
        <f t="shared" si="0"/>
        <v>FFDFD3C0</v>
      </c>
      <c r="D33" t="s">
        <v>128</v>
      </c>
      <c r="E33">
        <v>5</v>
      </c>
      <c r="H33">
        <v>241</v>
      </c>
      <c r="I33" t="s">
        <v>129</v>
      </c>
      <c r="J33" t="s">
        <v>130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"06:11:45.461"</f>
        <v>06:11:45.461</v>
      </c>
      <c r="T33" t="str">
        <f>"06:11:45.061"</f>
        <v>06:11:45.061</v>
      </c>
      <c r="U33" t="str">
        <f t="shared" si="1"/>
        <v>A7E2E0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0</v>
      </c>
      <c r="AI33" t="s">
        <v>141</v>
      </c>
      <c r="AJ33">
        <v>39.118774000000002</v>
      </c>
      <c r="AK33" t="s">
        <v>135</v>
      </c>
      <c r="AL33">
        <v>-87.448188999999999</v>
      </c>
      <c r="AM33">
        <v>100</v>
      </c>
      <c r="AN33">
        <v>900</v>
      </c>
      <c r="AO33" t="s">
        <v>118</v>
      </c>
      <c r="AP33">
        <v>4</v>
      </c>
      <c r="AQ33">
        <v>93</v>
      </c>
      <c r="AR33">
        <v>1344</v>
      </c>
      <c r="AZ33">
        <v>4552</v>
      </c>
      <c r="BA33">
        <v>1</v>
      </c>
      <c r="BB33" t="str">
        <f t="shared" si="2"/>
        <v xml:space="preserve">N607SR  </v>
      </c>
      <c r="BC33">
        <v>1</v>
      </c>
      <c r="BE33">
        <v>0</v>
      </c>
      <c r="BF33">
        <v>0</v>
      </c>
      <c r="BG33">
        <v>0</v>
      </c>
      <c r="BH33">
        <v>600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"06:11:45.461"</f>
        <v>06:11:45.461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119</v>
      </c>
      <c r="CQ33">
        <v>457</v>
      </c>
      <c r="CR33">
        <v>0</v>
      </c>
      <c r="CW33">
        <v>15508780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"08/29/2020 06:11:42.702"</f>
        <v>08/29/2020 06:11:42.702</v>
      </c>
      <c r="C34" t="str">
        <f t="shared" si="0"/>
        <v>FFDFD3C0</v>
      </c>
      <c r="D34" t="s">
        <v>121</v>
      </c>
      <c r="E34">
        <v>11</v>
      </c>
      <c r="F34">
        <v>1011</v>
      </c>
      <c r="G34" t="s">
        <v>125</v>
      </c>
      <c r="J34" t="s">
        <v>123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"06:11:45.938"</f>
        <v>06:11:45.938</v>
      </c>
      <c r="T34" t="str">
        <f>"06:11:45.537"</f>
        <v>06:11:45.537</v>
      </c>
      <c r="U34" t="str">
        <f t="shared" si="1"/>
        <v>A7E2E0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0</v>
      </c>
      <c r="AI34" t="s">
        <v>142</v>
      </c>
      <c r="AJ34">
        <v>39.118966999999998</v>
      </c>
      <c r="AK34" t="s">
        <v>143</v>
      </c>
      <c r="AL34">
        <v>-87.448125000000005</v>
      </c>
      <c r="AM34">
        <v>100</v>
      </c>
      <c r="AN34">
        <v>900</v>
      </c>
      <c r="AO34" t="s">
        <v>118</v>
      </c>
      <c r="AP34">
        <v>4</v>
      </c>
      <c r="AQ34">
        <v>93</v>
      </c>
      <c r="AR34">
        <v>1408</v>
      </c>
      <c r="AZ34">
        <v>4552</v>
      </c>
      <c r="BA34">
        <v>1</v>
      </c>
      <c r="BB34" t="str">
        <f t="shared" si="2"/>
        <v xml:space="preserve">N607SR  </v>
      </c>
      <c r="BC34">
        <v>1</v>
      </c>
      <c r="BE34">
        <v>0</v>
      </c>
      <c r="BF34">
        <v>0</v>
      </c>
      <c r="BG34">
        <v>0</v>
      </c>
      <c r="BH34">
        <v>600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"06:11:45.943"</f>
        <v>06:11:45.943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119</v>
      </c>
      <c r="CQ34">
        <v>457</v>
      </c>
      <c r="CR34">
        <v>0</v>
      </c>
      <c r="CW34">
        <v>15508797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"08/29/2020 06:11:42.702"</f>
        <v>08/29/2020 06:11:42.702</v>
      </c>
      <c r="C35" t="str">
        <f t="shared" si="0"/>
        <v>FFDFD3C0</v>
      </c>
      <c r="D35" t="s">
        <v>121</v>
      </c>
      <c r="E35">
        <v>10</v>
      </c>
      <c r="F35">
        <v>1010</v>
      </c>
      <c r="G35" t="s">
        <v>114</v>
      </c>
      <c r="J35" t="s">
        <v>123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"06:11:45.938"</f>
        <v>06:11:45.938</v>
      </c>
      <c r="T35" t="str">
        <f>"06:11:45.537"</f>
        <v>06:11:45.537</v>
      </c>
      <c r="U35" t="str">
        <f t="shared" si="1"/>
        <v>A7E2E0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0</v>
      </c>
      <c r="AI35" t="s">
        <v>142</v>
      </c>
      <c r="AJ35">
        <v>39.118966999999998</v>
      </c>
      <c r="AK35" t="s">
        <v>143</v>
      </c>
      <c r="AL35">
        <v>-87.448125000000005</v>
      </c>
      <c r="AM35">
        <v>100</v>
      </c>
      <c r="AN35">
        <v>900</v>
      </c>
      <c r="AO35" t="s">
        <v>118</v>
      </c>
      <c r="AP35">
        <v>4</v>
      </c>
      <c r="AQ35">
        <v>93</v>
      </c>
      <c r="AR35">
        <v>1408</v>
      </c>
      <c r="AZ35">
        <v>4552</v>
      </c>
      <c r="BA35">
        <v>1</v>
      </c>
      <c r="BB35" t="str">
        <f t="shared" si="2"/>
        <v xml:space="preserve">N607SR  </v>
      </c>
      <c r="BC35">
        <v>1</v>
      </c>
      <c r="BE35">
        <v>0</v>
      </c>
      <c r="BF35">
        <v>0</v>
      </c>
      <c r="BG35">
        <v>0</v>
      </c>
      <c r="BH35">
        <v>600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"06:11:45.943"</f>
        <v>06:11:45.943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457</v>
      </c>
      <c r="CR35">
        <v>0</v>
      </c>
      <c r="CW35">
        <v>15508797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"08/29/2020 06:11:42.702"</f>
        <v>08/29/2020 06:11:42.702</v>
      </c>
      <c r="C36" t="str">
        <f t="shared" si="0"/>
        <v>FFDFD3C0</v>
      </c>
      <c r="D36" t="s">
        <v>121</v>
      </c>
      <c r="E36">
        <v>13</v>
      </c>
      <c r="F36">
        <v>1013</v>
      </c>
      <c r="G36" t="s">
        <v>122</v>
      </c>
      <c r="J36" t="s">
        <v>123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"06:11:45.938"</f>
        <v>06:11:45.938</v>
      </c>
      <c r="T36" t="str">
        <f>"06:11:45.537"</f>
        <v>06:11:45.537</v>
      </c>
      <c r="U36" t="str">
        <f t="shared" si="1"/>
        <v>A7E2E0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0</v>
      </c>
      <c r="AI36" t="s">
        <v>142</v>
      </c>
      <c r="AJ36">
        <v>39.118966999999998</v>
      </c>
      <c r="AK36" t="s">
        <v>143</v>
      </c>
      <c r="AL36">
        <v>-87.448125000000005</v>
      </c>
      <c r="AM36">
        <v>100</v>
      </c>
      <c r="AN36">
        <v>900</v>
      </c>
      <c r="AO36" t="s">
        <v>118</v>
      </c>
      <c r="AP36">
        <v>4</v>
      </c>
      <c r="AQ36">
        <v>93</v>
      </c>
      <c r="AR36">
        <v>1408</v>
      </c>
      <c r="AZ36">
        <v>4552</v>
      </c>
      <c r="BA36">
        <v>1</v>
      </c>
      <c r="BB36" t="str">
        <f t="shared" si="2"/>
        <v xml:space="preserve">N607SR  </v>
      </c>
      <c r="BC36">
        <v>1</v>
      </c>
      <c r="BE36">
        <v>0</v>
      </c>
      <c r="BF36">
        <v>0</v>
      </c>
      <c r="BG36">
        <v>0</v>
      </c>
      <c r="BH36">
        <v>600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"06:11:45.943"</f>
        <v>06:11:45.943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119</v>
      </c>
      <c r="CQ36">
        <v>457</v>
      </c>
      <c r="CR36">
        <v>0</v>
      </c>
      <c r="CW36">
        <v>15508797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"08/29/2020 06:11:43.174"</f>
        <v>08/29/2020 06:11:43.174</v>
      </c>
      <c r="C37" t="str">
        <f t="shared" si="0"/>
        <v>FFDFD3C0</v>
      </c>
      <c r="D37" t="s">
        <v>128</v>
      </c>
      <c r="E37">
        <v>5</v>
      </c>
      <c r="H37">
        <v>241</v>
      </c>
      <c r="I37" t="s">
        <v>129</v>
      </c>
      <c r="J37" t="s">
        <v>130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"06:11:46.406"</f>
        <v>06:11:46.406</v>
      </c>
      <c r="T37" t="str">
        <f>"06:11:46.006"</f>
        <v>06:11:46.006</v>
      </c>
      <c r="U37" t="str">
        <f t="shared" si="1"/>
        <v>A7E2E0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0</v>
      </c>
      <c r="AI37" t="s">
        <v>144</v>
      </c>
      <c r="AJ37">
        <v>39.119202999999999</v>
      </c>
      <c r="AK37" t="s">
        <v>143</v>
      </c>
      <c r="AL37">
        <v>-87.448125000000005</v>
      </c>
      <c r="AM37">
        <v>100</v>
      </c>
      <c r="AN37">
        <v>900</v>
      </c>
      <c r="AO37" t="s">
        <v>118</v>
      </c>
      <c r="AP37">
        <v>4</v>
      </c>
      <c r="AQ37">
        <v>93</v>
      </c>
      <c r="AR37">
        <v>1408</v>
      </c>
      <c r="AZ37">
        <v>4552</v>
      </c>
      <c r="BA37">
        <v>1</v>
      </c>
      <c r="BB37" t="str">
        <f t="shared" si="2"/>
        <v xml:space="preserve">N607SR  </v>
      </c>
      <c r="BC37">
        <v>1</v>
      </c>
      <c r="BE37">
        <v>0</v>
      </c>
      <c r="BF37">
        <v>0</v>
      </c>
      <c r="BG37">
        <v>0</v>
      </c>
      <c r="BH37">
        <v>625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"06:11:46.407"</f>
        <v>06:11:46.407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119</v>
      </c>
      <c r="CQ37">
        <v>457</v>
      </c>
      <c r="CR37">
        <v>0</v>
      </c>
      <c r="CW37">
        <v>15508812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"08/29/2020 06:11:43.174"</f>
        <v>08/29/2020 06:11:43.174</v>
      </c>
      <c r="C38" t="str">
        <f t="shared" si="0"/>
        <v>FFDFD3C0</v>
      </c>
      <c r="D38" t="s">
        <v>113</v>
      </c>
      <c r="E38">
        <v>5</v>
      </c>
      <c r="H38">
        <v>163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"06:11:46.406"</f>
        <v>06:11:46.406</v>
      </c>
      <c r="T38" t="str">
        <f>"06:11:46.006"</f>
        <v>06:11:46.006</v>
      </c>
      <c r="U38" t="str">
        <f t="shared" si="1"/>
        <v>A7E2E0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0</v>
      </c>
      <c r="AI38" t="s">
        <v>144</v>
      </c>
      <c r="AJ38">
        <v>39.119202999999999</v>
      </c>
      <c r="AK38" t="s">
        <v>143</v>
      </c>
      <c r="AL38">
        <v>-87.448125000000005</v>
      </c>
      <c r="AM38">
        <v>100</v>
      </c>
      <c r="AN38">
        <v>900</v>
      </c>
      <c r="AO38" t="s">
        <v>118</v>
      </c>
      <c r="AP38">
        <v>4</v>
      </c>
      <c r="AQ38">
        <v>93</v>
      </c>
      <c r="AR38">
        <v>1408</v>
      </c>
      <c r="AZ38">
        <v>4552</v>
      </c>
      <c r="BA38">
        <v>1</v>
      </c>
      <c r="BB38" t="str">
        <f t="shared" si="2"/>
        <v xml:space="preserve">N607SR  </v>
      </c>
      <c r="BC38">
        <v>1</v>
      </c>
      <c r="BE38">
        <v>0</v>
      </c>
      <c r="BF38">
        <v>0</v>
      </c>
      <c r="BG38">
        <v>0</v>
      </c>
      <c r="BH38">
        <v>625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"06:11:46.407"</f>
        <v>06:11:46.407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457</v>
      </c>
      <c r="CR38">
        <v>0</v>
      </c>
      <c r="CW38">
        <v>15508812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"08/29/2020 06:11:43.666"</f>
        <v>08/29/2020 06:11:43.666</v>
      </c>
      <c r="C39" t="str">
        <f t="shared" si="0"/>
        <v>FFDFD3C0</v>
      </c>
      <c r="D39" t="s">
        <v>121</v>
      </c>
      <c r="E39">
        <v>11</v>
      </c>
      <c r="F39">
        <v>1011</v>
      </c>
      <c r="G39" t="s">
        <v>125</v>
      </c>
      <c r="J39" t="s">
        <v>123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"06:11:46.875"</f>
        <v>06:11:46.875</v>
      </c>
      <c r="T39" t="str">
        <f>"06:11:46.475"</f>
        <v>06:11:46.475</v>
      </c>
      <c r="U39" t="str">
        <f t="shared" si="1"/>
        <v>A7E2E0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0</v>
      </c>
      <c r="AI39" t="s">
        <v>145</v>
      </c>
      <c r="AJ39">
        <v>39.119332</v>
      </c>
      <c r="AK39" t="s">
        <v>143</v>
      </c>
      <c r="AL39">
        <v>-87.448125000000005</v>
      </c>
      <c r="AM39">
        <v>100</v>
      </c>
      <c r="AN39">
        <v>900</v>
      </c>
      <c r="AO39" t="s">
        <v>118</v>
      </c>
      <c r="AP39">
        <v>5</v>
      </c>
      <c r="AQ39">
        <v>92</v>
      </c>
      <c r="AR39">
        <v>1408</v>
      </c>
      <c r="AZ39">
        <v>4552</v>
      </c>
      <c r="BA39">
        <v>1</v>
      </c>
      <c r="BB39" t="str">
        <f t="shared" si="2"/>
        <v xml:space="preserve">N607SR  </v>
      </c>
      <c r="BC39">
        <v>1</v>
      </c>
      <c r="BE39">
        <v>0</v>
      </c>
      <c r="BF39">
        <v>0</v>
      </c>
      <c r="BG39">
        <v>0</v>
      </c>
      <c r="BH39">
        <v>625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"06:11:46.877"</f>
        <v>06:11:46.877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457</v>
      </c>
      <c r="CR39">
        <v>0</v>
      </c>
      <c r="CW39">
        <v>15508825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"08/29/2020 06:11:43.666"</f>
        <v>08/29/2020 06:11:43.666</v>
      </c>
      <c r="C40" t="str">
        <f t="shared" si="0"/>
        <v>FFDFD3C0</v>
      </c>
      <c r="D40" t="s">
        <v>121</v>
      </c>
      <c r="E40">
        <v>10</v>
      </c>
      <c r="F40">
        <v>1010</v>
      </c>
      <c r="G40" t="s">
        <v>114</v>
      </c>
      <c r="J40" t="s">
        <v>123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"06:11:46.875"</f>
        <v>06:11:46.875</v>
      </c>
      <c r="T40" t="str">
        <f>"06:11:46.475"</f>
        <v>06:11:46.475</v>
      </c>
      <c r="U40" t="str">
        <f t="shared" si="1"/>
        <v>A7E2E0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0</v>
      </c>
      <c r="AI40" t="s">
        <v>145</v>
      </c>
      <c r="AJ40">
        <v>39.119332</v>
      </c>
      <c r="AK40" t="s">
        <v>143</v>
      </c>
      <c r="AL40">
        <v>-87.448125000000005</v>
      </c>
      <c r="AM40">
        <v>100</v>
      </c>
      <c r="AN40">
        <v>900</v>
      </c>
      <c r="AO40" t="s">
        <v>118</v>
      </c>
      <c r="AP40">
        <v>5</v>
      </c>
      <c r="AQ40">
        <v>92</v>
      </c>
      <c r="AR40">
        <v>1408</v>
      </c>
      <c r="AZ40">
        <v>4552</v>
      </c>
      <c r="BA40">
        <v>1</v>
      </c>
      <c r="BB40" t="str">
        <f t="shared" si="2"/>
        <v xml:space="preserve">N607SR  </v>
      </c>
      <c r="BC40">
        <v>1</v>
      </c>
      <c r="BE40">
        <v>0</v>
      </c>
      <c r="BF40">
        <v>0</v>
      </c>
      <c r="BG40">
        <v>0</v>
      </c>
      <c r="BH40">
        <v>625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"06:11:46.877"</f>
        <v>06:11:46.877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457</v>
      </c>
      <c r="CR40">
        <v>0</v>
      </c>
      <c r="CW40">
        <v>15508825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"08/29/2020 06:11:43.666"</f>
        <v>08/29/2020 06:11:43.666</v>
      </c>
      <c r="C41" t="str">
        <f t="shared" si="0"/>
        <v>FFDFD3C0</v>
      </c>
      <c r="D41" t="s">
        <v>121</v>
      </c>
      <c r="E41">
        <v>13</v>
      </c>
      <c r="F41">
        <v>1013</v>
      </c>
      <c r="G41" t="s">
        <v>122</v>
      </c>
      <c r="J41" t="s">
        <v>123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"06:11:46.875"</f>
        <v>06:11:46.875</v>
      </c>
      <c r="T41" t="str">
        <f>"06:11:46.475"</f>
        <v>06:11:46.475</v>
      </c>
      <c r="U41" t="str">
        <f t="shared" si="1"/>
        <v>A7E2E0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0</v>
      </c>
      <c r="AI41" t="s">
        <v>145</v>
      </c>
      <c r="AJ41">
        <v>39.119332</v>
      </c>
      <c r="AK41" t="s">
        <v>143</v>
      </c>
      <c r="AL41">
        <v>-87.448125000000005</v>
      </c>
      <c r="AM41">
        <v>100</v>
      </c>
      <c r="AN41">
        <v>900</v>
      </c>
      <c r="AO41" t="s">
        <v>118</v>
      </c>
      <c r="AP41">
        <v>5</v>
      </c>
      <c r="AQ41">
        <v>92</v>
      </c>
      <c r="AR41">
        <v>1408</v>
      </c>
      <c r="AZ41">
        <v>4552</v>
      </c>
      <c r="BA41">
        <v>1</v>
      </c>
      <c r="BB41" t="str">
        <f t="shared" si="2"/>
        <v xml:space="preserve">N607SR  </v>
      </c>
      <c r="BC41">
        <v>1</v>
      </c>
      <c r="BE41">
        <v>0</v>
      </c>
      <c r="BF41">
        <v>0</v>
      </c>
      <c r="BG41">
        <v>0</v>
      </c>
      <c r="BH41">
        <v>625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"06:11:46.877"</f>
        <v>06:11:46.877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457</v>
      </c>
      <c r="CR41">
        <v>0</v>
      </c>
      <c r="CW41">
        <v>15508825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"08/29/2020 06:11:44.086"</f>
        <v>08/29/2020 06:11:44.086</v>
      </c>
      <c r="C42" t="str">
        <f t="shared" si="0"/>
        <v>FFDFD3C0</v>
      </c>
      <c r="D42" t="s">
        <v>128</v>
      </c>
      <c r="E42">
        <v>5</v>
      </c>
      <c r="H42">
        <v>241</v>
      </c>
      <c r="I42" t="s">
        <v>129</v>
      </c>
      <c r="J42" t="s">
        <v>130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"06:11:47.289"</f>
        <v>06:11:47.289</v>
      </c>
      <c r="T42" t="str">
        <f>"06:11:46.889"</f>
        <v>06:11:46.889</v>
      </c>
      <c r="U42" t="str">
        <f t="shared" si="1"/>
        <v>A7E2E0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0</v>
      </c>
      <c r="AI42" t="s">
        <v>146</v>
      </c>
      <c r="AJ42">
        <v>39.119525000000003</v>
      </c>
      <c r="AK42" t="s">
        <v>143</v>
      </c>
      <c r="AL42">
        <v>-87.448125000000005</v>
      </c>
      <c r="AM42">
        <v>100</v>
      </c>
      <c r="AN42">
        <v>900</v>
      </c>
      <c r="AO42" t="s">
        <v>118</v>
      </c>
      <c r="AP42">
        <v>5</v>
      </c>
      <c r="AQ42">
        <v>92</v>
      </c>
      <c r="AR42">
        <v>1408</v>
      </c>
      <c r="AZ42">
        <v>4552</v>
      </c>
      <c r="BA42">
        <v>1</v>
      </c>
      <c r="BB42" t="str">
        <f t="shared" si="2"/>
        <v xml:space="preserve">N607SR  </v>
      </c>
      <c r="BC42">
        <v>1</v>
      </c>
      <c r="BE42">
        <v>0</v>
      </c>
      <c r="BF42">
        <v>0</v>
      </c>
      <c r="BG42">
        <v>0</v>
      </c>
      <c r="BH42">
        <v>650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"06:11:47.293"</f>
        <v>06:11:47.293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457</v>
      </c>
      <c r="CR42">
        <v>0</v>
      </c>
      <c r="CW42">
        <v>15508837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"08/29/2020 06:11:44.086"</f>
        <v>08/29/2020 06:11:44.086</v>
      </c>
      <c r="C43" t="str">
        <f t="shared" si="0"/>
        <v>FFDFD3C0</v>
      </c>
      <c r="D43" t="s">
        <v>113</v>
      </c>
      <c r="E43">
        <v>5</v>
      </c>
      <c r="H43">
        <v>163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"06:11:47.289"</f>
        <v>06:11:47.289</v>
      </c>
      <c r="T43" t="str">
        <f>"06:11:46.889"</f>
        <v>06:11:46.889</v>
      </c>
      <c r="U43" t="str">
        <f t="shared" si="1"/>
        <v>A7E2E0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0</v>
      </c>
      <c r="AI43" t="s">
        <v>146</v>
      </c>
      <c r="AJ43">
        <v>39.119525000000003</v>
      </c>
      <c r="AK43" t="s">
        <v>143</v>
      </c>
      <c r="AL43">
        <v>-87.448125000000005</v>
      </c>
      <c r="AM43">
        <v>100</v>
      </c>
      <c r="AN43">
        <v>900</v>
      </c>
      <c r="AO43" t="s">
        <v>118</v>
      </c>
      <c r="AP43">
        <v>5</v>
      </c>
      <c r="AQ43">
        <v>92</v>
      </c>
      <c r="AR43">
        <v>1408</v>
      </c>
      <c r="AZ43">
        <v>4552</v>
      </c>
      <c r="BA43">
        <v>1</v>
      </c>
      <c r="BB43" t="str">
        <f t="shared" si="2"/>
        <v xml:space="preserve">N607SR  </v>
      </c>
      <c r="BC43">
        <v>1</v>
      </c>
      <c r="BE43">
        <v>0</v>
      </c>
      <c r="BF43">
        <v>0</v>
      </c>
      <c r="BG43">
        <v>0</v>
      </c>
      <c r="BH43">
        <v>650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"06:11:47.293"</f>
        <v>06:11:47.293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457</v>
      </c>
      <c r="CR43">
        <v>0</v>
      </c>
      <c r="CW43">
        <v>15508837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"08/29/2020 06:11:44.529"</f>
        <v>08/29/2020 06:11:44.529</v>
      </c>
      <c r="C44" t="str">
        <f t="shared" si="0"/>
        <v>FFDFD3C0</v>
      </c>
      <c r="D44" t="s">
        <v>121</v>
      </c>
      <c r="E44">
        <v>11</v>
      </c>
      <c r="F44">
        <v>1011</v>
      </c>
      <c r="G44" t="s">
        <v>125</v>
      </c>
      <c r="J44" t="s">
        <v>123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"06:11:47.742"</f>
        <v>06:11:47.742</v>
      </c>
      <c r="T44" t="str">
        <f>"06:11:47.342"</f>
        <v>06:11:47.342</v>
      </c>
      <c r="U44" t="str">
        <f t="shared" si="1"/>
        <v>A7E2E0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0</v>
      </c>
      <c r="AI44" t="s">
        <v>147</v>
      </c>
      <c r="AJ44">
        <v>39.119760999999997</v>
      </c>
      <c r="AK44" t="s">
        <v>148</v>
      </c>
      <c r="AL44">
        <v>-87.448060999999996</v>
      </c>
      <c r="AM44">
        <v>100</v>
      </c>
      <c r="AN44">
        <v>900</v>
      </c>
      <c r="AO44" t="s">
        <v>118</v>
      </c>
      <c r="AP44">
        <v>5</v>
      </c>
      <c r="AQ44">
        <v>92</v>
      </c>
      <c r="AR44">
        <v>1408</v>
      </c>
      <c r="AZ44">
        <v>4552</v>
      </c>
      <c r="BA44">
        <v>1</v>
      </c>
      <c r="BB44" t="str">
        <f t="shared" si="2"/>
        <v xml:space="preserve">N607SR  </v>
      </c>
      <c r="BC44">
        <v>1</v>
      </c>
      <c r="BE44">
        <v>0</v>
      </c>
      <c r="BF44">
        <v>0</v>
      </c>
      <c r="BG44">
        <v>0</v>
      </c>
      <c r="BH44">
        <v>650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"06:11:47.747"</f>
        <v>06:11:47.747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457</v>
      </c>
      <c r="CR44">
        <v>0</v>
      </c>
      <c r="CW44">
        <v>15508851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"08/29/2020 06:11:44.529"</f>
        <v>08/29/2020 06:11:44.529</v>
      </c>
      <c r="C45" t="str">
        <f t="shared" si="0"/>
        <v>FFDFD3C0</v>
      </c>
      <c r="D45" t="s">
        <v>121</v>
      </c>
      <c r="E45">
        <v>10</v>
      </c>
      <c r="F45">
        <v>1010</v>
      </c>
      <c r="G45" t="s">
        <v>114</v>
      </c>
      <c r="J45" t="s">
        <v>123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"06:11:47.742"</f>
        <v>06:11:47.742</v>
      </c>
      <c r="T45" t="str">
        <f>"06:11:47.342"</f>
        <v>06:11:47.342</v>
      </c>
      <c r="U45" t="str">
        <f t="shared" si="1"/>
        <v>A7E2E0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0</v>
      </c>
      <c r="AI45" t="s">
        <v>147</v>
      </c>
      <c r="AJ45">
        <v>39.119760999999997</v>
      </c>
      <c r="AK45" t="s">
        <v>148</v>
      </c>
      <c r="AL45">
        <v>-87.448060999999996</v>
      </c>
      <c r="AM45">
        <v>100</v>
      </c>
      <c r="AN45">
        <v>900</v>
      </c>
      <c r="AO45" t="s">
        <v>118</v>
      </c>
      <c r="AP45">
        <v>5</v>
      </c>
      <c r="AQ45">
        <v>92</v>
      </c>
      <c r="AR45">
        <v>1408</v>
      </c>
      <c r="AZ45">
        <v>4552</v>
      </c>
      <c r="BA45">
        <v>1</v>
      </c>
      <c r="BB45" t="str">
        <f t="shared" si="2"/>
        <v xml:space="preserve">N607SR  </v>
      </c>
      <c r="BC45">
        <v>1</v>
      </c>
      <c r="BE45">
        <v>0</v>
      </c>
      <c r="BF45">
        <v>0</v>
      </c>
      <c r="BG45">
        <v>0</v>
      </c>
      <c r="BH45">
        <v>650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"06:11:47.747"</f>
        <v>06:11:47.747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457</v>
      </c>
      <c r="CR45">
        <v>0</v>
      </c>
      <c r="CW45">
        <v>15508851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"08/29/2020 06:11:44.529"</f>
        <v>08/29/2020 06:11:44.529</v>
      </c>
      <c r="C46" t="str">
        <f t="shared" si="0"/>
        <v>FFDFD3C0</v>
      </c>
      <c r="D46" t="s">
        <v>121</v>
      </c>
      <c r="E46">
        <v>13</v>
      </c>
      <c r="F46">
        <v>1013</v>
      </c>
      <c r="G46" t="s">
        <v>122</v>
      </c>
      <c r="J46" t="s">
        <v>123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"06:11:47.742"</f>
        <v>06:11:47.742</v>
      </c>
      <c r="T46" t="str">
        <f>"06:11:47.342"</f>
        <v>06:11:47.342</v>
      </c>
      <c r="U46" t="str">
        <f t="shared" si="1"/>
        <v>A7E2E0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0</v>
      </c>
      <c r="AI46" t="s">
        <v>147</v>
      </c>
      <c r="AJ46">
        <v>39.119760999999997</v>
      </c>
      <c r="AK46" t="s">
        <v>148</v>
      </c>
      <c r="AL46">
        <v>-87.448060999999996</v>
      </c>
      <c r="AM46">
        <v>100</v>
      </c>
      <c r="AN46">
        <v>900</v>
      </c>
      <c r="AO46" t="s">
        <v>118</v>
      </c>
      <c r="AP46">
        <v>5</v>
      </c>
      <c r="AQ46">
        <v>92</v>
      </c>
      <c r="AR46">
        <v>1408</v>
      </c>
      <c r="AZ46">
        <v>4552</v>
      </c>
      <c r="BA46">
        <v>1</v>
      </c>
      <c r="BB46" t="str">
        <f t="shared" si="2"/>
        <v xml:space="preserve">N607SR  </v>
      </c>
      <c r="BC46">
        <v>1</v>
      </c>
      <c r="BE46">
        <v>0</v>
      </c>
      <c r="BF46">
        <v>0</v>
      </c>
      <c r="BG46">
        <v>0</v>
      </c>
      <c r="BH46">
        <v>650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"06:11:47.747"</f>
        <v>06:11:47.747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457</v>
      </c>
      <c r="CR46">
        <v>0</v>
      </c>
      <c r="CW46">
        <v>15508851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"08/29/2020 06:11:44.949"</f>
        <v>08/29/2020 06:11:44.949</v>
      </c>
      <c r="C47" t="str">
        <f t="shared" si="0"/>
        <v>FFDFD3C0</v>
      </c>
      <c r="D47" t="s">
        <v>128</v>
      </c>
      <c r="E47">
        <v>5</v>
      </c>
      <c r="H47">
        <v>241</v>
      </c>
      <c r="I47" t="s">
        <v>129</v>
      </c>
      <c r="J47" t="s">
        <v>130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"06:11:48.156"</f>
        <v>06:11:48.156</v>
      </c>
      <c r="T47" t="str">
        <f>"06:11:47.756"</f>
        <v>06:11:47.756</v>
      </c>
      <c r="U47" t="str">
        <f t="shared" si="1"/>
        <v>A7E2E0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0</v>
      </c>
      <c r="AI47" t="s">
        <v>149</v>
      </c>
      <c r="AJ47">
        <v>39.119933000000003</v>
      </c>
      <c r="AK47" t="s">
        <v>148</v>
      </c>
      <c r="AL47">
        <v>-87.448060999999996</v>
      </c>
      <c r="AM47">
        <v>100</v>
      </c>
      <c r="AN47">
        <v>1000</v>
      </c>
      <c r="AO47" t="s">
        <v>118</v>
      </c>
      <c r="AP47">
        <v>6</v>
      </c>
      <c r="AQ47">
        <v>92</v>
      </c>
      <c r="AR47">
        <v>1472</v>
      </c>
      <c r="AZ47">
        <v>4552</v>
      </c>
      <c r="BA47">
        <v>1</v>
      </c>
      <c r="BB47" t="str">
        <f t="shared" si="2"/>
        <v xml:space="preserve">N607SR  </v>
      </c>
      <c r="BC47">
        <v>1</v>
      </c>
      <c r="BE47">
        <v>0</v>
      </c>
      <c r="BF47">
        <v>0</v>
      </c>
      <c r="BG47">
        <v>0</v>
      </c>
      <c r="BH47">
        <v>750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"06:11:48.156"</f>
        <v>06:11:48.156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457</v>
      </c>
      <c r="CR47">
        <v>0</v>
      </c>
      <c r="CW47">
        <v>15508865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"08/29/2020 06:11:44.949"</f>
        <v>08/29/2020 06:11:44.949</v>
      </c>
      <c r="C48" t="str">
        <f t="shared" si="0"/>
        <v>FFDFD3C0</v>
      </c>
      <c r="D48" t="s">
        <v>113</v>
      </c>
      <c r="E48">
        <v>5</v>
      </c>
      <c r="H48">
        <v>163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"06:11:48.156"</f>
        <v>06:11:48.156</v>
      </c>
      <c r="T48" t="str">
        <f>"06:11:47.756"</f>
        <v>06:11:47.756</v>
      </c>
      <c r="U48" t="str">
        <f t="shared" si="1"/>
        <v>A7E2E0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149</v>
      </c>
      <c r="AJ48">
        <v>39.119933000000003</v>
      </c>
      <c r="AK48" t="s">
        <v>148</v>
      </c>
      <c r="AL48">
        <v>-87.448060999999996</v>
      </c>
      <c r="AM48">
        <v>100</v>
      </c>
      <c r="AN48">
        <v>1000</v>
      </c>
      <c r="AO48" t="s">
        <v>118</v>
      </c>
      <c r="AP48">
        <v>6</v>
      </c>
      <c r="AQ48">
        <v>92</v>
      </c>
      <c r="AR48">
        <v>1472</v>
      </c>
      <c r="AZ48">
        <v>4552</v>
      </c>
      <c r="BA48">
        <v>1</v>
      </c>
      <c r="BB48" t="str">
        <f t="shared" si="2"/>
        <v xml:space="preserve">N607SR  </v>
      </c>
      <c r="BC48">
        <v>1</v>
      </c>
      <c r="BE48">
        <v>0</v>
      </c>
      <c r="BF48">
        <v>0</v>
      </c>
      <c r="BG48">
        <v>0</v>
      </c>
      <c r="BH48">
        <v>750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"06:11:48.156"</f>
        <v>06:11:48.156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457</v>
      </c>
      <c r="CR48">
        <v>0</v>
      </c>
      <c r="CW48">
        <v>15508865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"08/29/2020 06:11:45.343"</f>
        <v>08/29/2020 06:11:45.343</v>
      </c>
      <c r="C49" t="str">
        <f t="shared" si="0"/>
        <v>FFDFD3C0</v>
      </c>
      <c r="D49" t="s">
        <v>121</v>
      </c>
      <c r="E49">
        <v>11</v>
      </c>
      <c r="F49">
        <v>1011</v>
      </c>
      <c r="G49" t="s">
        <v>125</v>
      </c>
      <c r="J49" t="s">
        <v>123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"06:11:48.555"</f>
        <v>06:11:48.555</v>
      </c>
      <c r="T49" t="str">
        <f>"06:11:48.255"</f>
        <v>06:11:48.255</v>
      </c>
      <c r="U49" t="str">
        <f t="shared" si="1"/>
        <v>A7E2E0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150</v>
      </c>
      <c r="AJ49">
        <v>39.120061</v>
      </c>
      <c r="AK49" t="s">
        <v>148</v>
      </c>
      <c r="AL49">
        <v>-87.448060999999996</v>
      </c>
      <c r="AM49">
        <v>100</v>
      </c>
      <c r="AN49">
        <v>1000</v>
      </c>
      <c r="AO49" t="s">
        <v>118</v>
      </c>
      <c r="AP49">
        <v>6</v>
      </c>
      <c r="AQ49">
        <v>92</v>
      </c>
      <c r="AR49">
        <v>1472</v>
      </c>
      <c r="AZ49">
        <v>4552</v>
      </c>
      <c r="BA49">
        <v>1</v>
      </c>
      <c r="BB49" t="str">
        <f t="shared" si="2"/>
        <v xml:space="preserve">N607SR  </v>
      </c>
      <c r="BC49">
        <v>1</v>
      </c>
      <c r="BE49">
        <v>0</v>
      </c>
      <c r="BF49">
        <v>0</v>
      </c>
      <c r="BG49">
        <v>0</v>
      </c>
      <c r="BH49">
        <v>675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"06:11:48.558"</f>
        <v>06:11:48.558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457</v>
      </c>
      <c r="CR49">
        <v>0</v>
      </c>
      <c r="CW49">
        <v>15508877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"08/29/2020 06:11:45.343"</f>
        <v>08/29/2020 06:11:45.343</v>
      </c>
      <c r="C50" t="str">
        <f t="shared" si="0"/>
        <v>FFDFD3C0</v>
      </c>
      <c r="D50" t="s">
        <v>121</v>
      </c>
      <c r="E50">
        <v>10</v>
      </c>
      <c r="F50">
        <v>1010</v>
      </c>
      <c r="G50" t="s">
        <v>114</v>
      </c>
      <c r="J50" t="s">
        <v>123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"06:11:48.555"</f>
        <v>06:11:48.555</v>
      </c>
      <c r="T50" t="str">
        <f>"06:11:48.255"</f>
        <v>06:11:48.255</v>
      </c>
      <c r="U50" t="str">
        <f t="shared" si="1"/>
        <v>A7E2E0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150</v>
      </c>
      <c r="AJ50">
        <v>39.120061</v>
      </c>
      <c r="AK50" t="s">
        <v>148</v>
      </c>
      <c r="AL50">
        <v>-87.448060999999996</v>
      </c>
      <c r="AM50">
        <v>100</v>
      </c>
      <c r="AN50">
        <v>1000</v>
      </c>
      <c r="AO50" t="s">
        <v>118</v>
      </c>
      <c r="AP50">
        <v>6</v>
      </c>
      <c r="AQ50">
        <v>92</v>
      </c>
      <c r="AR50">
        <v>1472</v>
      </c>
      <c r="AZ50">
        <v>4552</v>
      </c>
      <c r="BA50">
        <v>1</v>
      </c>
      <c r="BB50" t="str">
        <f t="shared" si="2"/>
        <v xml:space="preserve">N607SR  </v>
      </c>
      <c r="BC50">
        <v>1</v>
      </c>
      <c r="BE50">
        <v>0</v>
      </c>
      <c r="BF50">
        <v>0</v>
      </c>
      <c r="BG50">
        <v>0</v>
      </c>
      <c r="BH50">
        <v>675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"06:11:48.558"</f>
        <v>06:11:48.558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457</v>
      </c>
      <c r="CR50">
        <v>0</v>
      </c>
      <c r="CW50">
        <v>15508877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"08/29/2020 06:11:45.343"</f>
        <v>08/29/2020 06:11:45.343</v>
      </c>
      <c r="C51" t="str">
        <f t="shared" si="0"/>
        <v>FFDFD3C0</v>
      </c>
      <c r="D51" t="s">
        <v>121</v>
      </c>
      <c r="E51">
        <v>13</v>
      </c>
      <c r="F51">
        <v>1013</v>
      </c>
      <c r="G51" t="s">
        <v>122</v>
      </c>
      <c r="J51" t="s">
        <v>123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"06:11:48.555"</f>
        <v>06:11:48.555</v>
      </c>
      <c r="T51" t="str">
        <f>"06:11:48.255"</f>
        <v>06:11:48.255</v>
      </c>
      <c r="U51" t="str">
        <f t="shared" si="1"/>
        <v>A7E2E0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150</v>
      </c>
      <c r="AJ51">
        <v>39.120061</v>
      </c>
      <c r="AK51" t="s">
        <v>148</v>
      </c>
      <c r="AL51">
        <v>-87.448060999999996</v>
      </c>
      <c r="AM51">
        <v>100</v>
      </c>
      <c r="AN51">
        <v>1000</v>
      </c>
      <c r="AO51" t="s">
        <v>118</v>
      </c>
      <c r="AP51">
        <v>6</v>
      </c>
      <c r="AQ51">
        <v>92</v>
      </c>
      <c r="AR51">
        <v>1472</v>
      </c>
      <c r="AZ51">
        <v>4552</v>
      </c>
      <c r="BA51">
        <v>1</v>
      </c>
      <c r="BB51" t="str">
        <f t="shared" si="2"/>
        <v xml:space="preserve">N607SR  </v>
      </c>
      <c r="BC51">
        <v>1</v>
      </c>
      <c r="BE51">
        <v>0</v>
      </c>
      <c r="BF51">
        <v>0</v>
      </c>
      <c r="BG51">
        <v>0</v>
      </c>
      <c r="BH51">
        <v>675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"06:11:48.558"</f>
        <v>06:11:48.558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457</v>
      </c>
      <c r="CR51">
        <v>0</v>
      </c>
      <c r="CW51">
        <v>15508877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"08/29/2020 06:11:45.830"</f>
        <v>08/29/2020 06:11:45.830</v>
      </c>
      <c r="C52" t="str">
        <f t="shared" si="0"/>
        <v>FFDFD3C0</v>
      </c>
      <c r="D52" t="s">
        <v>113</v>
      </c>
      <c r="E52">
        <v>5</v>
      </c>
      <c r="H52">
        <v>163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"06:11:49.039"</f>
        <v>06:11:49.039</v>
      </c>
      <c r="T52" t="str">
        <f>"06:11:48.639"</f>
        <v>06:11:48.639</v>
      </c>
      <c r="U52" t="str">
        <f t="shared" si="1"/>
        <v>A7E2E0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151</v>
      </c>
      <c r="AJ52">
        <v>39.120319000000002</v>
      </c>
      <c r="AK52" t="s">
        <v>148</v>
      </c>
      <c r="AL52">
        <v>-87.448060999999996</v>
      </c>
      <c r="AM52">
        <v>100</v>
      </c>
      <c r="AN52">
        <v>1000</v>
      </c>
      <c r="AO52" t="s">
        <v>118</v>
      </c>
      <c r="AP52">
        <v>7</v>
      </c>
      <c r="AQ52">
        <v>92</v>
      </c>
      <c r="AR52">
        <v>1472</v>
      </c>
      <c r="AZ52">
        <v>4552</v>
      </c>
      <c r="BA52">
        <v>1</v>
      </c>
      <c r="BB52" t="str">
        <f t="shared" si="2"/>
        <v xml:space="preserve">N607SR  </v>
      </c>
      <c r="BC52">
        <v>1</v>
      </c>
      <c r="BE52">
        <v>0</v>
      </c>
      <c r="BF52">
        <v>0</v>
      </c>
      <c r="BG52">
        <v>0</v>
      </c>
      <c r="BH52">
        <v>675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"06:11:49.044"</f>
        <v>06:11:49.044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457</v>
      </c>
      <c r="CR52">
        <v>0</v>
      </c>
      <c r="CW52">
        <v>15508893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"08/29/2020 06:11:45.830"</f>
        <v>08/29/2020 06:11:45.830</v>
      </c>
      <c r="C53" t="str">
        <f t="shared" si="0"/>
        <v>FFDFD3C0</v>
      </c>
      <c r="D53" t="s">
        <v>128</v>
      </c>
      <c r="E53">
        <v>5</v>
      </c>
      <c r="H53">
        <v>241</v>
      </c>
      <c r="I53" t="s">
        <v>129</v>
      </c>
      <c r="J53" t="s">
        <v>130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"06:11:49.039"</f>
        <v>06:11:49.039</v>
      </c>
      <c r="T53" t="str">
        <f>"06:11:48.639"</f>
        <v>06:11:48.639</v>
      </c>
      <c r="U53" t="str">
        <f t="shared" si="1"/>
        <v>A7E2E0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151</v>
      </c>
      <c r="AJ53">
        <v>39.120319000000002</v>
      </c>
      <c r="AK53" t="s">
        <v>148</v>
      </c>
      <c r="AL53">
        <v>-87.448060999999996</v>
      </c>
      <c r="AM53">
        <v>100</v>
      </c>
      <c r="AN53">
        <v>1000</v>
      </c>
      <c r="AO53" t="s">
        <v>118</v>
      </c>
      <c r="AP53">
        <v>7</v>
      </c>
      <c r="AQ53">
        <v>92</v>
      </c>
      <c r="AR53">
        <v>1472</v>
      </c>
      <c r="AZ53">
        <v>4552</v>
      </c>
      <c r="BA53">
        <v>1</v>
      </c>
      <c r="BB53" t="str">
        <f t="shared" si="2"/>
        <v xml:space="preserve">N607SR  </v>
      </c>
      <c r="BC53">
        <v>1</v>
      </c>
      <c r="BE53">
        <v>0</v>
      </c>
      <c r="BF53">
        <v>0</v>
      </c>
      <c r="BG53">
        <v>0</v>
      </c>
      <c r="BH53">
        <v>675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"06:11:49.044"</f>
        <v>06:11:49.044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457</v>
      </c>
      <c r="CR53">
        <v>0</v>
      </c>
      <c r="CW53">
        <v>15508893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"08/29/2020 06:11:46.408"</f>
        <v>08/29/2020 06:11:46.408</v>
      </c>
      <c r="C54" t="str">
        <f t="shared" si="0"/>
        <v>FFDFD3C0</v>
      </c>
      <c r="D54" t="s">
        <v>121</v>
      </c>
      <c r="E54">
        <v>11</v>
      </c>
      <c r="F54">
        <v>1011</v>
      </c>
      <c r="G54" t="s">
        <v>125</v>
      </c>
      <c r="J54" t="s">
        <v>123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"06:11:49.625"</f>
        <v>06:11:49.625</v>
      </c>
      <c r="T54" t="str">
        <f>"06:11:49.125"</f>
        <v>06:11:49.125</v>
      </c>
      <c r="U54" t="str">
        <f t="shared" si="1"/>
        <v>A7E2E0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0</v>
      </c>
      <c r="AI54" t="s">
        <v>152</v>
      </c>
      <c r="AJ54">
        <v>39.120555000000003</v>
      </c>
      <c r="AK54" t="s">
        <v>153</v>
      </c>
      <c r="AL54">
        <v>-87.447996000000003</v>
      </c>
      <c r="AM54">
        <v>100</v>
      </c>
      <c r="AN54">
        <v>1000</v>
      </c>
      <c r="AO54" t="s">
        <v>118</v>
      </c>
      <c r="AP54">
        <v>8</v>
      </c>
      <c r="AQ54">
        <v>91</v>
      </c>
      <c r="AR54">
        <v>1472</v>
      </c>
      <c r="AZ54">
        <v>4552</v>
      </c>
      <c r="BA54">
        <v>1</v>
      </c>
      <c r="BB54" t="str">
        <f t="shared" si="2"/>
        <v xml:space="preserve">N607SR  </v>
      </c>
      <c r="BC54">
        <v>1</v>
      </c>
      <c r="BE54">
        <v>0</v>
      </c>
      <c r="BF54">
        <v>0</v>
      </c>
      <c r="BG54">
        <v>0</v>
      </c>
      <c r="BH54">
        <v>700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"06:11:49.629"</f>
        <v>06:11:49.629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457</v>
      </c>
      <c r="CR54">
        <v>0</v>
      </c>
      <c r="CW54">
        <v>15508909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"08/29/2020 06:11:46.408"</f>
        <v>08/29/2020 06:11:46.408</v>
      </c>
      <c r="C55" t="str">
        <f t="shared" si="0"/>
        <v>FFDFD3C0</v>
      </c>
      <c r="D55" t="s">
        <v>121</v>
      </c>
      <c r="E55">
        <v>10</v>
      </c>
      <c r="F55">
        <v>1010</v>
      </c>
      <c r="G55" t="s">
        <v>114</v>
      </c>
      <c r="J55" t="s">
        <v>123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"06:11:49.625"</f>
        <v>06:11:49.625</v>
      </c>
      <c r="T55" t="str">
        <f>"06:11:49.125"</f>
        <v>06:11:49.125</v>
      </c>
      <c r="U55" t="str">
        <f t="shared" si="1"/>
        <v>A7E2E0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0</v>
      </c>
      <c r="AI55" t="s">
        <v>152</v>
      </c>
      <c r="AJ55">
        <v>39.120555000000003</v>
      </c>
      <c r="AK55" t="s">
        <v>153</v>
      </c>
      <c r="AL55">
        <v>-87.447996000000003</v>
      </c>
      <c r="AM55">
        <v>100</v>
      </c>
      <c r="AN55">
        <v>1000</v>
      </c>
      <c r="AO55" t="s">
        <v>118</v>
      </c>
      <c r="AP55">
        <v>8</v>
      </c>
      <c r="AQ55">
        <v>91</v>
      </c>
      <c r="AR55">
        <v>1472</v>
      </c>
      <c r="AZ55">
        <v>4552</v>
      </c>
      <c r="BA55">
        <v>1</v>
      </c>
      <c r="BB55" t="str">
        <f t="shared" si="2"/>
        <v xml:space="preserve">N607SR  </v>
      </c>
      <c r="BC55">
        <v>1</v>
      </c>
      <c r="BE55">
        <v>0</v>
      </c>
      <c r="BF55">
        <v>0</v>
      </c>
      <c r="BG55">
        <v>0</v>
      </c>
      <c r="BH55">
        <v>700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"06:11:49.629"</f>
        <v>06:11:49.629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457</v>
      </c>
      <c r="CR55">
        <v>0</v>
      </c>
      <c r="CW55">
        <v>15508909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"08/29/2020 06:11:46.408"</f>
        <v>08/29/2020 06:11:46.408</v>
      </c>
      <c r="C56" t="str">
        <f t="shared" si="0"/>
        <v>FFDFD3C0</v>
      </c>
      <c r="D56" t="s">
        <v>121</v>
      </c>
      <c r="E56">
        <v>13</v>
      </c>
      <c r="F56">
        <v>1013</v>
      </c>
      <c r="G56" t="s">
        <v>122</v>
      </c>
      <c r="J56" t="s">
        <v>123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"06:11:49.625"</f>
        <v>06:11:49.625</v>
      </c>
      <c r="T56" t="str">
        <f>"06:11:49.125"</f>
        <v>06:11:49.125</v>
      </c>
      <c r="U56" t="str">
        <f t="shared" si="1"/>
        <v>A7E2E0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0</v>
      </c>
      <c r="AI56" t="s">
        <v>152</v>
      </c>
      <c r="AJ56">
        <v>39.120555000000003</v>
      </c>
      <c r="AK56" t="s">
        <v>153</v>
      </c>
      <c r="AL56">
        <v>-87.447996000000003</v>
      </c>
      <c r="AM56">
        <v>100</v>
      </c>
      <c r="AN56">
        <v>1000</v>
      </c>
      <c r="AO56" t="s">
        <v>118</v>
      </c>
      <c r="AP56">
        <v>8</v>
      </c>
      <c r="AQ56">
        <v>91</v>
      </c>
      <c r="AR56">
        <v>1472</v>
      </c>
      <c r="AZ56">
        <v>4552</v>
      </c>
      <c r="BA56">
        <v>1</v>
      </c>
      <c r="BB56" t="str">
        <f t="shared" si="2"/>
        <v xml:space="preserve">N607SR  </v>
      </c>
      <c r="BC56">
        <v>1</v>
      </c>
      <c r="BE56">
        <v>0</v>
      </c>
      <c r="BF56">
        <v>0</v>
      </c>
      <c r="BG56">
        <v>0</v>
      </c>
      <c r="BH56">
        <v>700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"06:11:49.629"</f>
        <v>06:11:49.629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457</v>
      </c>
      <c r="CR56">
        <v>0</v>
      </c>
      <c r="CW56">
        <v>15508909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"08/29/2020 06:11:46.825"</f>
        <v>08/29/2020 06:11:46.825</v>
      </c>
      <c r="C57" t="str">
        <f t="shared" si="0"/>
        <v>FFDFD3C0</v>
      </c>
      <c r="D57" t="s">
        <v>128</v>
      </c>
      <c r="E57">
        <v>5</v>
      </c>
      <c r="H57">
        <v>241</v>
      </c>
      <c r="I57" t="s">
        <v>129</v>
      </c>
      <c r="J57" t="s">
        <v>130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"06:11:50.031"</f>
        <v>06:11:50.031</v>
      </c>
      <c r="T57" t="str">
        <f>"06:11:49.631"</f>
        <v>06:11:49.631</v>
      </c>
      <c r="U57" t="str">
        <f t="shared" si="1"/>
        <v>A7E2E0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0</v>
      </c>
      <c r="AI57" t="s">
        <v>154</v>
      </c>
      <c r="AJ57">
        <v>39.120727000000002</v>
      </c>
      <c r="AK57" t="s">
        <v>153</v>
      </c>
      <c r="AL57">
        <v>-87.447996000000003</v>
      </c>
      <c r="AM57">
        <v>100</v>
      </c>
      <c r="AN57">
        <v>1000</v>
      </c>
      <c r="AO57" t="s">
        <v>118</v>
      </c>
      <c r="AP57">
        <v>8</v>
      </c>
      <c r="AQ57">
        <v>91</v>
      </c>
      <c r="AR57">
        <v>1472</v>
      </c>
      <c r="AZ57">
        <v>4552</v>
      </c>
      <c r="BA57">
        <v>1</v>
      </c>
      <c r="BB57" t="str">
        <f t="shared" si="2"/>
        <v xml:space="preserve">N607SR  </v>
      </c>
      <c r="BC57">
        <v>1</v>
      </c>
      <c r="BE57">
        <v>0</v>
      </c>
      <c r="BF57">
        <v>0</v>
      </c>
      <c r="BG57">
        <v>0</v>
      </c>
      <c r="BH57">
        <v>700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"06:11:50.039"</f>
        <v>06:11:50.039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457</v>
      </c>
      <c r="CR57">
        <v>0</v>
      </c>
      <c r="CW57">
        <v>15508922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"08/29/2020 06:11:46.825"</f>
        <v>08/29/2020 06:11:46.825</v>
      </c>
      <c r="C58" t="str">
        <f t="shared" si="0"/>
        <v>FFDFD3C0</v>
      </c>
      <c r="D58" t="s">
        <v>113</v>
      </c>
      <c r="E58">
        <v>5</v>
      </c>
      <c r="H58">
        <v>163</v>
      </c>
      <c r="I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"06:11:50.031"</f>
        <v>06:11:50.031</v>
      </c>
      <c r="T58" t="str">
        <f>"06:11:49.631"</f>
        <v>06:11:49.631</v>
      </c>
      <c r="U58" t="str">
        <f t="shared" si="1"/>
        <v>A7E2E0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0</v>
      </c>
      <c r="AI58" t="s">
        <v>154</v>
      </c>
      <c r="AJ58">
        <v>39.120727000000002</v>
      </c>
      <c r="AK58" t="s">
        <v>153</v>
      </c>
      <c r="AL58">
        <v>-87.447996000000003</v>
      </c>
      <c r="AM58">
        <v>100</v>
      </c>
      <c r="AN58">
        <v>1000</v>
      </c>
      <c r="AO58" t="s">
        <v>118</v>
      </c>
      <c r="AP58">
        <v>8</v>
      </c>
      <c r="AQ58">
        <v>91</v>
      </c>
      <c r="AR58">
        <v>1472</v>
      </c>
      <c r="AZ58">
        <v>4552</v>
      </c>
      <c r="BA58">
        <v>1</v>
      </c>
      <c r="BB58" t="str">
        <f t="shared" si="2"/>
        <v xml:space="preserve">N607SR  </v>
      </c>
      <c r="BC58">
        <v>1</v>
      </c>
      <c r="BE58">
        <v>0</v>
      </c>
      <c r="BF58">
        <v>0</v>
      </c>
      <c r="BG58">
        <v>0</v>
      </c>
      <c r="BH58">
        <v>700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"06:11:50.039"</f>
        <v>06:11:50.039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457</v>
      </c>
      <c r="CR58">
        <v>0</v>
      </c>
      <c r="CW58">
        <v>15508922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"08/29/2020 06:11:47.424"</f>
        <v>08/29/2020 06:11:47.424</v>
      </c>
      <c r="C59" t="str">
        <f t="shared" si="0"/>
        <v>FFDFD3C0</v>
      </c>
      <c r="D59" t="s">
        <v>121</v>
      </c>
      <c r="E59">
        <v>11</v>
      </c>
      <c r="F59">
        <v>1011</v>
      </c>
      <c r="G59" t="s">
        <v>125</v>
      </c>
      <c r="J59" t="s">
        <v>123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"06:11:50.633"</f>
        <v>06:11:50.633</v>
      </c>
      <c r="T59" t="str">
        <f>"06:11:50.133"</f>
        <v>06:11:50.133</v>
      </c>
      <c r="U59" t="str">
        <f t="shared" si="1"/>
        <v>A7E2E0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0</v>
      </c>
      <c r="AI59" t="s">
        <v>155</v>
      </c>
      <c r="AJ59">
        <v>39.120963000000003</v>
      </c>
      <c r="AK59" t="s">
        <v>156</v>
      </c>
      <c r="AL59">
        <v>-87.447931999999994</v>
      </c>
      <c r="AM59">
        <v>100</v>
      </c>
      <c r="AN59">
        <v>1000</v>
      </c>
      <c r="AO59" t="s">
        <v>118</v>
      </c>
      <c r="AP59">
        <v>8</v>
      </c>
      <c r="AQ59">
        <v>91</v>
      </c>
      <c r="AR59">
        <v>1472</v>
      </c>
      <c r="AZ59">
        <v>4552</v>
      </c>
      <c r="BA59">
        <v>1</v>
      </c>
      <c r="BB59" t="str">
        <f t="shared" si="2"/>
        <v xml:space="preserve">N607SR  </v>
      </c>
      <c r="BC59">
        <v>1</v>
      </c>
      <c r="BE59">
        <v>0</v>
      </c>
      <c r="BF59">
        <v>0</v>
      </c>
      <c r="BG59">
        <v>0</v>
      </c>
      <c r="BH59">
        <v>725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"06:11:50.635"</f>
        <v>06:11:50.635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457</v>
      </c>
      <c r="CR59">
        <v>0</v>
      </c>
      <c r="CW59">
        <v>15508942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"08/29/2020 06:11:47.424"</f>
        <v>08/29/2020 06:11:47.424</v>
      </c>
      <c r="C60" t="str">
        <f t="shared" si="0"/>
        <v>FFDFD3C0</v>
      </c>
      <c r="D60" t="s">
        <v>121</v>
      </c>
      <c r="E60">
        <v>10</v>
      </c>
      <c r="F60">
        <v>1010</v>
      </c>
      <c r="G60" t="s">
        <v>114</v>
      </c>
      <c r="J60" t="s">
        <v>123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"06:11:50.633"</f>
        <v>06:11:50.633</v>
      </c>
      <c r="T60" t="str">
        <f>"06:11:50.133"</f>
        <v>06:11:50.133</v>
      </c>
      <c r="U60" t="str">
        <f t="shared" si="1"/>
        <v>A7E2E0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0</v>
      </c>
      <c r="AI60" t="s">
        <v>155</v>
      </c>
      <c r="AJ60">
        <v>39.120963000000003</v>
      </c>
      <c r="AK60" t="s">
        <v>156</v>
      </c>
      <c r="AL60">
        <v>-87.447931999999994</v>
      </c>
      <c r="AM60">
        <v>100</v>
      </c>
      <c r="AN60">
        <v>1000</v>
      </c>
      <c r="AO60" t="s">
        <v>118</v>
      </c>
      <c r="AP60">
        <v>8</v>
      </c>
      <c r="AQ60">
        <v>91</v>
      </c>
      <c r="AR60">
        <v>1472</v>
      </c>
      <c r="AZ60">
        <v>4552</v>
      </c>
      <c r="BA60">
        <v>1</v>
      </c>
      <c r="BB60" t="str">
        <f t="shared" si="2"/>
        <v xml:space="preserve">N607SR  </v>
      </c>
      <c r="BC60">
        <v>1</v>
      </c>
      <c r="BE60">
        <v>0</v>
      </c>
      <c r="BF60">
        <v>0</v>
      </c>
      <c r="BG60">
        <v>0</v>
      </c>
      <c r="BH60">
        <v>725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"06:11:50.635"</f>
        <v>06:11:50.635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457</v>
      </c>
      <c r="CR60">
        <v>0</v>
      </c>
      <c r="CW60">
        <v>15508942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"08/29/2020 06:11:47.424"</f>
        <v>08/29/2020 06:11:47.424</v>
      </c>
      <c r="C61" t="str">
        <f t="shared" si="0"/>
        <v>FFDFD3C0</v>
      </c>
      <c r="D61" t="s">
        <v>121</v>
      </c>
      <c r="E61">
        <v>13</v>
      </c>
      <c r="F61">
        <v>1013</v>
      </c>
      <c r="G61" t="s">
        <v>122</v>
      </c>
      <c r="J61" t="s">
        <v>123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"06:11:50.633"</f>
        <v>06:11:50.633</v>
      </c>
      <c r="T61" t="str">
        <f>"06:11:50.133"</f>
        <v>06:11:50.133</v>
      </c>
      <c r="U61" t="str">
        <f t="shared" si="1"/>
        <v>A7E2E0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0</v>
      </c>
      <c r="AI61" t="s">
        <v>155</v>
      </c>
      <c r="AJ61">
        <v>39.120963000000003</v>
      </c>
      <c r="AK61" t="s">
        <v>156</v>
      </c>
      <c r="AL61">
        <v>-87.447931999999994</v>
      </c>
      <c r="AM61">
        <v>100</v>
      </c>
      <c r="AN61">
        <v>1000</v>
      </c>
      <c r="AO61" t="s">
        <v>118</v>
      </c>
      <c r="AP61">
        <v>8</v>
      </c>
      <c r="AQ61">
        <v>91</v>
      </c>
      <c r="AR61">
        <v>1472</v>
      </c>
      <c r="AZ61">
        <v>4552</v>
      </c>
      <c r="BA61">
        <v>1</v>
      </c>
      <c r="BB61" t="str">
        <f t="shared" si="2"/>
        <v xml:space="preserve">N607SR  </v>
      </c>
      <c r="BC61">
        <v>1</v>
      </c>
      <c r="BE61">
        <v>0</v>
      </c>
      <c r="BF61">
        <v>0</v>
      </c>
      <c r="BG61">
        <v>0</v>
      </c>
      <c r="BH61">
        <v>725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"06:11:50.635"</f>
        <v>06:11:50.635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457</v>
      </c>
      <c r="CR61">
        <v>0</v>
      </c>
      <c r="CW61">
        <v>15508942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"08/29/2020 06:11:47.842"</f>
        <v>08/29/2020 06:11:47.842</v>
      </c>
      <c r="C62" t="str">
        <f t="shared" si="0"/>
        <v>FFDFD3C0</v>
      </c>
      <c r="D62" t="s">
        <v>128</v>
      </c>
      <c r="E62">
        <v>5</v>
      </c>
      <c r="H62">
        <v>241</v>
      </c>
      <c r="I62" t="s">
        <v>129</v>
      </c>
      <c r="J62" t="s">
        <v>130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"06:11:51.063"</f>
        <v>06:11:51.063</v>
      </c>
      <c r="U62" t="str">
        <f t="shared" si="1"/>
        <v>A7E2E0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0</v>
      </c>
      <c r="AI62" t="s">
        <v>157</v>
      </c>
      <c r="AJ62">
        <v>39.121155999999999</v>
      </c>
      <c r="AK62" t="s">
        <v>156</v>
      </c>
      <c r="AL62">
        <v>-87.447931999999994</v>
      </c>
      <c r="AM62">
        <v>100</v>
      </c>
      <c r="AN62">
        <v>1000</v>
      </c>
      <c r="AO62" t="s">
        <v>118</v>
      </c>
      <c r="AP62">
        <v>8</v>
      </c>
      <c r="AQ62">
        <v>90</v>
      </c>
      <c r="AR62">
        <v>1536</v>
      </c>
      <c r="AZ62">
        <v>4552</v>
      </c>
      <c r="BA62">
        <v>1</v>
      </c>
      <c r="BB62" t="str">
        <f t="shared" si="2"/>
        <v xml:space="preserve">N607SR  </v>
      </c>
      <c r="BC62">
        <v>1</v>
      </c>
      <c r="BE62">
        <v>0</v>
      </c>
      <c r="BF62">
        <v>0</v>
      </c>
      <c r="BG62">
        <v>0</v>
      </c>
      <c r="BH62">
        <v>750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"06:11:51.066"</f>
        <v>06:11:51.066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457</v>
      </c>
      <c r="CR62">
        <v>0</v>
      </c>
      <c r="CW62">
        <v>15508956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"08/29/2020 06:11:47.842"</f>
        <v>08/29/2020 06:11:47.842</v>
      </c>
      <c r="C63" t="str">
        <f t="shared" si="0"/>
        <v>FFDFD3C0</v>
      </c>
      <c r="D63" t="s">
        <v>113</v>
      </c>
      <c r="E63">
        <v>5</v>
      </c>
      <c r="H63">
        <v>163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"06:11:51.063"</f>
        <v>06:11:51.063</v>
      </c>
      <c r="U63" t="str">
        <f t="shared" si="1"/>
        <v>A7E2E0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0</v>
      </c>
      <c r="AI63" t="s">
        <v>157</v>
      </c>
      <c r="AJ63">
        <v>39.121155999999999</v>
      </c>
      <c r="AK63" t="s">
        <v>156</v>
      </c>
      <c r="AL63">
        <v>-87.447931999999994</v>
      </c>
      <c r="AM63">
        <v>100</v>
      </c>
      <c r="AN63">
        <v>1000</v>
      </c>
      <c r="AO63" t="s">
        <v>118</v>
      </c>
      <c r="AP63">
        <v>8</v>
      </c>
      <c r="AQ63">
        <v>90</v>
      </c>
      <c r="AR63">
        <v>1536</v>
      </c>
      <c r="AZ63">
        <v>4552</v>
      </c>
      <c r="BA63">
        <v>1</v>
      </c>
      <c r="BB63" t="str">
        <f t="shared" si="2"/>
        <v xml:space="preserve">N607SR  </v>
      </c>
      <c r="BC63">
        <v>1</v>
      </c>
      <c r="BE63">
        <v>0</v>
      </c>
      <c r="BF63">
        <v>0</v>
      </c>
      <c r="BG63">
        <v>0</v>
      </c>
      <c r="BH63">
        <v>750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"06:11:51.066"</f>
        <v>06:11:51.066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457</v>
      </c>
      <c r="CR63">
        <v>0</v>
      </c>
      <c r="CW63">
        <v>15508956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"08/29/2020 06:11:48.339"</f>
        <v>08/29/2020 06:11:48.339</v>
      </c>
      <c r="C64" t="str">
        <f t="shared" si="0"/>
        <v>FFDFD3C0</v>
      </c>
      <c r="D64" t="s">
        <v>121</v>
      </c>
      <c r="E64">
        <v>11</v>
      </c>
      <c r="F64">
        <v>1011</v>
      </c>
      <c r="G64" t="s">
        <v>125</v>
      </c>
      <c r="J64" t="s">
        <v>123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"06:11:51.531"</f>
        <v>06:11:51.531</v>
      </c>
      <c r="U64" t="str">
        <f t="shared" si="1"/>
        <v>A7E2E0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0</v>
      </c>
      <c r="AI64" t="s">
        <v>158</v>
      </c>
      <c r="AJ64">
        <v>39.121349000000002</v>
      </c>
      <c r="AK64" t="s">
        <v>159</v>
      </c>
      <c r="AL64">
        <v>-87.447952999999998</v>
      </c>
      <c r="AM64">
        <v>100</v>
      </c>
      <c r="AN64">
        <v>1000</v>
      </c>
      <c r="AO64" t="s">
        <v>118</v>
      </c>
      <c r="AP64">
        <v>7</v>
      </c>
      <c r="AQ64">
        <v>90</v>
      </c>
      <c r="AR64">
        <v>1536</v>
      </c>
      <c r="AZ64">
        <v>4552</v>
      </c>
      <c r="BA64">
        <v>1</v>
      </c>
      <c r="BB64" t="str">
        <f t="shared" si="2"/>
        <v xml:space="preserve">N607SR  </v>
      </c>
      <c r="BC64">
        <v>1</v>
      </c>
      <c r="BE64">
        <v>0</v>
      </c>
      <c r="BF64">
        <v>0</v>
      </c>
      <c r="BG64">
        <v>0</v>
      </c>
      <c r="BH64">
        <v>750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"06:11:51.538"</f>
        <v>06:11:51.538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457</v>
      </c>
      <c r="CR64">
        <v>0</v>
      </c>
      <c r="CW64">
        <v>15508974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"08/29/2020 06:11:48.339"</f>
        <v>08/29/2020 06:11:48.339</v>
      </c>
      <c r="C65" t="str">
        <f t="shared" si="0"/>
        <v>FFDFD3C0</v>
      </c>
      <c r="D65" t="s">
        <v>121</v>
      </c>
      <c r="E65">
        <v>10</v>
      </c>
      <c r="F65">
        <v>1010</v>
      </c>
      <c r="G65" t="s">
        <v>114</v>
      </c>
      <c r="J65" t="s">
        <v>123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"06:11:51.531"</f>
        <v>06:11:51.531</v>
      </c>
      <c r="U65" t="str">
        <f t="shared" si="1"/>
        <v>A7E2E0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0</v>
      </c>
      <c r="AI65" t="s">
        <v>158</v>
      </c>
      <c r="AJ65">
        <v>39.121349000000002</v>
      </c>
      <c r="AK65" t="s">
        <v>159</v>
      </c>
      <c r="AL65">
        <v>-87.447952999999998</v>
      </c>
      <c r="AM65">
        <v>100</v>
      </c>
      <c r="AN65">
        <v>1000</v>
      </c>
      <c r="AO65" t="s">
        <v>118</v>
      </c>
      <c r="AP65">
        <v>7</v>
      </c>
      <c r="AQ65">
        <v>90</v>
      </c>
      <c r="AR65">
        <v>1536</v>
      </c>
      <c r="AZ65">
        <v>4552</v>
      </c>
      <c r="BA65">
        <v>1</v>
      </c>
      <c r="BB65" t="str">
        <f t="shared" si="2"/>
        <v xml:space="preserve">N607SR  </v>
      </c>
      <c r="BC65">
        <v>1</v>
      </c>
      <c r="BE65">
        <v>0</v>
      </c>
      <c r="BF65">
        <v>0</v>
      </c>
      <c r="BG65">
        <v>0</v>
      </c>
      <c r="BH65">
        <v>750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"06:11:51.538"</f>
        <v>06:11:51.538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457</v>
      </c>
      <c r="CR65">
        <v>0</v>
      </c>
      <c r="CW65">
        <v>15508974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"08/29/2020 06:11:48.339"</f>
        <v>08/29/2020 06:11:48.339</v>
      </c>
      <c r="C66" t="str">
        <f t="shared" ref="C66:C129" si="3">"FFDFD3C0"</f>
        <v>FFDFD3C0</v>
      </c>
      <c r="D66" t="s">
        <v>121</v>
      </c>
      <c r="E66">
        <v>13</v>
      </c>
      <c r="F66">
        <v>1013</v>
      </c>
      <c r="G66" t="s">
        <v>122</v>
      </c>
      <c r="J66" t="s">
        <v>123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"06:11:51.531"</f>
        <v>06:11:51.531</v>
      </c>
      <c r="U66" t="str">
        <f t="shared" ref="U66:U129" si="4">"A7E2E0"</f>
        <v>A7E2E0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0</v>
      </c>
      <c r="AI66" t="s">
        <v>158</v>
      </c>
      <c r="AJ66">
        <v>39.121349000000002</v>
      </c>
      <c r="AK66" t="s">
        <v>159</v>
      </c>
      <c r="AL66">
        <v>-87.447952999999998</v>
      </c>
      <c r="AM66">
        <v>100</v>
      </c>
      <c r="AN66">
        <v>1000</v>
      </c>
      <c r="AO66" t="s">
        <v>118</v>
      </c>
      <c r="AP66">
        <v>7</v>
      </c>
      <c r="AQ66">
        <v>90</v>
      </c>
      <c r="AR66">
        <v>1536</v>
      </c>
      <c r="AZ66">
        <v>4552</v>
      </c>
      <c r="BA66">
        <v>1</v>
      </c>
      <c r="BB66" t="str">
        <f t="shared" ref="BB66:BB129" si="5">"N607SR  "</f>
        <v xml:space="preserve">N607SR  </v>
      </c>
      <c r="BC66">
        <v>1</v>
      </c>
      <c r="BE66">
        <v>0</v>
      </c>
      <c r="BF66">
        <v>0</v>
      </c>
      <c r="BG66">
        <v>0</v>
      </c>
      <c r="BH66">
        <v>750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"06:11:51.538"</f>
        <v>06:11:51.538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457</v>
      </c>
      <c r="CR66">
        <v>0</v>
      </c>
      <c r="CW66">
        <v>15508974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"08/29/2020 06:11:48.806"</f>
        <v>08/29/2020 06:11:48.806</v>
      </c>
      <c r="C67" t="str">
        <f t="shared" si="3"/>
        <v>FFDFD3C0</v>
      </c>
      <c r="D67" t="s">
        <v>128</v>
      </c>
      <c r="E67">
        <v>5</v>
      </c>
      <c r="H67">
        <v>241</v>
      </c>
      <c r="I67" t="s">
        <v>129</v>
      </c>
      <c r="J67" t="s">
        <v>130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"06:11:52.008"</f>
        <v>06:11:52.008</v>
      </c>
      <c r="U67" t="str">
        <f t="shared" si="4"/>
        <v>A7E2E0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0</v>
      </c>
      <c r="AI67" t="s">
        <v>160</v>
      </c>
      <c r="AJ67">
        <v>39.121521000000001</v>
      </c>
      <c r="AK67" t="s">
        <v>161</v>
      </c>
      <c r="AL67">
        <v>-87.447867000000002</v>
      </c>
      <c r="AM67">
        <v>100</v>
      </c>
      <c r="AN67">
        <v>1100</v>
      </c>
      <c r="AO67" t="s">
        <v>118</v>
      </c>
      <c r="AP67">
        <v>6</v>
      </c>
      <c r="AQ67">
        <v>89</v>
      </c>
      <c r="AR67">
        <v>1600</v>
      </c>
      <c r="AZ67">
        <v>4552</v>
      </c>
      <c r="BA67">
        <v>1</v>
      </c>
      <c r="BB67" t="str">
        <f t="shared" si="5"/>
        <v xml:space="preserve">N607SR  </v>
      </c>
      <c r="BC67">
        <v>1</v>
      </c>
      <c r="BE67">
        <v>0</v>
      </c>
      <c r="BF67">
        <v>0</v>
      </c>
      <c r="BG67">
        <v>0</v>
      </c>
      <c r="BH67">
        <v>775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"06:11:52.015"</f>
        <v>06:11:52.015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457</v>
      </c>
      <c r="CR67">
        <v>0</v>
      </c>
      <c r="CW67">
        <v>15508989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"08/29/2020 06:11:48.806"</f>
        <v>08/29/2020 06:11:48.806</v>
      </c>
      <c r="C68" t="str">
        <f t="shared" si="3"/>
        <v>FFDFD3C0</v>
      </c>
      <c r="D68" t="s">
        <v>113</v>
      </c>
      <c r="E68">
        <v>5</v>
      </c>
      <c r="H68">
        <v>163</v>
      </c>
      <c r="I68" t="s">
        <v>114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"06:11:52.008"</f>
        <v>06:11:52.008</v>
      </c>
      <c r="U68" t="str">
        <f t="shared" si="4"/>
        <v>A7E2E0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0</v>
      </c>
      <c r="AI68" t="s">
        <v>160</v>
      </c>
      <c r="AJ68">
        <v>39.121521000000001</v>
      </c>
      <c r="AK68" t="s">
        <v>161</v>
      </c>
      <c r="AL68">
        <v>-87.447867000000002</v>
      </c>
      <c r="AM68">
        <v>100</v>
      </c>
      <c r="AN68">
        <v>1100</v>
      </c>
      <c r="AO68" t="s">
        <v>118</v>
      </c>
      <c r="AP68">
        <v>6</v>
      </c>
      <c r="AQ68">
        <v>89</v>
      </c>
      <c r="AR68">
        <v>1600</v>
      </c>
      <c r="AZ68">
        <v>4552</v>
      </c>
      <c r="BA68">
        <v>1</v>
      </c>
      <c r="BB68" t="str">
        <f t="shared" si="5"/>
        <v xml:space="preserve">N607SR  </v>
      </c>
      <c r="BC68">
        <v>1</v>
      </c>
      <c r="BE68">
        <v>0</v>
      </c>
      <c r="BF68">
        <v>0</v>
      </c>
      <c r="BG68">
        <v>0</v>
      </c>
      <c r="BH68">
        <v>775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"06:11:52.015"</f>
        <v>06:11:52.015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457</v>
      </c>
      <c r="CR68">
        <v>0</v>
      </c>
      <c r="CW68">
        <v>15508989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"08/29/2020 06:11:49.269"</f>
        <v>08/29/2020 06:11:49.269</v>
      </c>
      <c r="C69" t="str">
        <f t="shared" si="3"/>
        <v>FFDFD3C0</v>
      </c>
      <c r="D69" t="s">
        <v>121</v>
      </c>
      <c r="E69">
        <v>13</v>
      </c>
      <c r="F69">
        <v>1013</v>
      </c>
      <c r="G69" t="s">
        <v>122</v>
      </c>
      <c r="J69" t="s">
        <v>123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"06:11:52.492"</f>
        <v>06:11:52.492</v>
      </c>
      <c r="T69" t="str">
        <f>"06:11:52.092"</f>
        <v>06:11:52.092</v>
      </c>
      <c r="U69" t="str">
        <f t="shared" si="4"/>
        <v>A7E2E0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0</v>
      </c>
      <c r="AI69" t="s">
        <v>162</v>
      </c>
      <c r="AJ69">
        <v>39.121757000000002</v>
      </c>
      <c r="AK69" t="s">
        <v>163</v>
      </c>
      <c r="AL69">
        <v>-87.447889000000004</v>
      </c>
      <c r="AM69">
        <v>100</v>
      </c>
      <c r="AN69">
        <v>1100</v>
      </c>
      <c r="AO69" t="s">
        <v>118</v>
      </c>
      <c r="AP69">
        <v>6</v>
      </c>
      <c r="AQ69">
        <v>89</v>
      </c>
      <c r="AR69">
        <v>1600</v>
      </c>
      <c r="AZ69">
        <v>4552</v>
      </c>
      <c r="BA69">
        <v>1</v>
      </c>
      <c r="BB69" t="str">
        <f t="shared" si="5"/>
        <v xml:space="preserve">N607SR  </v>
      </c>
      <c r="BC69">
        <v>1</v>
      </c>
      <c r="BE69">
        <v>0</v>
      </c>
      <c r="BF69">
        <v>0</v>
      </c>
      <c r="BG69">
        <v>0</v>
      </c>
      <c r="BH69">
        <v>775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"06:11:52.498"</f>
        <v>06:11:52.498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457</v>
      </c>
      <c r="CR69">
        <v>0</v>
      </c>
      <c r="CW69">
        <v>15509004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"08/29/2020 06:11:49.269"</f>
        <v>08/29/2020 06:11:49.269</v>
      </c>
      <c r="C70" t="str">
        <f t="shared" si="3"/>
        <v>FFDFD3C0</v>
      </c>
      <c r="D70" t="s">
        <v>121</v>
      </c>
      <c r="E70">
        <v>11</v>
      </c>
      <c r="F70">
        <v>1011</v>
      </c>
      <c r="G70" t="s">
        <v>125</v>
      </c>
      <c r="J70" t="s">
        <v>123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"06:11:52.492"</f>
        <v>06:11:52.492</v>
      </c>
      <c r="T70" t="str">
        <f>"06:11:52.092"</f>
        <v>06:11:52.092</v>
      </c>
      <c r="U70" t="str">
        <f t="shared" si="4"/>
        <v>A7E2E0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0</v>
      </c>
      <c r="AI70" t="s">
        <v>162</v>
      </c>
      <c r="AJ70">
        <v>39.121757000000002</v>
      </c>
      <c r="AK70" t="s">
        <v>163</v>
      </c>
      <c r="AL70">
        <v>-87.447889000000004</v>
      </c>
      <c r="AM70">
        <v>100</v>
      </c>
      <c r="AN70">
        <v>1100</v>
      </c>
      <c r="AO70" t="s">
        <v>118</v>
      </c>
      <c r="AP70">
        <v>6</v>
      </c>
      <c r="AQ70">
        <v>89</v>
      </c>
      <c r="AR70">
        <v>1600</v>
      </c>
      <c r="AZ70">
        <v>4552</v>
      </c>
      <c r="BA70">
        <v>1</v>
      </c>
      <c r="BB70" t="str">
        <f t="shared" si="5"/>
        <v xml:space="preserve">N607SR  </v>
      </c>
      <c r="BC70">
        <v>1</v>
      </c>
      <c r="BE70">
        <v>0</v>
      </c>
      <c r="BF70">
        <v>0</v>
      </c>
      <c r="BG70">
        <v>0</v>
      </c>
      <c r="BH70">
        <v>775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"06:11:52.498"</f>
        <v>06:11:52.498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119</v>
      </c>
      <c r="CQ70">
        <v>457</v>
      </c>
      <c r="CR70">
        <v>0</v>
      </c>
      <c r="CW70">
        <v>15509004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"08/29/2020 06:11:49.269"</f>
        <v>08/29/2020 06:11:49.269</v>
      </c>
      <c r="C71" t="str">
        <f t="shared" si="3"/>
        <v>FFDFD3C0</v>
      </c>
      <c r="D71" t="s">
        <v>121</v>
      </c>
      <c r="E71">
        <v>10</v>
      </c>
      <c r="F71">
        <v>1010</v>
      </c>
      <c r="G71" t="s">
        <v>114</v>
      </c>
      <c r="J71" t="s">
        <v>123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"06:11:52.492"</f>
        <v>06:11:52.492</v>
      </c>
      <c r="T71" t="str">
        <f>"06:11:52.092"</f>
        <v>06:11:52.092</v>
      </c>
      <c r="U71" t="str">
        <f t="shared" si="4"/>
        <v>A7E2E0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0</v>
      </c>
      <c r="AI71" t="s">
        <v>162</v>
      </c>
      <c r="AJ71">
        <v>39.121757000000002</v>
      </c>
      <c r="AK71" t="s">
        <v>163</v>
      </c>
      <c r="AL71">
        <v>-87.447889000000004</v>
      </c>
      <c r="AM71">
        <v>100</v>
      </c>
      <c r="AN71">
        <v>1100</v>
      </c>
      <c r="AO71" t="s">
        <v>118</v>
      </c>
      <c r="AP71">
        <v>6</v>
      </c>
      <c r="AQ71">
        <v>89</v>
      </c>
      <c r="AR71">
        <v>1600</v>
      </c>
      <c r="AZ71">
        <v>4552</v>
      </c>
      <c r="BA71">
        <v>1</v>
      </c>
      <c r="BB71" t="str">
        <f t="shared" si="5"/>
        <v xml:space="preserve">N607SR  </v>
      </c>
      <c r="BC71">
        <v>1</v>
      </c>
      <c r="BE71">
        <v>0</v>
      </c>
      <c r="BF71">
        <v>0</v>
      </c>
      <c r="BG71">
        <v>0</v>
      </c>
      <c r="BH71">
        <v>775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"06:11:52.498"</f>
        <v>06:11:52.498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119</v>
      </c>
      <c r="CQ71">
        <v>457</v>
      </c>
      <c r="CR71">
        <v>0</v>
      </c>
      <c r="CW71">
        <v>15509004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"08/29/2020 06:11:49.736"</f>
        <v>08/29/2020 06:11:49.736</v>
      </c>
      <c r="C72" t="str">
        <f t="shared" si="3"/>
        <v>FFDFD3C0</v>
      </c>
      <c r="D72" t="s">
        <v>113</v>
      </c>
      <c r="E72">
        <v>5</v>
      </c>
      <c r="H72">
        <v>163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"06:11:52.930"</f>
        <v>06:11:52.930</v>
      </c>
      <c r="U72" t="str">
        <f t="shared" si="4"/>
        <v>A7E2E0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0</v>
      </c>
      <c r="AI72" t="s">
        <v>164</v>
      </c>
      <c r="AJ72">
        <v>39.121907</v>
      </c>
      <c r="AK72" t="s">
        <v>163</v>
      </c>
      <c r="AL72">
        <v>-87.447889000000004</v>
      </c>
      <c r="AM72">
        <v>100</v>
      </c>
      <c r="AN72">
        <v>1100</v>
      </c>
      <c r="AO72" t="s">
        <v>118</v>
      </c>
      <c r="AP72">
        <v>5</v>
      </c>
      <c r="AQ72">
        <v>89</v>
      </c>
      <c r="AR72">
        <v>1536</v>
      </c>
      <c r="AZ72">
        <v>4552</v>
      </c>
      <c r="BA72">
        <v>1</v>
      </c>
      <c r="BB72" t="str">
        <f t="shared" si="5"/>
        <v xml:space="preserve">N607SR  </v>
      </c>
      <c r="BC72">
        <v>1</v>
      </c>
      <c r="BE72">
        <v>0</v>
      </c>
      <c r="BF72">
        <v>0</v>
      </c>
      <c r="BG72">
        <v>0</v>
      </c>
      <c r="BH72">
        <v>800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"06:11:52.934"</f>
        <v>06:11:52.934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119</v>
      </c>
      <c r="CQ72">
        <v>457</v>
      </c>
      <c r="CR72">
        <v>0</v>
      </c>
      <c r="CW72">
        <v>15509017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"08/29/2020 06:11:49.736"</f>
        <v>08/29/2020 06:11:49.736</v>
      </c>
      <c r="C73" t="str">
        <f t="shared" si="3"/>
        <v>FFDFD3C0</v>
      </c>
      <c r="D73" t="s">
        <v>128</v>
      </c>
      <c r="E73">
        <v>5</v>
      </c>
      <c r="H73">
        <v>241</v>
      </c>
      <c r="I73" t="s">
        <v>129</v>
      </c>
      <c r="J73" t="s">
        <v>130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"06:11:52.930"</f>
        <v>06:11:52.930</v>
      </c>
      <c r="U73" t="str">
        <f t="shared" si="4"/>
        <v>A7E2E0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0</v>
      </c>
      <c r="AI73" t="s">
        <v>164</v>
      </c>
      <c r="AJ73">
        <v>39.121907</v>
      </c>
      <c r="AK73" t="s">
        <v>163</v>
      </c>
      <c r="AL73">
        <v>-87.447889000000004</v>
      </c>
      <c r="AM73">
        <v>100</v>
      </c>
      <c r="AN73">
        <v>1100</v>
      </c>
      <c r="AO73" t="s">
        <v>118</v>
      </c>
      <c r="AP73">
        <v>5</v>
      </c>
      <c r="AQ73">
        <v>89</v>
      </c>
      <c r="AR73">
        <v>1536</v>
      </c>
      <c r="AZ73">
        <v>4552</v>
      </c>
      <c r="BA73">
        <v>1</v>
      </c>
      <c r="BB73" t="str">
        <f t="shared" si="5"/>
        <v xml:space="preserve">N607SR  </v>
      </c>
      <c r="BC73">
        <v>1</v>
      </c>
      <c r="BE73">
        <v>0</v>
      </c>
      <c r="BF73">
        <v>0</v>
      </c>
      <c r="BG73">
        <v>0</v>
      </c>
      <c r="BH73">
        <v>800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"06:11:52.934"</f>
        <v>06:11:52.934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119</v>
      </c>
      <c r="CQ73">
        <v>457</v>
      </c>
      <c r="CR73">
        <v>0</v>
      </c>
      <c r="CW73">
        <v>15509017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"08/29/2020 06:11:50.269"</f>
        <v>08/29/2020 06:11:50.269</v>
      </c>
      <c r="C74" t="str">
        <f t="shared" si="3"/>
        <v>FFDFD3C0</v>
      </c>
      <c r="D74" t="s">
        <v>121</v>
      </c>
      <c r="E74">
        <v>11</v>
      </c>
      <c r="F74">
        <v>1011</v>
      </c>
      <c r="G74" t="s">
        <v>125</v>
      </c>
      <c r="J74" t="s">
        <v>123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"06:11:53.500"</f>
        <v>06:11:53.500</v>
      </c>
      <c r="T74" t="str">
        <f>"06:11:53.000"</f>
        <v>06:11:53.000</v>
      </c>
      <c r="U74" t="str">
        <f t="shared" si="4"/>
        <v>A7E2E0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0</v>
      </c>
      <c r="AI74" t="s">
        <v>165</v>
      </c>
      <c r="AJ74">
        <v>39.122185999999999</v>
      </c>
      <c r="AK74" t="s">
        <v>166</v>
      </c>
      <c r="AL74">
        <v>-87.447823999999997</v>
      </c>
      <c r="AM74">
        <v>100</v>
      </c>
      <c r="AN74">
        <v>1100</v>
      </c>
      <c r="AO74" t="s">
        <v>118</v>
      </c>
      <c r="AP74">
        <v>5</v>
      </c>
      <c r="AQ74">
        <v>89</v>
      </c>
      <c r="AR74">
        <v>1536</v>
      </c>
      <c r="AZ74">
        <v>4552</v>
      </c>
      <c r="BA74">
        <v>1</v>
      </c>
      <c r="BB74" t="str">
        <f t="shared" si="5"/>
        <v xml:space="preserve">N607SR  </v>
      </c>
      <c r="BC74">
        <v>1</v>
      </c>
      <c r="BE74">
        <v>0</v>
      </c>
      <c r="BF74">
        <v>0</v>
      </c>
      <c r="BG74">
        <v>0</v>
      </c>
      <c r="BH74">
        <v>800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"06:11:53.501"</f>
        <v>06:11:53.501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457</v>
      </c>
      <c r="CR74">
        <v>0</v>
      </c>
      <c r="CW74">
        <v>15509033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"08/29/2020 06:11:50.269"</f>
        <v>08/29/2020 06:11:50.269</v>
      </c>
      <c r="C75" t="str">
        <f t="shared" si="3"/>
        <v>FFDFD3C0</v>
      </c>
      <c r="D75" t="s">
        <v>121</v>
      </c>
      <c r="E75">
        <v>10</v>
      </c>
      <c r="F75">
        <v>1010</v>
      </c>
      <c r="G75" t="s">
        <v>114</v>
      </c>
      <c r="J75" t="s">
        <v>123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"06:11:53.500"</f>
        <v>06:11:53.500</v>
      </c>
      <c r="T75" t="str">
        <f>"06:11:53.000"</f>
        <v>06:11:53.000</v>
      </c>
      <c r="U75" t="str">
        <f t="shared" si="4"/>
        <v>A7E2E0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0</v>
      </c>
      <c r="AI75" t="s">
        <v>165</v>
      </c>
      <c r="AJ75">
        <v>39.122185999999999</v>
      </c>
      <c r="AK75" t="s">
        <v>166</v>
      </c>
      <c r="AL75">
        <v>-87.447823999999997</v>
      </c>
      <c r="AM75">
        <v>100</v>
      </c>
      <c r="AN75">
        <v>1100</v>
      </c>
      <c r="AO75" t="s">
        <v>118</v>
      </c>
      <c r="AP75">
        <v>5</v>
      </c>
      <c r="AQ75">
        <v>89</v>
      </c>
      <c r="AR75">
        <v>1536</v>
      </c>
      <c r="AZ75">
        <v>4552</v>
      </c>
      <c r="BA75">
        <v>1</v>
      </c>
      <c r="BB75" t="str">
        <f t="shared" si="5"/>
        <v xml:space="preserve">N607SR  </v>
      </c>
      <c r="BC75">
        <v>1</v>
      </c>
      <c r="BE75">
        <v>0</v>
      </c>
      <c r="BF75">
        <v>0</v>
      </c>
      <c r="BG75">
        <v>0</v>
      </c>
      <c r="BH75">
        <v>800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"06:11:53.501"</f>
        <v>06:11:53.501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457</v>
      </c>
      <c r="CR75">
        <v>0</v>
      </c>
      <c r="CW75">
        <v>15509033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"08/29/2020 06:11:50.269"</f>
        <v>08/29/2020 06:11:50.269</v>
      </c>
      <c r="C76" t="str">
        <f t="shared" si="3"/>
        <v>FFDFD3C0</v>
      </c>
      <c r="D76" t="s">
        <v>121</v>
      </c>
      <c r="E76">
        <v>13</v>
      </c>
      <c r="F76">
        <v>1013</v>
      </c>
      <c r="G76" t="s">
        <v>122</v>
      </c>
      <c r="J76" t="s">
        <v>123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"06:11:53.500"</f>
        <v>06:11:53.500</v>
      </c>
      <c r="T76" t="str">
        <f>"06:11:53.000"</f>
        <v>06:11:53.000</v>
      </c>
      <c r="U76" t="str">
        <f t="shared" si="4"/>
        <v>A7E2E0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0</v>
      </c>
      <c r="AI76" t="s">
        <v>165</v>
      </c>
      <c r="AJ76">
        <v>39.122185999999999</v>
      </c>
      <c r="AK76" t="s">
        <v>166</v>
      </c>
      <c r="AL76">
        <v>-87.447823999999997</v>
      </c>
      <c r="AM76">
        <v>100</v>
      </c>
      <c r="AN76">
        <v>1100</v>
      </c>
      <c r="AO76" t="s">
        <v>118</v>
      </c>
      <c r="AP76">
        <v>5</v>
      </c>
      <c r="AQ76">
        <v>89</v>
      </c>
      <c r="AR76">
        <v>1536</v>
      </c>
      <c r="AZ76">
        <v>4552</v>
      </c>
      <c r="BA76">
        <v>1</v>
      </c>
      <c r="BB76" t="str">
        <f t="shared" si="5"/>
        <v xml:space="preserve">N607SR  </v>
      </c>
      <c r="BC76">
        <v>1</v>
      </c>
      <c r="BE76">
        <v>0</v>
      </c>
      <c r="BF76">
        <v>0</v>
      </c>
      <c r="BG76">
        <v>0</v>
      </c>
      <c r="BH76">
        <v>800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"06:11:53.501"</f>
        <v>06:11:53.501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457</v>
      </c>
      <c r="CR76">
        <v>0</v>
      </c>
      <c r="CW76">
        <v>15509033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"08/29/2020 06:11:50.781"</f>
        <v>08/29/2020 06:11:50.781</v>
      </c>
      <c r="C77" t="str">
        <f t="shared" si="3"/>
        <v>FFDFD3C0</v>
      </c>
      <c r="D77" t="s">
        <v>128</v>
      </c>
      <c r="E77">
        <v>5</v>
      </c>
      <c r="H77">
        <v>241</v>
      </c>
      <c r="I77" t="s">
        <v>129</v>
      </c>
      <c r="J77" t="s">
        <v>130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"06:11:54.000"</f>
        <v>06:11:54.000</v>
      </c>
      <c r="T77" t="str">
        <f>"06:11:53.600"</f>
        <v>06:11:53.600</v>
      </c>
      <c r="U77" t="str">
        <f t="shared" si="4"/>
        <v>A7E2E0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0</v>
      </c>
      <c r="AI77" t="s">
        <v>167</v>
      </c>
      <c r="AJ77">
        <v>39.122357000000001</v>
      </c>
      <c r="AK77" t="s">
        <v>166</v>
      </c>
      <c r="AL77">
        <v>-87.447823999999997</v>
      </c>
      <c r="AM77">
        <v>100</v>
      </c>
      <c r="AN77">
        <v>1100</v>
      </c>
      <c r="AO77" t="s">
        <v>118</v>
      </c>
      <c r="AP77">
        <v>4</v>
      </c>
      <c r="AQ77">
        <v>88</v>
      </c>
      <c r="AR77">
        <v>1536</v>
      </c>
      <c r="AZ77">
        <v>4552</v>
      </c>
      <c r="BA77">
        <v>1</v>
      </c>
      <c r="BB77" t="str">
        <f t="shared" si="5"/>
        <v xml:space="preserve">N607SR  </v>
      </c>
      <c r="BC77">
        <v>1</v>
      </c>
      <c r="BE77">
        <v>0</v>
      </c>
      <c r="BF77">
        <v>0</v>
      </c>
      <c r="BG77">
        <v>0</v>
      </c>
      <c r="BH77">
        <v>800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"06:11:54.001"</f>
        <v>06:11:54.001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457</v>
      </c>
      <c r="CR77">
        <v>0</v>
      </c>
      <c r="CW77">
        <v>15509048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"08/29/2020 06:11:50.781"</f>
        <v>08/29/2020 06:11:50.781</v>
      </c>
      <c r="C78" t="str">
        <f t="shared" si="3"/>
        <v>FFDFD3C0</v>
      </c>
      <c r="D78" t="s">
        <v>113</v>
      </c>
      <c r="E78">
        <v>5</v>
      </c>
      <c r="H78">
        <v>163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"06:11:54.000"</f>
        <v>06:11:54.000</v>
      </c>
      <c r="T78" t="str">
        <f>"06:11:53.600"</f>
        <v>06:11:53.600</v>
      </c>
      <c r="U78" t="str">
        <f t="shared" si="4"/>
        <v>A7E2E0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0</v>
      </c>
      <c r="AI78" t="s">
        <v>167</v>
      </c>
      <c r="AJ78">
        <v>39.122357000000001</v>
      </c>
      <c r="AK78" t="s">
        <v>166</v>
      </c>
      <c r="AL78">
        <v>-87.447823999999997</v>
      </c>
      <c r="AM78">
        <v>100</v>
      </c>
      <c r="AN78">
        <v>1100</v>
      </c>
      <c r="AO78" t="s">
        <v>118</v>
      </c>
      <c r="AP78">
        <v>4</v>
      </c>
      <c r="AQ78">
        <v>88</v>
      </c>
      <c r="AR78">
        <v>1536</v>
      </c>
      <c r="AZ78">
        <v>4552</v>
      </c>
      <c r="BA78">
        <v>1</v>
      </c>
      <c r="BB78" t="str">
        <f t="shared" si="5"/>
        <v xml:space="preserve">N607SR  </v>
      </c>
      <c r="BC78">
        <v>1</v>
      </c>
      <c r="BE78">
        <v>0</v>
      </c>
      <c r="BF78">
        <v>0</v>
      </c>
      <c r="BG78">
        <v>0</v>
      </c>
      <c r="BH78">
        <v>800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"06:11:54.001"</f>
        <v>06:11:54.001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457</v>
      </c>
      <c r="CR78">
        <v>0</v>
      </c>
      <c r="CW78">
        <v>15509048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"08/29/2020 06:11:51.181"</f>
        <v>08/29/2020 06:11:51.181</v>
      </c>
      <c r="C79" t="str">
        <f t="shared" si="3"/>
        <v>FFDFD3C0</v>
      </c>
      <c r="D79" t="s">
        <v>121</v>
      </c>
      <c r="E79">
        <v>10</v>
      </c>
      <c r="F79">
        <v>1010</v>
      </c>
      <c r="G79" t="s">
        <v>114</v>
      </c>
      <c r="J79" t="s">
        <v>123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"06:11:54.398"</f>
        <v>06:11:54.398</v>
      </c>
      <c r="T79" t="str">
        <f>"06:11:54.098"</f>
        <v>06:11:54.098</v>
      </c>
      <c r="U79" t="str">
        <f t="shared" si="4"/>
        <v>A7E2E0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0</v>
      </c>
      <c r="AI79" t="s">
        <v>168</v>
      </c>
      <c r="AJ79">
        <v>39.122549999999997</v>
      </c>
      <c r="AK79" t="s">
        <v>166</v>
      </c>
      <c r="AL79">
        <v>-87.447823999999997</v>
      </c>
      <c r="AM79">
        <v>100</v>
      </c>
      <c r="AN79">
        <v>1100</v>
      </c>
      <c r="AO79" t="s">
        <v>118</v>
      </c>
      <c r="AP79">
        <v>3</v>
      </c>
      <c r="AQ79">
        <v>88</v>
      </c>
      <c r="AR79">
        <v>1472</v>
      </c>
      <c r="AZ79">
        <v>4552</v>
      </c>
      <c r="BA79">
        <v>1</v>
      </c>
      <c r="BB79" t="str">
        <f t="shared" si="5"/>
        <v xml:space="preserve">N607SR  </v>
      </c>
      <c r="BC79">
        <v>1</v>
      </c>
      <c r="BE79">
        <v>0</v>
      </c>
      <c r="BF79">
        <v>0</v>
      </c>
      <c r="BG79">
        <v>0</v>
      </c>
      <c r="BH79">
        <v>825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"06:11:54.402"</f>
        <v>06:11:54.402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457</v>
      </c>
      <c r="CR79">
        <v>0</v>
      </c>
      <c r="CW79">
        <v>15509061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"08/29/2020 06:11:51.181"</f>
        <v>08/29/2020 06:11:51.181</v>
      </c>
      <c r="C80" t="str">
        <f t="shared" si="3"/>
        <v>FFDFD3C0</v>
      </c>
      <c r="D80" t="s">
        <v>121</v>
      </c>
      <c r="E80">
        <v>11</v>
      </c>
      <c r="F80">
        <v>1011</v>
      </c>
      <c r="G80" t="s">
        <v>125</v>
      </c>
      <c r="J80" t="s">
        <v>123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"06:11:54.398"</f>
        <v>06:11:54.398</v>
      </c>
      <c r="T80" t="str">
        <f>"06:11:54.098"</f>
        <v>06:11:54.098</v>
      </c>
      <c r="U80" t="str">
        <f t="shared" si="4"/>
        <v>A7E2E0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0</v>
      </c>
      <c r="AI80" t="s">
        <v>168</v>
      </c>
      <c r="AJ80">
        <v>39.122549999999997</v>
      </c>
      <c r="AK80" t="s">
        <v>166</v>
      </c>
      <c r="AL80">
        <v>-87.447823999999997</v>
      </c>
      <c r="AM80">
        <v>100</v>
      </c>
      <c r="AN80">
        <v>1100</v>
      </c>
      <c r="AO80" t="s">
        <v>118</v>
      </c>
      <c r="AP80">
        <v>3</v>
      </c>
      <c r="AQ80">
        <v>88</v>
      </c>
      <c r="AR80">
        <v>1472</v>
      </c>
      <c r="AZ80">
        <v>4552</v>
      </c>
      <c r="BA80">
        <v>1</v>
      </c>
      <c r="BB80" t="str">
        <f t="shared" si="5"/>
        <v xml:space="preserve">N607SR  </v>
      </c>
      <c r="BC80">
        <v>1</v>
      </c>
      <c r="BE80">
        <v>0</v>
      </c>
      <c r="BF80">
        <v>0</v>
      </c>
      <c r="BG80">
        <v>0</v>
      </c>
      <c r="BH80">
        <v>825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"06:11:54.402"</f>
        <v>06:11:54.402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457</v>
      </c>
      <c r="CR80">
        <v>0</v>
      </c>
      <c r="CW80">
        <v>15509061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"08/29/2020 06:11:51.181"</f>
        <v>08/29/2020 06:11:51.181</v>
      </c>
      <c r="C81" t="str">
        <f t="shared" si="3"/>
        <v>FFDFD3C0</v>
      </c>
      <c r="D81" t="s">
        <v>121</v>
      </c>
      <c r="E81">
        <v>13</v>
      </c>
      <c r="F81">
        <v>1013</v>
      </c>
      <c r="G81" t="s">
        <v>122</v>
      </c>
      <c r="J81" t="s">
        <v>123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"06:11:54.398"</f>
        <v>06:11:54.398</v>
      </c>
      <c r="T81" t="str">
        <f>"06:11:54.098"</f>
        <v>06:11:54.098</v>
      </c>
      <c r="U81" t="str">
        <f t="shared" si="4"/>
        <v>A7E2E0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0</v>
      </c>
      <c r="AI81" t="s">
        <v>168</v>
      </c>
      <c r="AJ81">
        <v>39.122549999999997</v>
      </c>
      <c r="AK81" t="s">
        <v>166</v>
      </c>
      <c r="AL81">
        <v>-87.447823999999997</v>
      </c>
      <c r="AM81">
        <v>100</v>
      </c>
      <c r="AN81">
        <v>1100</v>
      </c>
      <c r="AO81" t="s">
        <v>118</v>
      </c>
      <c r="AP81">
        <v>3</v>
      </c>
      <c r="AQ81">
        <v>88</v>
      </c>
      <c r="AR81">
        <v>1472</v>
      </c>
      <c r="AZ81">
        <v>4552</v>
      </c>
      <c r="BA81">
        <v>1</v>
      </c>
      <c r="BB81" t="str">
        <f t="shared" si="5"/>
        <v xml:space="preserve">N607SR  </v>
      </c>
      <c r="BC81">
        <v>1</v>
      </c>
      <c r="BE81">
        <v>0</v>
      </c>
      <c r="BF81">
        <v>0</v>
      </c>
      <c r="BG81">
        <v>0</v>
      </c>
      <c r="BH81">
        <v>825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"06:11:54.402"</f>
        <v>06:11:54.402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457</v>
      </c>
      <c r="CR81">
        <v>0</v>
      </c>
      <c r="CW81">
        <v>15509061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"08/29/2020 06:11:51.640"</f>
        <v>08/29/2020 06:11:51.640</v>
      </c>
      <c r="C82" t="str">
        <f t="shared" si="3"/>
        <v>FFDFD3C0</v>
      </c>
      <c r="D82" t="s">
        <v>128</v>
      </c>
      <c r="E82">
        <v>5</v>
      </c>
      <c r="H82">
        <v>241</v>
      </c>
      <c r="I82" t="s">
        <v>129</v>
      </c>
      <c r="J82" t="s">
        <v>130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"06:11:54.836"</f>
        <v>06:11:54.836</v>
      </c>
      <c r="U82" t="str">
        <f t="shared" si="4"/>
        <v>A7E2E0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0</v>
      </c>
      <c r="AI82" t="s">
        <v>169</v>
      </c>
      <c r="AJ82">
        <v>39.122678999999998</v>
      </c>
      <c r="AK82" t="s">
        <v>166</v>
      </c>
      <c r="AL82">
        <v>-87.447823999999997</v>
      </c>
      <c r="AM82">
        <v>100</v>
      </c>
      <c r="AN82">
        <v>1100</v>
      </c>
      <c r="AO82" t="s">
        <v>118</v>
      </c>
      <c r="AP82">
        <v>3</v>
      </c>
      <c r="AQ82">
        <v>87</v>
      </c>
      <c r="AR82">
        <v>1472</v>
      </c>
      <c r="AZ82">
        <v>4552</v>
      </c>
      <c r="BA82">
        <v>1</v>
      </c>
      <c r="BB82" t="str">
        <f t="shared" si="5"/>
        <v xml:space="preserve">N607SR  </v>
      </c>
      <c r="BC82">
        <v>1</v>
      </c>
      <c r="BE82">
        <v>0</v>
      </c>
      <c r="BF82">
        <v>0</v>
      </c>
      <c r="BG82">
        <v>0</v>
      </c>
      <c r="BH82">
        <v>850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"06:11:54.838"</f>
        <v>06:11:54.838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457</v>
      </c>
      <c r="CR82">
        <v>0</v>
      </c>
      <c r="CW82">
        <v>15509077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"08/29/2020 06:11:51.640"</f>
        <v>08/29/2020 06:11:51.640</v>
      </c>
      <c r="C83" t="str">
        <f t="shared" si="3"/>
        <v>FFDFD3C0</v>
      </c>
      <c r="D83" t="s">
        <v>113</v>
      </c>
      <c r="E83">
        <v>5</v>
      </c>
      <c r="H83">
        <v>163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"06:11:54.836"</f>
        <v>06:11:54.836</v>
      </c>
      <c r="U83" t="str">
        <f t="shared" si="4"/>
        <v>A7E2E0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0</v>
      </c>
      <c r="AI83" t="s">
        <v>169</v>
      </c>
      <c r="AJ83">
        <v>39.122678999999998</v>
      </c>
      <c r="AK83" t="s">
        <v>166</v>
      </c>
      <c r="AL83">
        <v>-87.447823999999997</v>
      </c>
      <c r="AM83">
        <v>100</v>
      </c>
      <c r="AN83">
        <v>1100</v>
      </c>
      <c r="AO83" t="s">
        <v>118</v>
      </c>
      <c r="AP83">
        <v>3</v>
      </c>
      <c r="AQ83">
        <v>87</v>
      </c>
      <c r="AR83">
        <v>1472</v>
      </c>
      <c r="AZ83">
        <v>4552</v>
      </c>
      <c r="BA83">
        <v>1</v>
      </c>
      <c r="BB83" t="str">
        <f t="shared" si="5"/>
        <v xml:space="preserve">N607SR  </v>
      </c>
      <c r="BC83">
        <v>1</v>
      </c>
      <c r="BE83">
        <v>0</v>
      </c>
      <c r="BF83">
        <v>0</v>
      </c>
      <c r="BG83">
        <v>0</v>
      </c>
      <c r="BH83">
        <v>850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"06:11:54.838"</f>
        <v>06:11:54.838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457</v>
      </c>
      <c r="CR83">
        <v>0</v>
      </c>
      <c r="CW83">
        <v>15509077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"08/29/2020 06:11:52.039"</f>
        <v>08/29/2020 06:11:52.039</v>
      </c>
      <c r="C84" t="str">
        <f t="shared" si="3"/>
        <v>FFDFD3C0</v>
      </c>
      <c r="D84" t="s">
        <v>121</v>
      </c>
      <c r="E84">
        <v>10</v>
      </c>
      <c r="F84">
        <v>1010</v>
      </c>
      <c r="G84" t="s">
        <v>114</v>
      </c>
      <c r="J84" t="s">
        <v>123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"06:11:55.258"</f>
        <v>06:11:55.258</v>
      </c>
      <c r="T84" t="str">
        <f>"06:11:54.858"</f>
        <v>06:11:54.858</v>
      </c>
      <c r="U84" t="str">
        <f t="shared" si="4"/>
        <v>A7E2E0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0</v>
      </c>
      <c r="AI84" t="s">
        <v>170</v>
      </c>
      <c r="AJ84">
        <v>39.122829000000003</v>
      </c>
      <c r="AK84" t="s">
        <v>166</v>
      </c>
      <c r="AL84">
        <v>-87.447823999999997</v>
      </c>
      <c r="AM84">
        <v>100</v>
      </c>
      <c r="AN84">
        <v>1100</v>
      </c>
      <c r="AO84" t="s">
        <v>118</v>
      </c>
      <c r="AP84">
        <v>3</v>
      </c>
      <c r="AQ84">
        <v>87</v>
      </c>
      <c r="AR84">
        <v>1472</v>
      </c>
      <c r="AZ84">
        <v>4552</v>
      </c>
      <c r="BA84">
        <v>1</v>
      </c>
      <c r="BB84" t="str">
        <f t="shared" si="5"/>
        <v xml:space="preserve">N607SR  </v>
      </c>
      <c r="BC84">
        <v>1</v>
      </c>
      <c r="BE84">
        <v>0</v>
      </c>
      <c r="BF84">
        <v>0</v>
      </c>
      <c r="BG84">
        <v>0</v>
      </c>
      <c r="BH84">
        <v>850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"06:11:55.264"</f>
        <v>06:11:55.264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457</v>
      </c>
      <c r="CR84">
        <v>0</v>
      </c>
      <c r="CW84">
        <v>15509090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"08/29/2020 06:11:52.039"</f>
        <v>08/29/2020 06:11:52.039</v>
      </c>
      <c r="C85" t="str">
        <f t="shared" si="3"/>
        <v>FFDFD3C0</v>
      </c>
      <c r="D85" t="s">
        <v>121</v>
      </c>
      <c r="E85">
        <v>11</v>
      </c>
      <c r="F85">
        <v>1011</v>
      </c>
      <c r="G85" t="s">
        <v>125</v>
      </c>
      <c r="J85" t="s">
        <v>123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"06:11:55.258"</f>
        <v>06:11:55.258</v>
      </c>
      <c r="T85" t="str">
        <f>"06:11:54.858"</f>
        <v>06:11:54.858</v>
      </c>
      <c r="U85" t="str">
        <f t="shared" si="4"/>
        <v>A7E2E0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0</v>
      </c>
      <c r="AI85" t="s">
        <v>170</v>
      </c>
      <c r="AJ85">
        <v>39.122829000000003</v>
      </c>
      <c r="AK85" t="s">
        <v>166</v>
      </c>
      <c r="AL85">
        <v>-87.447823999999997</v>
      </c>
      <c r="AM85">
        <v>100</v>
      </c>
      <c r="AN85">
        <v>1100</v>
      </c>
      <c r="AO85" t="s">
        <v>118</v>
      </c>
      <c r="AP85">
        <v>3</v>
      </c>
      <c r="AQ85">
        <v>87</v>
      </c>
      <c r="AR85">
        <v>1472</v>
      </c>
      <c r="AZ85">
        <v>4552</v>
      </c>
      <c r="BA85">
        <v>1</v>
      </c>
      <c r="BB85" t="str">
        <f t="shared" si="5"/>
        <v xml:space="preserve">N607SR  </v>
      </c>
      <c r="BC85">
        <v>1</v>
      </c>
      <c r="BE85">
        <v>0</v>
      </c>
      <c r="BF85">
        <v>0</v>
      </c>
      <c r="BG85">
        <v>0</v>
      </c>
      <c r="BH85">
        <v>850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"06:11:55.264"</f>
        <v>06:11:55.264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457</v>
      </c>
      <c r="CR85">
        <v>0</v>
      </c>
      <c r="CW85">
        <v>15509090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"08/29/2020 06:11:52.039"</f>
        <v>08/29/2020 06:11:52.039</v>
      </c>
      <c r="C86" t="str">
        <f t="shared" si="3"/>
        <v>FFDFD3C0</v>
      </c>
      <c r="D86" t="s">
        <v>121</v>
      </c>
      <c r="E86">
        <v>13</v>
      </c>
      <c r="F86">
        <v>1013</v>
      </c>
      <c r="G86" t="s">
        <v>122</v>
      </c>
      <c r="J86" t="s">
        <v>123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"06:11:55.258"</f>
        <v>06:11:55.258</v>
      </c>
      <c r="T86" t="str">
        <f>"06:11:54.858"</f>
        <v>06:11:54.858</v>
      </c>
      <c r="U86" t="str">
        <f t="shared" si="4"/>
        <v>A7E2E0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0</v>
      </c>
      <c r="AI86" t="s">
        <v>170</v>
      </c>
      <c r="AJ86">
        <v>39.122829000000003</v>
      </c>
      <c r="AK86" t="s">
        <v>166</v>
      </c>
      <c r="AL86">
        <v>-87.447823999999997</v>
      </c>
      <c r="AM86">
        <v>100</v>
      </c>
      <c r="AN86">
        <v>1100</v>
      </c>
      <c r="AO86" t="s">
        <v>118</v>
      </c>
      <c r="AP86">
        <v>3</v>
      </c>
      <c r="AQ86">
        <v>87</v>
      </c>
      <c r="AR86">
        <v>1472</v>
      </c>
      <c r="AZ86">
        <v>4552</v>
      </c>
      <c r="BA86">
        <v>1</v>
      </c>
      <c r="BB86" t="str">
        <f t="shared" si="5"/>
        <v xml:space="preserve">N607SR  </v>
      </c>
      <c r="BC86">
        <v>1</v>
      </c>
      <c r="BE86">
        <v>0</v>
      </c>
      <c r="BF86">
        <v>0</v>
      </c>
      <c r="BG86">
        <v>0</v>
      </c>
      <c r="BH86">
        <v>850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"06:11:55.264"</f>
        <v>06:11:55.264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457</v>
      </c>
      <c r="CR86">
        <v>0</v>
      </c>
      <c r="CW86">
        <v>15509090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"08/29/2020 06:11:52.498"</f>
        <v>08/29/2020 06:11:52.498</v>
      </c>
      <c r="C87" t="str">
        <f t="shared" si="3"/>
        <v>FFDFD3C0</v>
      </c>
      <c r="D87" t="s">
        <v>128</v>
      </c>
      <c r="E87">
        <v>5</v>
      </c>
      <c r="H87">
        <v>241</v>
      </c>
      <c r="I87" t="s">
        <v>129</v>
      </c>
      <c r="J87" t="s">
        <v>130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"06:11:55.680"</f>
        <v>06:11:55.680</v>
      </c>
      <c r="U87" t="str">
        <f t="shared" si="4"/>
        <v>A7E2E0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0</v>
      </c>
      <c r="AI87" t="s">
        <v>171</v>
      </c>
      <c r="AJ87">
        <v>39.123023000000003</v>
      </c>
      <c r="AK87" t="s">
        <v>166</v>
      </c>
      <c r="AL87">
        <v>-87.447823999999997</v>
      </c>
      <c r="AM87">
        <v>100</v>
      </c>
      <c r="AN87">
        <v>1100</v>
      </c>
      <c r="AO87" t="s">
        <v>118</v>
      </c>
      <c r="AP87">
        <v>2</v>
      </c>
      <c r="AQ87">
        <v>87</v>
      </c>
      <c r="AR87">
        <v>1472</v>
      </c>
      <c r="AZ87">
        <v>4552</v>
      </c>
      <c r="BA87">
        <v>1</v>
      </c>
      <c r="BB87" t="str">
        <f t="shared" si="5"/>
        <v xml:space="preserve">N607SR  </v>
      </c>
      <c r="BC87">
        <v>1</v>
      </c>
      <c r="BE87">
        <v>0</v>
      </c>
      <c r="BF87">
        <v>0</v>
      </c>
      <c r="BG87">
        <v>0</v>
      </c>
      <c r="BH87">
        <v>850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"06:11:55.680"</f>
        <v>06:11:55.680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457</v>
      </c>
      <c r="CR87">
        <v>0</v>
      </c>
      <c r="CW87">
        <v>15509099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"08/29/2020 06:11:52.498"</f>
        <v>08/29/2020 06:11:52.498</v>
      </c>
      <c r="C88" t="str">
        <f t="shared" si="3"/>
        <v>FFDFD3C0</v>
      </c>
      <c r="D88" t="s">
        <v>113</v>
      </c>
      <c r="E88">
        <v>5</v>
      </c>
      <c r="H88">
        <v>163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"06:11:55.680"</f>
        <v>06:11:55.680</v>
      </c>
      <c r="U88" t="str">
        <f t="shared" si="4"/>
        <v>A7E2E0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0</v>
      </c>
      <c r="AI88" t="s">
        <v>171</v>
      </c>
      <c r="AJ88">
        <v>39.123023000000003</v>
      </c>
      <c r="AK88" t="s">
        <v>166</v>
      </c>
      <c r="AL88">
        <v>-87.447823999999997</v>
      </c>
      <c r="AM88">
        <v>100</v>
      </c>
      <c r="AN88">
        <v>1100</v>
      </c>
      <c r="AO88" t="s">
        <v>118</v>
      </c>
      <c r="AP88">
        <v>2</v>
      </c>
      <c r="AQ88">
        <v>87</v>
      </c>
      <c r="AR88">
        <v>1472</v>
      </c>
      <c r="AZ88">
        <v>4552</v>
      </c>
      <c r="BA88">
        <v>1</v>
      </c>
      <c r="BB88" t="str">
        <f t="shared" si="5"/>
        <v xml:space="preserve">N607SR  </v>
      </c>
      <c r="BC88">
        <v>1</v>
      </c>
      <c r="BE88">
        <v>0</v>
      </c>
      <c r="BF88">
        <v>0</v>
      </c>
      <c r="BG88">
        <v>0</v>
      </c>
      <c r="BH88">
        <v>850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"06:11:55.680"</f>
        <v>06:11:55.680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457</v>
      </c>
      <c r="CR88">
        <v>0</v>
      </c>
      <c r="CW88">
        <v>15509099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"08/29/2020 06:11:53.101"</f>
        <v>08/29/2020 06:11:53.101</v>
      </c>
      <c r="C89" t="str">
        <f t="shared" si="3"/>
        <v>FFDFD3C0</v>
      </c>
      <c r="D89" t="s">
        <v>121</v>
      </c>
      <c r="E89">
        <v>10</v>
      </c>
      <c r="F89">
        <v>1010</v>
      </c>
      <c r="G89" t="s">
        <v>114</v>
      </c>
      <c r="J89" t="s">
        <v>123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"06:11:56.273"</f>
        <v>06:11:56.273</v>
      </c>
      <c r="U89" t="str">
        <f t="shared" si="4"/>
        <v>A7E2E0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0</v>
      </c>
      <c r="AI89" t="s">
        <v>172</v>
      </c>
      <c r="AJ89">
        <v>39.123237000000003</v>
      </c>
      <c r="AK89" t="s">
        <v>166</v>
      </c>
      <c r="AL89">
        <v>-87.447823999999997</v>
      </c>
      <c r="AM89">
        <v>100</v>
      </c>
      <c r="AN89">
        <v>1100</v>
      </c>
      <c r="AO89" t="s">
        <v>118</v>
      </c>
      <c r="AP89">
        <v>1</v>
      </c>
      <c r="AQ89">
        <v>87</v>
      </c>
      <c r="AR89">
        <v>1472</v>
      </c>
      <c r="AZ89">
        <v>4552</v>
      </c>
      <c r="BA89">
        <v>1</v>
      </c>
      <c r="BB89" t="str">
        <f t="shared" si="5"/>
        <v xml:space="preserve">N607SR  </v>
      </c>
      <c r="BC89">
        <v>1</v>
      </c>
      <c r="BE89">
        <v>0</v>
      </c>
      <c r="BF89">
        <v>0</v>
      </c>
      <c r="BG89">
        <v>0</v>
      </c>
      <c r="BH89">
        <v>875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"06:11:56.275"</f>
        <v>06:11:56.275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457</v>
      </c>
      <c r="CR89">
        <v>0</v>
      </c>
      <c r="CW89">
        <v>15509121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"08/29/2020 06:11:53.101"</f>
        <v>08/29/2020 06:11:53.101</v>
      </c>
      <c r="C90" t="str">
        <f t="shared" si="3"/>
        <v>FFDFD3C0</v>
      </c>
      <c r="D90" t="s">
        <v>121</v>
      </c>
      <c r="E90">
        <v>11</v>
      </c>
      <c r="F90">
        <v>1011</v>
      </c>
      <c r="G90" t="s">
        <v>125</v>
      </c>
      <c r="J90" t="s">
        <v>123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"06:11:56.273"</f>
        <v>06:11:56.273</v>
      </c>
      <c r="U90" t="str">
        <f t="shared" si="4"/>
        <v>A7E2E0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0</v>
      </c>
      <c r="AI90" t="s">
        <v>172</v>
      </c>
      <c r="AJ90">
        <v>39.123237000000003</v>
      </c>
      <c r="AK90" t="s">
        <v>166</v>
      </c>
      <c r="AL90">
        <v>-87.447823999999997</v>
      </c>
      <c r="AM90">
        <v>100</v>
      </c>
      <c r="AN90">
        <v>1100</v>
      </c>
      <c r="AO90" t="s">
        <v>118</v>
      </c>
      <c r="AP90">
        <v>1</v>
      </c>
      <c r="AQ90">
        <v>87</v>
      </c>
      <c r="AR90">
        <v>1472</v>
      </c>
      <c r="AZ90">
        <v>4552</v>
      </c>
      <c r="BA90">
        <v>1</v>
      </c>
      <c r="BB90" t="str">
        <f t="shared" si="5"/>
        <v xml:space="preserve">N607SR  </v>
      </c>
      <c r="BC90">
        <v>1</v>
      </c>
      <c r="BE90">
        <v>0</v>
      </c>
      <c r="BF90">
        <v>0</v>
      </c>
      <c r="BG90">
        <v>0</v>
      </c>
      <c r="BH90">
        <v>875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"06:11:56.275"</f>
        <v>06:11:56.275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457</v>
      </c>
      <c r="CR90">
        <v>0</v>
      </c>
      <c r="CW90">
        <v>15509121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"08/29/2020 06:11:53.101"</f>
        <v>08/29/2020 06:11:53.101</v>
      </c>
      <c r="C91" t="str">
        <f t="shared" si="3"/>
        <v>FFDFD3C0</v>
      </c>
      <c r="D91" t="s">
        <v>121</v>
      </c>
      <c r="E91">
        <v>13</v>
      </c>
      <c r="F91">
        <v>1013</v>
      </c>
      <c r="G91" t="s">
        <v>122</v>
      </c>
      <c r="J91" t="s">
        <v>123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"06:11:56.273"</f>
        <v>06:11:56.273</v>
      </c>
      <c r="U91" t="str">
        <f t="shared" si="4"/>
        <v>A7E2E0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0</v>
      </c>
      <c r="AI91" t="s">
        <v>172</v>
      </c>
      <c r="AJ91">
        <v>39.123237000000003</v>
      </c>
      <c r="AK91" t="s">
        <v>166</v>
      </c>
      <c r="AL91">
        <v>-87.447823999999997</v>
      </c>
      <c r="AM91">
        <v>100</v>
      </c>
      <c r="AN91">
        <v>1100</v>
      </c>
      <c r="AO91" t="s">
        <v>118</v>
      </c>
      <c r="AP91">
        <v>1</v>
      </c>
      <c r="AQ91">
        <v>87</v>
      </c>
      <c r="AR91">
        <v>1472</v>
      </c>
      <c r="AZ91">
        <v>4552</v>
      </c>
      <c r="BA91">
        <v>1</v>
      </c>
      <c r="BB91" t="str">
        <f t="shared" si="5"/>
        <v xml:space="preserve">N607SR  </v>
      </c>
      <c r="BC91">
        <v>1</v>
      </c>
      <c r="BE91">
        <v>0</v>
      </c>
      <c r="BF91">
        <v>0</v>
      </c>
      <c r="BG91">
        <v>0</v>
      </c>
      <c r="BH91">
        <v>875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"06:11:56.275"</f>
        <v>06:11:56.275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457</v>
      </c>
      <c r="CR91">
        <v>0</v>
      </c>
      <c r="CW91">
        <v>15509121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"08/29/2020 06:11:53.562"</f>
        <v>08/29/2020 06:11:53.562</v>
      </c>
      <c r="C92" t="str">
        <f t="shared" si="3"/>
        <v>FFDFD3C0</v>
      </c>
      <c r="D92" t="s">
        <v>128</v>
      </c>
      <c r="E92">
        <v>5</v>
      </c>
      <c r="H92">
        <v>241</v>
      </c>
      <c r="I92" t="s">
        <v>129</v>
      </c>
      <c r="J92" t="s">
        <v>130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"06:11:56.781"</f>
        <v>06:11:56.781</v>
      </c>
      <c r="T92" t="str">
        <f>"06:11:56.281"</f>
        <v>06:11:56.281</v>
      </c>
      <c r="U92" t="str">
        <f t="shared" si="4"/>
        <v>A7E2E0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0</v>
      </c>
      <c r="AI92" t="s">
        <v>173</v>
      </c>
      <c r="AJ92">
        <v>39.123452</v>
      </c>
      <c r="AK92" t="s">
        <v>166</v>
      </c>
      <c r="AL92">
        <v>-87.447823999999997</v>
      </c>
      <c r="AM92">
        <v>100</v>
      </c>
      <c r="AN92">
        <v>1200</v>
      </c>
      <c r="AO92" t="s">
        <v>118</v>
      </c>
      <c r="AP92">
        <v>1</v>
      </c>
      <c r="AQ92">
        <v>87</v>
      </c>
      <c r="AR92">
        <v>1472</v>
      </c>
      <c r="AZ92">
        <v>4552</v>
      </c>
      <c r="BA92">
        <v>1</v>
      </c>
      <c r="BB92" t="str">
        <f t="shared" si="5"/>
        <v xml:space="preserve">N607SR  </v>
      </c>
      <c r="BC92">
        <v>1</v>
      </c>
      <c r="BE92">
        <v>0</v>
      </c>
      <c r="BF92">
        <v>0</v>
      </c>
      <c r="BG92">
        <v>0</v>
      </c>
      <c r="BH92">
        <v>975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"06:11:56.786"</f>
        <v>06:11:56.786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457</v>
      </c>
      <c r="CR92">
        <v>0</v>
      </c>
      <c r="CW92">
        <v>15509134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"08/29/2020 06:11:53.562"</f>
        <v>08/29/2020 06:11:53.562</v>
      </c>
      <c r="C93" t="str">
        <f t="shared" si="3"/>
        <v>FFDFD3C0</v>
      </c>
      <c r="D93" t="s">
        <v>113</v>
      </c>
      <c r="E93">
        <v>5</v>
      </c>
      <c r="H93">
        <v>163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"06:11:56.781"</f>
        <v>06:11:56.781</v>
      </c>
      <c r="T93" t="str">
        <f>"06:11:56.281"</f>
        <v>06:11:56.281</v>
      </c>
      <c r="U93" t="str">
        <f t="shared" si="4"/>
        <v>A7E2E0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0</v>
      </c>
      <c r="AI93" t="s">
        <v>173</v>
      </c>
      <c r="AJ93">
        <v>39.123452</v>
      </c>
      <c r="AK93" t="s">
        <v>166</v>
      </c>
      <c r="AL93">
        <v>-87.447823999999997</v>
      </c>
      <c r="AM93">
        <v>100</v>
      </c>
      <c r="AN93">
        <v>1200</v>
      </c>
      <c r="AO93" t="s">
        <v>118</v>
      </c>
      <c r="AP93">
        <v>1</v>
      </c>
      <c r="AQ93">
        <v>87</v>
      </c>
      <c r="AR93">
        <v>1472</v>
      </c>
      <c r="AZ93">
        <v>4552</v>
      </c>
      <c r="BA93">
        <v>1</v>
      </c>
      <c r="BB93" t="str">
        <f t="shared" si="5"/>
        <v xml:space="preserve">N607SR  </v>
      </c>
      <c r="BC93">
        <v>1</v>
      </c>
      <c r="BE93">
        <v>0</v>
      </c>
      <c r="BF93">
        <v>0</v>
      </c>
      <c r="BG93">
        <v>0</v>
      </c>
      <c r="BH93">
        <v>975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"06:11:56.786"</f>
        <v>06:11:56.786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457</v>
      </c>
      <c r="CR93">
        <v>0</v>
      </c>
      <c r="CW93">
        <v>15509134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"08/29/2020 06:11:54.160"</f>
        <v>08/29/2020 06:11:54.160</v>
      </c>
      <c r="C94" t="str">
        <f t="shared" si="3"/>
        <v>FFDFD3C0</v>
      </c>
      <c r="D94" t="s">
        <v>121</v>
      </c>
      <c r="E94">
        <v>10</v>
      </c>
      <c r="F94">
        <v>1010</v>
      </c>
      <c r="G94" t="s">
        <v>114</v>
      </c>
      <c r="J94" t="s">
        <v>123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"06:11:57.375"</f>
        <v>06:11:57.375</v>
      </c>
      <c r="T94" t="str">
        <f>"06:11:56.875"</f>
        <v>06:11:56.875</v>
      </c>
      <c r="U94" t="str">
        <f t="shared" si="4"/>
        <v>A7E2E0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0</v>
      </c>
      <c r="AI94" t="s">
        <v>174</v>
      </c>
      <c r="AJ94">
        <v>39.123688000000001</v>
      </c>
      <c r="AK94" t="s">
        <v>166</v>
      </c>
      <c r="AL94">
        <v>-87.447823999999997</v>
      </c>
      <c r="AM94">
        <v>100</v>
      </c>
      <c r="AN94">
        <v>1200</v>
      </c>
      <c r="AO94" t="s">
        <v>118</v>
      </c>
      <c r="AP94">
        <v>1</v>
      </c>
      <c r="AQ94">
        <v>87</v>
      </c>
      <c r="AR94">
        <v>1408</v>
      </c>
      <c r="AZ94">
        <v>4552</v>
      </c>
      <c r="BA94">
        <v>1</v>
      </c>
      <c r="BB94" t="str">
        <f t="shared" si="5"/>
        <v xml:space="preserve">N607SR  </v>
      </c>
      <c r="BC94">
        <v>1</v>
      </c>
      <c r="BE94">
        <v>0</v>
      </c>
      <c r="BF94">
        <v>0</v>
      </c>
      <c r="BG94">
        <v>0</v>
      </c>
      <c r="BH94">
        <v>875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"06:11:57.376"</f>
        <v>06:11:57.376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4</v>
      </c>
      <c r="CP94" t="s">
        <v>119</v>
      </c>
      <c r="CQ94">
        <v>177</v>
      </c>
      <c r="CR94">
        <v>2</v>
      </c>
      <c r="CW94">
        <v>1601398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"08/29/2020 06:11:54.160"</f>
        <v>08/29/2020 06:11:54.160</v>
      </c>
      <c r="C95" t="str">
        <f t="shared" si="3"/>
        <v>FFDFD3C0</v>
      </c>
      <c r="D95" t="s">
        <v>121</v>
      </c>
      <c r="E95">
        <v>11</v>
      </c>
      <c r="F95">
        <v>1011</v>
      </c>
      <c r="G95" t="s">
        <v>125</v>
      </c>
      <c r="J95" t="s">
        <v>123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"06:11:57.375"</f>
        <v>06:11:57.375</v>
      </c>
      <c r="T95" t="str">
        <f>"06:11:56.875"</f>
        <v>06:11:56.875</v>
      </c>
      <c r="U95" t="str">
        <f t="shared" si="4"/>
        <v>A7E2E0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0</v>
      </c>
      <c r="AI95" t="s">
        <v>174</v>
      </c>
      <c r="AJ95">
        <v>39.123688000000001</v>
      </c>
      <c r="AK95" t="s">
        <v>166</v>
      </c>
      <c r="AL95">
        <v>-87.447823999999997</v>
      </c>
      <c r="AM95">
        <v>100</v>
      </c>
      <c r="AN95">
        <v>1200</v>
      </c>
      <c r="AO95" t="s">
        <v>118</v>
      </c>
      <c r="AP95">
        <v>1</v>
      </c>
      <c r="AQ95">
        <v>87</v>
      </c>
      <c r="AR95">
        <v>1408</v>
      </c>
      <c r="AZ95">
        <v>4552</v>
      </c>
      <c r="BA95">
        <v>1</v>
      </c>
      <c r="BB95" t="str">
        <f t="shared" si="5"/>
        <v xml:space="preserve">N607SR  </v>
      </c>
      <c r="BC95">
        <v>1</v>
      </c>
      <c r="BE95">
        <v>0</v>
      </c>
      <c r="BF95">
        <v>0</v>
      </c>
      <c r="BG95">
        <v>0</v>
      </c>
      <c r="BH95">
        <v>875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"06:11:57.376"</f>
        <v>06:11:57.376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4</v>
      </c>
      <c r="CP95" t="s">
        <v>119</v>
      </c>
      <c r="CQ95">
        <v>177</v>
      </c>
      <c r="CR95">
        <v>2</v>
      </c>
      <c r="CW95">
        <v>1601398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"08/29/2020 06:11:54.160"</f>
        <v>08/29/2020 06:11:54.160</v>
      </c>
      <c r="C96" t="str">
        <f t="shared" si="3"/>
        <v>FFDFD3C0</v>
      </c>
      <c r="D96" t="s">
        <v>121</v>
      </c>
      <c r="E96">
        <v>13</v>
      </c>
      <c r="F96">
        <v>1013</v>
      </c>
      <c r="G96" t="s">
        <v>122</v>
      </c>
      <c r="J96" t="s">
        <v>123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"06:11:57.375"</f>
        <v>06:11:57.375</v>
      </c>
      <c r="T96" t="str">
        <f>"06:11:56.875"</f>
        <v>06:11:56.875</v>
      </c>
      <c r="U96" t="str">
        <f t="shared" si="4"/>
        <v>A7E2E0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0</v>
      </c>
      <c r="AI96" t="s">
        <v>174</v>
      </c>
      <c r="AJ96">
        <v>39.123688000000001</v>
      </c>
      <c r="AK96" t="s">
        <v>166</v>
      </c>
      <c r="AL96">
        <v>-87.447823999999997</v>
      </c>
      <c r="AM96">
        <v>100</v>
      </c>
      <c r="AN96">
        <v>1200</v>
      </c>
      <c r="AO96" t="s">
        <v>118</v>
      </c>
      <c r="AP96">
        <v>1</v>
      </c>
      <c r="AQ96">
        <v>87</v>
      </c>
      <c r="AR96">
        <v>1408</v>
      </c>
      <c r="AZ96">
        <v>4552</v>
      </c>
      <c r="BA96">
        <v>1</v>
      </c>
      <c r="BB96" t="str">
        <f t="shared" si="5"/>
        <v xml:space="preserve">N607SR  </v>
      </c>
      <c r="BC96">
        <v>1</v>
      </c>
      <c r="BE96">
        <v>0</v>
      </c>
      <c r="BF96">
        <v>0</v>
      </c>
      <c r="BG96">
        <v>0</v>
      </c>
      <c r="BH96">
        <v>875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"06:11:57.376"</f>
        <v>06:11:57.376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4</v>
      </c>
      <c r="CP96" t="s">
        <v>119</v>
      </c>
      <c r="CQ96">
        <v>177</v>
      </c>
      <c r="CR96">
        <v>2</v>
      </c>
      <c r="CW96">
        <v>1601398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"08/29/2020 06:11:54.678"</f>
        <v>08/29/2020 06:11:54.678</v>
      </c>
      <c r="C97" t="str">
        <f t="shared" si="3"/>
        <v>FFDFD3C0</v>
      </c>
      <c r="D97" t="s">
        <v>128</v>
      </c>
      <c r="E97">
        <v>5</v>
      </c>
      <c r="H97">
        <v>241</v>
      </c>
      <c r="I97" t="s">
        <v>129</v>
      </c>
      <c r="J97" t="s">
        <v>130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"06:11:57.898"</f>
        <v>06:11:57.898</v>
      </c>
      <c r="U97" t="str">
        <f t="shared" si="4"/>
        <v>A7E2E0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0</v>
      </c>
      <c r="AI97" t="s">
        <v>175</v>
      </c>
      <c r="AJ97">
        <v>39.123924000000002</v>
      </c>
      <c r="AK97" t="s">
        <v>166</v>
      </c>
      <c r="AL97">
        <v>-87.447823999999997</v>
      </c>
      <c r="AM97">
        <v>100</v>
      </c>
      <c r="AN97">
        <v>1200</v>
      </c>
      <c r="AO97" t="s">
        <v>118</v>
      </c>
      <c r="AP97">
        <v>-1</v>
      </c>
      <c r="AQ97">
        <v>86</v>
      </c>
      <c r="AR97">
        <v>1408</v>
      </c>
      <c r="AZ97">
        <v>4552</v>
      </c>
      <c r="BA97">
        <v>1</v>
      </c>
      <c r="BB97" t="str">
        <f t="shared" si="5"/>
        <v xml:space="preserve">N607SR  </v>
      </c>
      <c r="BC97">
        <v>1</v>
      </c>
      <c r="BE97">
        <v>0</v>
      </c>
      <c r="BF97">
        <v>0</v>
      </c>
      <c r="BG97">
        <v>0</v>
      </c>
      <c r="BH97">
        <v>925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"06:11:57.904"</f>
        <v>06:11:57.904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6</v>
      </c>
      <c r="CP97" t="s">
        <v>119</v>
      </c>
      <c r="CQ97">
        <v>457</v>
      </c>
      <c r="CR97">
        <v>0</v>
      </c>
      <c r="CW97">
        <v>15509163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"08/29/2020 06:11:54.678"</f>
        <v>08/29/2020 06:11:54.678</v>
      </c>
      <c r="C98" t="str">
        <f t="shared" si="3"/>
        <v>FFDFD3C0</v>
      </c>
      <c r="D98" t="s">
        <v>113</v>
      </c>
      <c r="E98">
        <v>5</v>
      </c>
      <c r="H98">
        <v>163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"06:11:57.898"</f>
        <v>06:11:57.898</v>
      </c>
      <c r="U98" t="str">
        <f t="shared" si="4"/>
        <v>A7E2E0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0</v>
      </c>
      <c r="AI98" t="s">
        <v>175</v>
      </c>
      <c r="AJ98">
        <v>39.123924000000002</v>
      </c>
      <c r="AK98" t="s">
        <v>166</v>
      </c>
      <c r="AL98">
        <v>-87.447823999999997</v>
      </c>
      <c r="AM98">
        <v>100</v>
      </c>
      <c r="AN98">
        <v>1200</v>
      </c>
      <c r="AO98" t="s">
        <v>118</v>
      </c>
      <c r="AP98">
        <v>-1</v>
      </c>
      <c r="AQ98">
        <v>86</v>
      </c>
      <c r="AR98">
        <v>1408</v>
      </c>
      <c r="AZ98">
        <v>4552</v>
      </c>
      <c r="BA98">
        <v>1</v>
      </c>
      <c r="BB98" t="str">
        <f t="shared" si="5"/>
        <v xml:space="preserve">N607SR  </v>
      </c>
      <c r="BC98">
        <v>1</v>
      </c>
      <c r="BE98">
        <v>0</v>
      </c>
      <c r="BF98">
        <v>0</v>
      </c>
      <c r="BG98">
        <v>0</v>
      </c>
      <c r="BH98">
        <v>925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"06:11:57.904"</f>
        <v>06:11:57.904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6</v>
      </c>
      <c r="CP98" t="s">
        <v>119</v>
      </c>
      <c r="CQ98">
        <v>457</v>
      </c>
      <c r="CR98">
        <v>0</v>
      </c>
      <c r="CW98">
        <v>15509163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"08/29/2020 06:11:55.188"</f>
        <v>08/29/2020 06:11:55.188</v>
      </c>
      <c r="C99" t="str">
        <f t="shared" si="3"/>
        <v>FFDFD3C0</v>
      </c>
      <c r="D99" t="s">
        <v>121</v>
      </c>
      <c r="E99">
        <v>11</v>
      </c>
      <c r="F99">
        <v>1011</v>
      </c>
      <c r="G99" t="s">
        <v>125</v>
      </c>
      <c r="J99" t="s">
        <v>123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"06:11:58.398"</f>
        <v>06:11:58.398</v>
      </c>
      <c r="T99" t="str">
        <f>"06:11:57.998"</f>
        <v>06:11:57.998</v>
      </c>
      <c r="U99" t="str">
        <f t="shared" si="4"/>
        <v>A7E2E0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0</v>
      </c>
      <c r="AI99" t="s">
        <v>176</v>
      </c>
      <c r="AJ99">
        <v>39.124138000000002</v>
      </c>
      <c r="AK99" t="s">
        <v>166</v>
      </c>
      <c r="AL99">
        <v>-87.447823999999997</v>
      </c>
      <c r="AM99">
        <v>100</v>
      </c>
      <c r="AN99">
        <v>1200</v>
      </c>
      <c r="AO99" t="s">
        <v>118</v>
      </c>
      <c r="AP99">
        <v>-1</v>
      </c>
      <c r="AQ99">
        <v>86</v>
      </c>
      <c r="AR99">
        <v>1408</v>
      </c>
      <c r="AZ99">
        <v>4552</v>
      </c>
      <c r="BA99">
        <v>1</v>
      </c>
      <c r="BB99" t="str">
        <f t="shared" si="5"/>
        <v xml:space="preserve">N607SR  </v>
      </c>
      <c r="BC99">
        <v>1</v>
      </c>
      <c r="BE99">
        <v>0</v>
      </c>
      <c r="BF99">
        <v>0</v>
      </c>
      <c r="BG99">
        <v>0</v>
      </c>
      <c r="BH99">
        <v>925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"06:11:58.405"</f>
        <v>06:11:58.405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457</v>
      </c>
      <c r="CR99">
        <v>0</v>
      </c>
      <c r="CW99">
        <v>15509181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"08/29/2020 06:11:55.188"</f>
        <v>08/29/2020 06:11:55.188</v>
      </c>
      <c r="C100" t="str">
        <f t="shared" si="3"/>
        <v>FFDFD3C0</v>
      </c>
      <c r="D100" t="s">
        <v>121</v>
      </c>
      <c r="E100">
        <v>13</v>
      </c>
      <c r="F100">
        <v>1013</v>
      </c>
      <c r="G100" t="s">
        <v>122</v>
      </c>
      <c r="J100" t="s">
        <v>123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"06:11:58.398"</f>
        <v>06:11:58.398</v>
      </c>
      <c r="T100" t="str">
        <f>"06:11:57.998"</f>
        <v>06:11:57.998</v>
      </c>
      <c r="U100" t="str">
        <f t="shared" si="4"/>
        <v>A7E2E0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0</v>
      </c>
      <c r="AI100" t="s">
        <v>176</v>
      </c>
      <c r="AJ100">
        <v>39.124138000000002</v>
      </c>
      <c r="AK100" t="s">
        <v>166</v>
      </c>
      <c r="AL100">
        <v>-87.447823999999997</v>
      </c>
      <c r="AM100">
        <v>100</v>
      </c>
      <c r="AN100">
        <v>1200</v>
      </c>
      <c r="AO100" t="s">
        <v>118</v>
      </c>
      <c r="AP100">
        <v>-1</v>
      </c>
      <c r="AQ100">
        <v>86</v>
      </c>
      <c r="AR100">
        <v>1408</v>
      </c>
      <c r="AZ100">
        <v>4552</v>
      </c>
      <c r="BA100">
        <v>1</v>
      </c>
      <c r="BB100" t="str">
        <f t="shared" si="5"/>
        <v xml:space="preserve">N607SR  </v>
      </c>
      <c r="BC100">
        <v>1</v>
      </c>
      <c r="BE100">
        <v>0</v>
      </c>
      <c r="BF100">
        <v>0</v>
      </c>
      <c r="BG100">
        <v>0</v>
      </c>
      <c r="BH100">
        <v>925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"06:11:58.405"</f>
        <v>06:11:58.405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457</v>
      </c>
      <c r="CR100">
        <v>0</v>
      </c>
      <c r="CW100">
        <v>15509181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"08/29/2020 06:11:55.188"</f>
        <v>08/29/2020 06:11:55.188</v>
      </c>
      <c r="C101" t="str">
        <f t="shared" si="3"/>
        <v>FFDFD3C0</v>
      </c>
      <c r="D101" t="s">
        <v>121</v>
      </c>
      <c r="E101">
        <v>10</v>
      </c>
      <c r="F101">
        <v>1010</v>
      </c>
      <c r="G101" t="s">
        <v>114</v>
      </c>
      <c r="J101" t="s">
        <v>123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"06:11:58.398"</f>
        <v>06:11:58.398</v>
      </c>
      <c r="T101" t="str">
        <f>"06:11:57.998"</f>
        <v>06:11:57.998</v>
      </c>
      <c r="U101" t="str">
        <f t="shared" si="4"/>
        <v>A7E2E0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0</v>
      </c>
      <c r="AI101" t="s">
        <v>176</v>
      </c>
      <c r="AJ101">
        <v>39.124138000000002</v>
      </c>
      <c r="AK101" t="s">
        <v>166</v>
      </c>
      <c r="AL101">
        <v>-87.447823999999997</v>
      </c>
      <c r="AM101">
        <v>100</v>
      </c>
      <c r="AN101">
        <v>1200</v>
      </c>
      <c r="AO101" t="s">
        <v>118</v>
      </c>
      <c r="AP101">
        <v>-1</v>
      </c>
      <c r="AQ101">
        <v>86</v>
      </c>
      <c r="AR101">
        <v>1408</v>
      </c>
      <c r="AZ101">
        <v>4552</v>
      </c>
      <c r="BA101">
        <v>1</v>
      </c>
      <c r="BB101" t="str">
        <f t="shared" si="5"/>
        <v xml:space="preserve">N607SR  </v>
      </c>
      <c r="BC101">
        <v>1</v>
      </c>
      <c r="BE101">
        <v>0</v>
      </c>
      <c r="BF101">
        <v>0</v>
      </c>
      <c r="BG101">
        <v>0</v>
      </c>
      <c r="BH101">
        <v>925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"06:11:58.405"</f>
        <v>06:11:58.405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457</v>
      </c>
      <c r="CR101">
        <v>0</v>
      </c>
      <c r="CW101">
        <v>15509181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"08/29/2020 06:11:55.744"</f>
        <v>08/29/2020 06:11:55.744</v>
      </c>
      <c r="C102" t="str">
        <f t="shared" si="3"/>
        <v>FFDFD3C0</v>
      </c>
      <c r="D102" t="s">
        <v>128</v>
      </c>
      <c r="E102">
        <v>5</v>
      </c>
      <c r="H102">
        <v>241</v>
      </c>
      <c r="I102" t="s">
        <v>129</v>
      </c>
      <c r="J102" t="s">
        <v>130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"06:11:58.922"</f>
        <v>06:11:58.922</v>
      </c>
      <c r="T102" t="str">
        <f>"06:11:58.422"</f>
        <v>06:11:58.422</v>
      </c>
      <c r="U102" t="str">
        <f t="shared" si="4"/>
        <v>A7E2E0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0</v>
      </c>
      <c r="AI102" t="s">
        <v>177</v>
      </c>
      <c r="AJ102">
        <v>39.124330999999998</v>
      </c>
      <c r="AK102" t="s">
        <v>166</v>
      </c>
      <c r="AL102">
        <v>-87.447823999999997</v>
      </c>
      <c r="AM102">
        <v>100</v>
      </c>
      <c r="AN102">
        <v>1200</v>
      </c>
      <c r="AO102" t="s">
        <v>118</v>
      </c>
      <c r="AP102">
        <v>-2</v>
      </c>
      <c r="AQ102">
        <v>86</v>
      </c>
      <c r="AR102">
        <v>1344</v>
      </c>
      <c r="AZ102">
        <v>4552</v>
      </c>
      <c r="BA102">
        <v>1</v>
      </c>
      <c r="BB102" t="str">
        <f t="shared" si="5"/>
        <v xml:space="preserve">N607SR  </v>
      </c>
      <c r="BC102">
        <v>1</v>
      </c>
      <c r="BE102">
        <v>0</v>
      </c>
      <c r="BF102">
        <v>0</v>
      </c>
      <c r="BG102">
        <v>0</v>
      </c>
      <c r="BH102">
        <v>925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"06:11:58.929"</f>
        <v>06:11:58.929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457</v>
      </c>
      <c r="CR102">
        <v>0</v>
      </c>
      <c r="CW102">
        <v>15509195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"08/29/2020 06:11:55.744"</f>
        <v>08/29/2020 06:11:55.744</v>
      </c>
      <c r="C103" t="str">
        <f t="shared" si="3"/>
        <v>FFDFD3C0</v>
      </c>
      <c r="D103" t="s">
        <v>113</v>
      </c>
      <c r="E103">
        <v>5</v>
      </c>
      <c r="H103">
        <v>163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"06:11:58.922"</f>
        <v>06:11:58.922</v>
      </c>
      <c r="T103" t="str">
        <f>"06:11:58.422"</f>
        <v>06:11:58.422</v>
      </c>
      <c r="U103" t="str">
        <f t="shared" si="4"/>
        <v>A7E2E0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0</v>
      </c>
      <c r="AI103" t="s">
        <v>177</v>
      </c>
      <c r="AJ103">
        <v>39.124330999999998</v>
      </c>
      <c r="AK103" t="s">
        <v>166</v>
      </c>
      <c r="AL103">
        <v>-87.447823999999997</v>
      </c>
      <c r="AM103">
        <v>100</v>
      </c>
      <c r="AN103">
        <v>1200</v>
      </c>
      <c r="AO103" t="s">
        <v>118</v>
      </c>
      <c r="AP103">
        <v>-2</v>
      </c>
      <c r="AQ103">
        <v>86</v>
      </c>
      <c r="AR103">
        <v>1344</v>
      </c>
      <c r="AZ103">
        <v>4552</v>
      </c>
      <c r="BA103">
        <v>1</v>
      </c>
      <c r="BB103" t="str">
        <f t="shared" si="5"/>
        <v xml:space="preserve">N607SR  </v>
      </c>
      <c r="BC103">
        <v>1</v>
      </c>
      <c r="BE103">
        <v>0</v>
      </c>
      <c r="BF103">
        <v>0</v>
      </c>
      <c r="BG103">
        <v>0</v>
      </c>
      <c r="BH103">
        <v>925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"06:11:58.929"</f>
        <v>06:11:58.929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457</v>
      </c>
      <c r="CR103">
        <v>0</v>
      </c>
      <c r="CW103">
        <v>15509195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"08/29/2020 06:11:56.205"</f>
        <v>08/29/2020 06:11:56.205</v>
      </c>
      <c r="C104" t="str">
        <f t="shared" si="3"/>
        <v>FFDFD3C0</v>
      </c>
      <c r="D104" t="s">
        <v>121</v>
      </c>
      <c r="E104">
        <v>11</v>
      </c>
      <c r="F104">
        <v>1011</v>
      </c>
      <c r="G104" t="s">
        <v>125</v>
      </c>
      <c r="J104" t="s">
        <v>123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"06:11:59.422"</f>
        <v>06:11:59.422</v>
      </c>
      <c r="T104" t="str">
        <f>"06:11:59.022"</f>
        <v>06:11:59.022</v>
      </c>
      <c r="U104" t="str">
        <f t="shared" si="4"/>
        <v>A7E2E0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0</v>
      </c>
      <c r="AI104" t="s">
        <v>178</v>
      </c>
      <c r="AJ104">
        <v>39.124546000000002</v>
      </c>
      <c r="AK104" t="s">
        <v>166</v>
      </c>
      <c r="AL104">
        <v>-87.447823999999997</v>
      </c>
      <c r="AM104">
        <v>100</v>
      </c>
      <c r="AN104">
        <v>1200</v>
      </c>
      <c r="AO104" t="s">
        <v>118</v>
      </c>
      <c r="AP104">
        <v>-2</v>
      </c>
      <c r="AQ104">
        <v>86</v>
      </c>
      <c r="AR104">
        <v>1344</v>
      </c>
      <c r="AZ104">
        <v>4552</v>
      </c>
      <c r="BA104">
        <v>1</v>
      </c>
      <c r="BB104" t="str">
        <f t="shared" si="5"/>
        <v xml:space="preserve">N607SR  </v>
      </c>
      <c r="BC104">
        <v>1</v>
      </c>
      <c r="BE104">
        <v>0</v>
      </c>
      <c r="BF104">
        <v>0</v>
      </c>
      <c r="BG104">
        <v>0</v>
      </c>
      <c r="BH104">
        <v>925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"06:11:59.424"</f>
        <v>06:11:59.424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457</v>
      </c>
      <c r="CR104">
        <v>0</v>
      </c>
      <c r="CW104">
        <v>15509210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"08/29/2020 06:11:56.205"</f>
        <v>08/29/2020 06:11:56.205</v>
      </c>
      <c r="C105" t="str">
        <f t="shared" si="3"/>
        <v>FFDFD3C0</v>
      </c>
      <c r="D105" t="s">
        <v>121</v>
      </c>
      <c r="E105">
        <v>13</v>
      </c>
      <c r="F105">
        <v>1013</v>
      </c>
      <c r="G105" t="s">
        <v>122</v>
      </c>
      <c r="J105" t="s">
        <v>123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"06:11:59.422"</f>
        <v>06:11:59.422</v>
      </c>
      <c r="T105" t="str">
        <f>"06:11:59.022"</f>
        <v>06:11:59.022</v>
      </c>
      <c r="U105" t="str">
        <f t="shared" si="4"/>
        <v>A7E2E0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0</v>
      </c>
      <c r="AI105" t="s">
        <v>178</v>
      </c>
      <c r="AJ105">
        <v>39.124546000000002</v>
      </c>
      <c r="AK105" t="s">
        <v>166</v>
      </c>
      <c r="AL105">
        <v>-87.447823999999997</v>
      </c>
      <c r="AM105">
        <v>100</v>
      </c>
      <c r="AN105">
        <v>1200</v>
      </c>
      <c r="AO105" t="s">
        <v>118</v>
      </c>
      <c r="AP105">
        <v>-2</v>
      </c>
      <c r="AQ105">
        <v>86</v>
      </c>
      <c r="AR105">
        <v>1344</v>
      </c>
      <c r="AZ105">
        <v>4552</v>
      </c>
      <c r="BA105">
        <v>1</v>
      </c>
      <c r="BB105" t="str">
        <f t="shared" si="5"/>
        <v xml:space="preserve">N607SR  </v>
      </c>
      <c r="BC105">
        <v>1</v>
      </c>
      <c r="BE105">
        <v>0</v>
      </c>
      <c r="BF105">
        <v>0</v>
      </c>
      <c r="BG105">
        <v>0</v>
      </c>
      <c r="BH105">
        <v>925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"06:11:59.424"</f>
        <v>06:11:59.424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457</v>
      </c>
      <c r="CR105">
        <v>0</v>
      </c>
      <c r="CW105">
        <v>15509210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"08/29/2020 06:11:56.205"</f>
        <v>08/29/2020 06:11:56.205</v>
      </c>
      <c r="C106" t="str">
        <f t="shared" si="3"/>
        <v>FFDFD3C0</v>
      </c>
      <c r="D106" t="s">
        <v>121</v>
      </c>
      <c r="E106">
        <v>10</v>
      </c>
      <c r="F106">
        <v>1010</v>
      </c>
      <c r="G106" t="s">
        <v>114</v>
      </c>
      <c r="J106" t="s">
        <v>123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"06:11:59.422"</f>
        <v>06:11:59.422</v>
      </c>
      <c r="T106" t="str">
        <f>"06:11:59.022"</f>
        <v>06:11:59.022</v>
      </c>
      <c r="U106" t="str">
        <f t="shared" si="4"/>
        <v>A7E2E0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0</v>
      </c>
      <c r="AI106" t="s">
        <v>178</v>
      </c>
      <c r="AJ106">
        <v>39.124546000000002</v>
      </c>
      <c r="AK106" t="s">
        <v>166</v>
      </c>
      <c r="AL106">
        <v>-87.447823999999997</v>
      </c>
      <c r="AM106">
        <v>100</v>
      </c>
      <c r="AN106">
        <v>1200</v>
      </c>
      <c r="AO106" t="s">
        <v>118</v>
      </c>
      <c r="AP106">
        <v>-2</v>
      </c>
      <c r="AQ106">
        <v>86</v>
      </c>
      <c r="AR106">
        <v>1344</v>
      </c>
      <c r="AZ106">
        <v>4552</v>
      </c>
      <c r="BA106">
        <v>1</v>
      </c>
      <c r="BB106" t="str">
        <f t="shared" si="5"/>
        <v xml:space="preserve">N607SR  </v>
      </c>
      <c r="BC106">
        <v>1</v>
      </c>
      <c r="BE106">
        <v>0</v>
      </c>
      <c r="BF106">
        <v>0</v>
      </c>
      <c r="BG106">
        <v>0</v>
      </c>
      <c r="BH106">
        <v>925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"06:11:59.424"</f>
        <v>06:11:59.424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457</v>
      </c>
      <c r="CR106">
        <v>0</v>
      </c>
      <c r="CW106">
        <v>15509210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"08/29/2020 06:11:56.766"</f>
        <v>08/29/2020 06:11:56.766</v>
      </c>
      <c r="C107" t="str">
        <f t="shared" si="3"/>
        <v>FFDFD3C0</v>
      </c>
      <c r="D107" t="s">
        <v>113</v>
      </c>
      <c r="E107">
        <v>5</v>
      </c>
      <c r="H107">
        <v>163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"06:11:59.984"</f>
        <v>06:11:59.984</v>
      </c>
      <c r="T107" t="str">
        <f>"06:11:59.484"</f>
        <v>06:11:59.484</v>
      </c>
      <c r="U107" t="str">
        <f t="shared" si="4"/>
        <v>A7E2E0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0</v>
      </c>
      <c r="AI107" t="s">
        <v>179</v>
      </c>
      <c r="AJ107">
        <v>39.124738999999998</v>
      </c>
      <c r="AK107" t="s">
        <v>166</v>
      </c>
      <c r="AL107">
        <v>-87.447823999999997</v>
      </c>
      <c r="AM107">
        <v>100</v>
      </c>
      <c r="AN107">
        <v>1200</v>
      </c>
      <c r="AO107" t="s">
        <v>118</v>
      </c>
      <c r="AP107">
        <v>-3</v>
      </c>
      <c r="AQ107">
        <v>85</v>
      </c>
      <c r="AR107">
        <v>1280</v>
      </c>
      <c r="AZ107">
        <v>4552</v>
      </c>
      <c r="BA107">
        <v>1</v>
      </c>
      <c r="BB107" t="str">
        <f t="shared" si="5"/>
        <v xml:space="preserve">N607SR  </v>
      </c>
      <c r="BC107">
        <v>1</v>
      </c>
      <c r="BE107">
        <v>0</v>
      </c>
      <c r="BF107">
        <v>0</v>
      </c>
      <c r="BG107">
        <v>0</v>
      </c>
      <c r="BH107">
        <v>950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"06:11:59.986"</f>
        <v>06:11:59.986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457</v>
      </c>
      <c r="CR107">
        <v>0</v>
      </c>
      <c r="CW107">
        <v>15509225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"08/29/2020 06:11:56.766"</f>
        <v>08/29/2020 06:11:56.766</v>
      </c>
      <c r="C108" t="str">
        <f t="shared" si="3"/>
        <v>FFDFD3C0</v>
      </c>
      <c r="D108" t="s">
        <v>128</v>
      </c>
      <c r="E108">
        <v>5</v>
      </c>
      <c r="H108">
        <v>241</v>
      </c>
      <c r="I108" t="s">
        <v>129</v>
      </c>
      <c r="J108" t="s">
        <v>130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"06:11:59.984"</f>
        <v>06:11:59.984</v>
      </c>
      <c r="T108" t="str">
        <f>"06:11:59.484"</f>
        <v>06:11:59.484</v>
      </c>
      <c r="U108" t="str">
        <f t="shared" si="4"/>
        <v>A7E2E0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0</v>
      </c>
      <c r="AI108" t="s">
        <v>179</v>
      </c>
      <c r="AJ108">
        <v>39.124738999999998</v>
      </c>
      <c r="AK108" t="s">
        <v>166</v>
      </c>
      <c r="AL108">
        <v>-87.447823999999997</v>
      </c>
      <c r="AM108">
        <v>100</v>
      </c>
      <c r="AN108">
        <v>1200</v>
      </c>
      <c r="AO108" t="s">
        <v>118</v>
      </c>
      <c r="AP108">
        <v>-3</v>
      </c>
      <c r="AQ108">
        <v>85</v>
      </c>
      <c r="AR108">
        <v>1280</v>
      </c>
      <c r="AZ108">
        <v>4552</v>
      </c>
      <c r="BA108">
        <v>1</v>
      </c>
      <c r="BB108" t="str">
        <f t="shared" si="5"/>
        <v xml:space="preserve">N607SR  </v>
      </c>
      <c r="BC108">
        <v>1</v>
      </c>
      <c r="BE108">
        <v>0</v>
      </c>
      <c r="BF108">
        <v>0</v>
      </c>
      <c r="BG108">
        <v>0</v>
      </c>
      <c r="BH108">
        <v>950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"06:11:59.986"</f>
        <v>06:11:59.986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457</v>
      </c>
      <c r="CR108">
        <v>0</v>
      </c>
      <c r="CW108">
        <v>15509225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"08/29/2020 06:11:57.225"</f>
        <v>08/29/2020 06:11:57.225</v>
      </c>
      <c r="C109" t="str">
        <f t="shared" si="3"/>
        <v>FFDFD3C0</v>
      </c>
      <c r="D109" t="s">
        <v>121</v>
      </c>
      <c r="E109">
        <v>13</v>
      </c>
      <c r="F109">
        <v>1013</v>
      </c>
      <c r="G109" t="s">
        <v>122</v>
      </c>
      <c r="J109" t="s">
        <v>123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"06:12:00.477"</f>
        <v>06:12:00.477</v>
      </c>
      <c r="T109" t="str">
        <f>"06:12:00.077"</f>
        <v>06:12:00.077</v>
      </c>
      <c r="U109" t="str">
        <f t="shared" si="4"/>
        <v>A7E2E0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0</v>
      </c>
      <c r="AI109" t="s">
        <v>180</v>
      </c>
      <c r="AJ109">
        <v>39.124910999999997</v>
      </c>
      <c r="AK109" t="s">
        <v>161</v>
      </c>
      <c r="AL109">
        <v>-87.447867000000002</v>
      </c>
      <c r="AM109">
        <v>100</v>
      </c>
      <c r="AN109">
        <v>1300</v>
      </c>
      <c r="AO109" t="s">
        <v>118</v>
      </c>
      <c r="AP109">
        <v>-3</v>
      </c>
      <c r="AQ109">
        <v>85</v>
      </c>
      <c r="AR109">
        <v>1216</v>
      </c>
      <c r="AZ109">
        <v>4552</v>
      </c>
      <c r="BA109">
        <v>1</v>
      </c>
      <c r="BB109" t="str">
        <f t="shared" si="5"/>
        <v xml:space="preserve">N607SR  </v>
      </c>
      <c r="BC109">
        <v>1</v>
      </c>
      <c r="BE109">
        <v>0</v>
      </c>
      <c r="BF109">
        <v>0</v>
      </c>
      <c r="BG109">
        <v>0</v>
      </c>
      <c r="BH109">
        <v>1050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"06:12:00.478"</f>
        <v>06:12:00.478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457</v>
      </c>
      <c r="CR109">
        <v>0</v>
      </c>
      <c r="CW109">
        <v>15509241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"08/29/2020 06:11:57.225"</f>
        <v>08/29/2020 06:11:57.225</v>
      </c>
      <c r="C110" t="str">
        <f t="shared" si="3"/>
        <v>FFDFD3C0</v>
      </c>
      <c r="D110" t="s">
        <v>121</v>
      </c>
      <c r="E110">
        <v>10</v>
      </c>
      <c r="F110">
        <v>1010</v>
      </c>
      <c r="G110" t="s">
        <v>114</v>
      </c>
      <c r="J110" t="s">
        <v>123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"06:12:00.477"</f>
        <v>06:12:00.477</v>
      </c>
      <c r="T110" t="str">
        <f>"06:12:00.077"</f>
        <v>06:12:00.077</v>
      </c>
      <c r="U110" t="str">
        <f t="shared" si="4"/>
        <v>A7E2E0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0</v>
      </c>
      <c r="AI110" t="s">
        <v>180</v>
      </c>
      <c r="AJ110">
        <v>39.124910999999997</v>
      </c>
      <c r="AK110" t="s">
        <v>161</v>
      </c>
      <c r="AL110">
        <v>-87.447867000000002</v>
      </c>
      <c r="AM110">
        <v>100</v>
      </c>
      <c r="AN110">
        <v>1300</v>
      </c>
      <c r="AO110" t="s">
        <v>118</v>
      </c>
      <c r="AP110">
        <v>-3</v>
      </c>
      <c r="AQ110">
        <v>85</v>
      </c>
      <c r="AR110">
        <v>1216</v>
      </c>
      <c r="AZ110">
        <v>4552</v>
      </c>
      <c r="BA110">
        <v>1</v>
      </c>
      <c r="BB110" t="str">
        <f t="shared" si="5"/>
        <v xml:space="preserve">N607SR  </v>
      </c>
      <c r="BC110">
        <v>1</v>
      </c>
      <c r="BE110">
        <v>0</v>
      </c>
      <c r="BF110">
        <v>0</v>
      </c>
      <c r="BG110">
        <v>0</v>
      </c>
      <c r="BH110">
        <v>1050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"06:12:00.478"</f>
        <v>06:12:00.478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457</v>
      </c>
      <c r="CR110">
        <v>0</v>
      </c>
      <c r="CW110">
        <v>15509241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"08/29/2020 06:11:57.225"</f>
        <v>08/29/2020 06:11:57.225</v>
      </c>
      <c r="C111" t="str">
        <f t="shared" si="3"/>
        <v>FFDFD3C0</v>
      </c>
      <c r="D111" t="s">
        <v>121</v>
      </c>
      <c r="E111">
        <v>11</v>
      </c>
      <c r="F111">
        <v>1011</v>
      </c>
      <c r="G111" t="s">
        <v>125</v>
      </c>
      <c r="J111" t="s">
        <v>123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"06:12:00.477"</f>
        <v>06:12:00.477</v>
      </c>
      <c r="T111" t="str">
        <f>"06:12:00.077"</f>
        <v>06:12:00.077</v>
      </c>
      <c r="U111" t="str">
        <f t="shared" si="4"/>
        <v>A7E2E0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0</v>
      </c>
      <c r="AI111" t="s">
        <v>180</v>
      </c>
      <c r="AJ111">
        <v>39.124910999999997</v>
      </c>
      <c r="AK111" t="s">
        <v>161</v>
      </c>
      <c r="AL111">
        <v>-87.447867000000002</v>
      </c>
      <c r="AM111">
        <v>100</v>
      </c>
      <c r="AN111">
        <v>1300</v>
      </c>
      <c r="AO111" t="s">
        <v>118</v>
      </c>
      <c r="AP111">
        <v>-3</v>
      </c>
      <c r="AQ111">
        <v>85</v>
      </c>
      <c r="AR111">
        <v>1216</v>
      </c>
      <c r="AZ111">
        <v>4552</v>
      </c>
      <c r="BA111">
        <v>1</v>
      </c>
      <c r="BB111" t="str">
        <f t="shared" si="5"/>
        <v xml:space="preserve">N607SR  </v>
      </c>
      <c r="BC111">
        <v>1</v>
      </c>
      <c r="BE111">
        <v>0</v>
      </c>
      <c r="BF111">
        <v>0</v>
      </c>
      <c r="BG111">
        <v>0</v>
      </c>
      <c r="BH111">
        <v>1050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"06:12:00.478"</f>
        <v>06:12:00.478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457</v>
      </c>
      <c r="CR111">
        <v>0</v>
      </c>
      <c r="CW111">
        <v>15509241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"08/29/2020 06:11:57.721"</f>
        <v>08/29/2020 06:11:57.721</v>
      </c>
      <c r="C112" t="str">
        <f t="shared" si="3"/>
        <v>FFDFD3C0</v>
      </c>
      <c r="D112" t="s">
        <v>128</v>
      </c>
      <c r="E112">
        <v>5</v>
      </c>
      <c r="H112">
        <v>241</v>
      </c>
      <c r="I112" t="s">
        <v>129</v>
      </c>
      <c r="J112" t="s">
        <v>130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"06:12:00.922"</f>
        <v>06:12:00.922</v>
      </c>
      <c r="U112" t="str">
        <f t="shared" si="4"/>
        <v>A7E2E0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0</v>
      </c>
      <c r="AI112" t="s">
        <v>181</v>
      </c>
      <c r="AJ112">
        <v>39.125104</v>
      </c>
      <c r="AK112" t="s">
        <v>163</v>
      </c>
      <c r="AL112">
        <v>-87.447889000000004</v>
      </c>
      <c r="AM112">
        <v>100</v>
      </c>
      <c r="AN112">
        <v>1300</v>
      </c>
      <c r="AO112" t="s">
        <v>118</v>
      </c>
      <c r="AP112">
        <v>-4</v>
      </c>
      <c r="AQ112">
        <v>85</v>
      </c>
      <c r="AR112">
        <v>1152</v>
      </c>
      <c r="AZ112">
        <v>4552</v>
      </c>
      <c r="BA112">
        <v>1</v>
      </c>
      <c r="BB112" t="str">
        <f t="shared" si="5"/>
        <v xml:space="preserve">N607SR  </v>
      </c>
      <c r="BC112">
        <v>1</v>
      </c>
      <c r="BE112">
        <v>0</v>
      </c>
      <c r="BF112">
        <v>0</v>
      </c>
      <c r="BG112">
        <v>0</v>
      </c>
      <c r="BH112">
        <v>975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"06:12:00.926"</f>
        <v>06:12:00.926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457</v>
      </c>
      <c r="CR112">
        <v>0</v>
      </c>
      <c r="CW112">
        <v>15509253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"08/29/2020 06:11:57.721"</f>
        <v>08/29/2020 06:11:57.721</v>
      </c>
      <c r="C113" t="str">
        <f t="shared" si="3"/>
        <v>FFDFD3C0</v>
      </c>
      <c r="D113" t="s">
        <v>113</v>
      </c>
      <c r="E113">
        <v>5</v>
      </c>
      <c r="H113">
        <v>163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"06:12:00.922"</f>
        <v>06:12:00.922</v>
      </c>
      <c r="U113" t="str">
        <f t="shared" si="4"/>
        <v>A7E2E0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0</v>
      </c>
      <c r="AI113" t="s">
        <v>181</v>
      </c>
      <c r="AJ113">
        <v>39.125104</v>
      </c>
      <c r="AK113" t="s">
        <v>163</v>
      </c>
      <c r="AL113">
        <v>-87.447889000000004</v>
      </c>
      <c r="AM113">
        <v>100</v>
      </c>
      <c r="AN113">
        <v>1300</v>
      </c>
      <c r="AO113" t="s">
        <v>118</v>
      </c>
      <c r="AP113">
        <v>-4</v>
      </c>
      <c r="AQ113">
        <v>85</v>
      </c>
      <c r="AR113">
        <v>1152</v>
      </c>
      <c r="AZ113">
        <v>4552</v>
      </c>
      <c r="BA113">
        <v>1</v>
      </c>
      <c r="BB113" t="str">
        <f t="shared" si="5"/>
        <v xml:space="preserve">N607SR  </v>
      </c>
      <c r="BC113">
        <v>1</v>
      </c>
      <c r="BE113">
        <v>0</v>
      </c>
      <c r="BF113">
        <v>0</v>
      </c>
      <c r="BG113">
        <v>0</v>
      </c>
      <c r="BH113">
        <v>975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"06:12:00.926"</f>
        <v>06:12:00.926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457</v>
      </c>
      <c r="CR113">
        <v>0</v>
      </c>
      <c r="CW113">
        <v>15509253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"08/29/2020 06:11:58.184"</f>
        <v>08/29/2020 06:11:58.184</v>
      </c>
      <c r="C114" t="str">
        <f t="shared" si="3"/>
        <v>FFDFD3C0</v>
      </c>
      <c r="D114" t="s">
        <v>121</v>
      </c>
      <c r="E114">
        <v>11</v>
      </c>
      <c r="F114">
        <v>1011</v>
      </c>
      <c r="G114" t="s">
        <v>125</v>
      </c>
      <c r="J114" t="s">
        <v>123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"06:12:01.391"</f>
        <v>06:12:01.391</v>
      </c>
      <c r="T114" t="str">
        <f>"06:12:00.991"</f>
        <v>06:12:00.991</v>
      </c>
      <c r="U114" t="str">
        <f t="shared" si="4"/>
        <v>A7E2E0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0</v>
      </c>
      <c r="AI114" t="s">
        <v>182</v>
      </c>
      <c r="AJ114">
        <v>39.125340000000001</v>
      </c>
      <c r="AK114" t="s">
        <v>161</v>
      </c>
      <c r="AL114">
        <v>-87.447867000000002</v>
      </c>
      <c r="AM114">
        <v>100</v>
      </c>
      <c r="AN114">
        <v>1300</v>
      </c>
      <c r="AO114" t="s">
        <v>118</v>
      </c>
      <c r="AP114">
        <v>-4</v>
      </c>
      <c r="AQ114">
        <v>85</v>
      </c>
      <c r="AR114">
        <v>1152</v>
      </c>
      <c r="AZ114">
        <v>4552</v>
      </c>
      <c r="BA114">
        <v>1</v>
      </c>
      <c r="BB114" t="str">
        <f t="shared" si="5"/>
        <v xml:space="preserve">N607SR  </v>
      </c>
      <c r="BC114">
        <v>1</v>
      </c>
      <c r="BE114">
        <v>0</v>
      </c>
      <c r="BF114">
        <v>0</v>
      </c>
      <c r="BG114">
        <v>0</v>
      </c>
      <c r="BH114">
        <v>975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"06:12:01.398"</f>
        <v>06:12:01.398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457</v>
      </c>
      <c r="CR114">
        <v>0</v>
      </c>
      <c r="CW114">
        <v>15509266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"08/29/2020 06:11:58.184"</f>
        <v>08/29/2020 06:11:58.184</v>
      </c>
      <c r="C115" t="str">
        <f t="shared" si="3"/>
        <v>FFDFD3C0</v>
      </c>
      <c r="D115" t="s">
        <v>121</v>
      </c>
      <c r="E115">
        <v>13</v>
      </c>
      <c r="F115">
        <v>1013</v>
      </c>
      <c r="G115" t="s">
        <v>122</v>
      </c>
      <c r="J115" t="s">
        <v>123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"06:12:01.391"</f>
        <v>06:12:01.391</v>
      </c>
      <c r="T115" t="str">
        <f>"06:12:00.991"</f>
        <v>06:12:00.991</v>
      </c>
      <c r="U115" t="str">
        <f t="shared" si="4"/>
        <v>A7E2E0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0</v>
      </c>
      <c r="AI115" t="s">
        <v>182</v>
      </c>
      <c r="AJ115">
        <v>39.125340000000001</v>
      </c>
      <c r="AK115" t="s">
        <v>161</v>
      </c>
      <c r="AL115">
        <v>-87.447867000000002</v>
      </c>
      <c r="AM115">
        <v>100</v>
      </c>
      <c r="AN115">
        <v>1300</v>
      </c>
      <c r="AO115" t="s">
        <v>118</v>
      </c>
      <c r="AP115">
        <v>-4</v>
      </c>
      <c r="AQ115">
        <v>85</v>
      </c>
      <c r="AR115">
        <v>1152</v>
      </c>
      <c r="AZ115">
        <v>4552</v>
      </c>
      <c r="BA115">
        <v>1</v>
      </c>
      <c r="BB115" t="str">
        <f t="shared" si="5"/>
        <v xml:space="preserve">N607SR  </v>
      </c>
      <c r="BC115">
        <v>1</v>
      </c>
      <c r="BE115">
        <v>0</v>
      </c>
      <c r="BF115">
        <v>0</v>
      </c>
      <c r="BG115">
        <v>0</v>
      </c>
      <c r="BH115">
        <v>975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"06:12:01.398"</f>
        <v>06:12:01.398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457</v>
      </c>
      <c r="CR115">
        <v>0</v>
      </c>
      <c r="CW115">
        <v>15509266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"08/29/2020 06:11:58.184"</f>
        <v>08/29/2020 06:11:58.184</v>
      </c>
      <c r="C116" t="str">
        <f t="shared" si="3"/>
        <v>FFDFD3C0</v>
      </c>
      <c r="D116" t="s">
        <v>121</v>
      </c>
      <c r="E116">
        <v>10</v>
      </c>
      <c r="F116">
        <v>1010</v>
      </c>
      <c r="G116" t="s">
        <v>114</v>
      </c>
      <c r="J116" t="s">
        <v>123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"06:12:01.391"</f>
        <v>06:12:01.391</v>
      </c>
      <c r="T116" t="str">
        <f>"06:12:00.991"</f>
        <v>06:12:00.991</v>
      </c>
      <c r="U116" t="str">
        <f t="shared" si="4"/>
        <v>A7E2E0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0</v>
      </c>
      <c r="AI116" t="s">
        <v>182</v>
      </c>
      <c r="AJ116">
        <v>39.125340000000001</v>
      </c>
      <c r="AK116" t="s">
        <v>161</v>
      </c>
      <c r="AL116">
        <v>-87.447867000000002</v>
      </c>
      <c r="AM116">
        <v>100</v>
      </c>
      <c r="AN116">
        <v>1300</v>
      </c>
      <c r="AO116" t="s">
        <v>118</v>
      </c>
      <c r="AP116">
        <v>-4</v>
      </c>
      <c r="AQ116">
        <v>85</v>
      </c>
      <c r="AR116">
        <v>1152</v>
      </c>
      <c r="AZ116">
        <v>4552</v>
      </c>
      <c r="BA116">
        <v>1</v>
      </c>
      <c r="BB116" t="str">
        <f t="shared" si="5"/>
        <v xml:space="preserve">N607SR  </v>
      </c>
      <c r="BC116">
        <v>1</v>
      </c>
      <c r="BE116">
        <v>0</v>
      </c>
      <c r="BF116">
        <v>0</v>
      </c>
      <c r="BG116">
        <v>0</v>
      </c>
      <c r="BH116">
        <v>975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"06:12:01.398"</f>
        <v>06:12:01.398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457</v>
      </c>
      <c r="CR116">
        <v>0</v>
      </c>
      <c r="CW116">
        <v>15509266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"08/29/2020 06:11:58.681"</f>
        <v>08/29/2020 06:11:58.681</v>
      </c>
      <c r="C117" t="str">
        <f t="shared" si="3"/>
        <v>FFDFD3C0</v>
      </c>
      <c r="D117" t="s">
        <v>128</v>
      </c>
      <c r="E117">
        <v>5</v>
      </c>
      <c r="H117">
        <v>241</v>
      </c>
      <c r="I117" t="s">
        <v>129</v>
      </c>
      <c r="J117" t="s">
        <v>130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"06:12:01.898"</f>
        <v>06:12:01.898</v>
      </c>
      <c r="T117" t="str">
        <f>"06:12:01.498"</f>
        <v>06:12:01.498</v>
      </c>
      <c r="U117" t="str">
        <f t="shared" si="4"/>
        <v>A7E2E0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0</v>
      </c>
      <c r="AI117" t="s">
        <v>183</v>
      </c>
      <c r="AJ117">
        <v>39.125512000000001</v>
      </c>
      <c r="AK117" t="s">
        <v>163</v>
      </c>
      <c r="AL117">
        <v>-87.447889000000004</v>
      </c>
      <c r="AM117">
        <v>100</v>
      </c>
      <c r="AN117">
        <v>1300</v>
      </c>
      <c r="AO117" t="s">
        <v>118</v>
      </c>
      <c r="AP117">
        <v>-5</v>
      </c>
      <c r="AQ117">
        <v>85</v>
      </c>
      <c r="AR117">
        <v>1152</v>
      </c>
      <c r="AZ117">
        <v>4552</v>
      </c>
      <c r="BA117">
        <v>1</v>
      </c>
      <c r="BB117" t="str">
        <f t="shared" si="5"/>
        <v xml:space="preserve">N607SR  </v>
      </c>
      <c r="BC117">
        <v>1</v>
      </c>
      <c r="BE117">
        <v>0</v>
      </c>
      <c r="BF117">
        <v>0</v>
      </c>
      <c r="BG117">
        <v>0</v>
      </c>
      <c r="BH117">
        <v>1000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"06:12:01.903"</f>
        <v>06:12:01.903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457</v>
      </c>
      <c r="CR117">
        <v>0</v>
      </c>
      <c r="CW117">
        <v>15509285</v>
      </c>
      <c r="CY117">
        <v>1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"08/29/2020 06:11:58.681"</f>
        <v>08/29/2020 06:11:58.681</v>
      </c>
      <c r="C118" t="str">
        <f t="shared" si="3"/>
        <v>FFDFD3C0</v>
      </c>
      <c r="D118" t="s">
        <v>113</v>
      </c>
      <c r="E118">
        <v>5</v>
      </c>
      <c r="H118">
        <v>163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"06:12:01.898"</f>
        <v>06:12:01.898</v>
      </c>
      <c r="T118" t="str">
        <f>"06:12:01.498"</f>
        <v>06:12:01.498</v>
      </c>
      <c r="U118" t="str">
        <f t="shared" si="4"/>
        <v>A7E2E0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0</v>
      </c>
      <c r="AI118" t="s">
        <v>183</v>
      </c>
      <c r="AJ118">
        <v>39.125512000000001</v>
      </c>
      <c r="AK118" t="s">
        <v>163</v>
      </c>
      <c r="AL118">
        <v>-87.447889000000004</v>
      </c>
      <c r="AM118">
        <v>100</v>
      </c>
      <c r="AN118">
        <v>1300</v>
      </c>
      <c r="AO118" t="s">
        <v>118</v>
      </c>
      <c r="AP118">
        <v>-5</v>
      </c>
      <c r="AQ118">
        <v>85</v>
      </c>
      <c r="AR118">
        <v>1152</v>
      </c>
      <c r="AZ118">
        <v>4552</v>
      </c>
      <c r="BA118">
        <v>1</v>
      </c>
      <c r="BB118" t="str">
        <f t="shared" si="5"/>
        <v xml:space="preserve">N607SR  </v>
      </c>
      <c r="BC118">
        <v>1</v>
      </c>
      <c r="BE118">
        <v>0</v>
      </c>
      <c r="BF118">
        <v>0</v>
      </c>
      <c r="BG118">
        <v>0</v>
      </c>
      <c r="BH118">
        <v>1000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"06:12:01.903"</f>
        <v>06:12:01.903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457</v>
      </c>
      <c r="CR118">
        <v>0</v>
      </c>
      <c r="CW118">
        <v>15509285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"08/29/2020 06:11:59.198"</f>
        <v>08/29/2020 06:11:59.198</v>
      </c>
      <c r="C119" t="str">
        <f t="shared" si="3"/>
        <v>FFDFD3C0</v>
      </c>
      <c r="D119" t="s">
        <v>121</v>
      </c>
      <c r="E119">
        <v>11</v>
      </c>
      <c r="F119">
        <v>1011</v>
      </c>
      <c r="G119" t="s">
        <v>125</v>
      </c>
      <c r="J119" t="s">
        <v>123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"06:12:02.422"</f>
        <v>06:12:02.422</v>
      </c>
      <c r="T119" t="str">
        <f>"06:12:01.922"</f>
        <v>06:12:01.922</v>
      </c>
      <c r="U119" t="str">
        <f t="shared" si="4"/>
        <v>A7E2E0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0</v>
      </c>
      <c r="AI119" t="s">
        <v>184</v>
      </c>
      <c r="AJ119">
        <v>39.125705000000004</v>
      </c>
      <c r="AK119" t="s">
        <v>156</v>
      </c>
      <c r="AL119">
        <v>-87.447931999999994</v>
      </c>
      <c r="AM119">
        <v>100</v>
      </c>
      <c r="AN119">
        <v>1300</v>
      </c>
      <c r="AO119" t="s">
        <v>118</v>
      </c>
      <c r="AP119">
        <v>-5</v>
      </c>
      <c r="AQ119">
        <v>85</v>
      </c>
      <c r="AR119">
        <v>1152</v>
      </c>
      <c r="AZ119">
        <v>4552</v>
      </c>
      <c r="BA119">
        <v>1</v>
      </c>
      <c r="BB119" t="str">
        <f t="shared" si="5"/>
        <v xml:space="preserve">N607SR  </v>
      </c>
      <c r="BC119">
        <v>1</v>
      </c>
      <c r="BE119">
        <v>0</v>
      </c>
      <c r="BF119">
        <v>0</v>
      </c>
      <c r="BG119">
        <v>0</v>
      </c>
      <c r="BH119">
        <v>1000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"06:12:02.426"</f>
        <v>06:12:02.426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457</v>
      </c>
      <c r="CR119">
        <v>0</v>
      </c>
      <c r="CW119">
        <v>15509299</v>
      </c>
      <c r="CY119">
        <v>1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"08/29/2020 06:11:59.198"</f>
        <v>08/29/2020 06:11:59.198</v>
      </c>
      <c r="C120" t="str">
        <f t="shared" si="3"/>
        <v>FFDFD3C0</v>
      </c>
      <c r="D120" t="s">
        <v>121</v>
      </c>
      <c r="E120">
        <v>13</v>
      </c>
      <c r="F120">
        <v>1013</v>
      </c>
      <c r="G120" t="s">
        <v>122</v>
      </c>
      <c r="J120" t="s">
        <v>123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"06:12:02.422"</f>
        <v>06:12:02.422</v>
      </c>
      <c r="T120" t="str">
        <f>"06:12:01.922"</f>
        <v>06:12:01.922</v>
      </c>
      <c r="U120" t="str">
        <f t="shared" si="4"/>
        <v>A7E2E0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0</v>
      </c>
      <c r="AI120" t="s">
        <v>184</v>
      </c>
      <c r="AJ120">
        <v>39.125705000000004</v>
      </c>
      <c r="AK120" t="s">
        <v>156</v>
      </c>
      <c r="AL120">
        <v>-87.447931999999994</v>
      </c>
      <c r="AM120">
        <v>100</v>
      </c>
      <c r="AN120">
        <v>1300</v>
      </c>
      <c r="AO120" t="s">
        <v>118</v>
      </c>
      <c r="AP120">
        <v>-5</v>
      </c>
      <c r="AQ120">
        <v>85</v>
      </c>
      <c r="AR120">
        <v>1152</v>
      </c>
      <c r="AZ120">
        <v>4552</v>
      </c>
      <c r="BA120">
        <v>1</v>
      </c>
      <c r="BB120" t="str">
        <f t="shared" si="5"/>
        <v xml:space="preserve">N607SR  </v>
      </c>
      <c r="BC120">
        <v>1</v>
      </c>
      <c r="BE120">
        <v>0</v>
      </c>
      <c r="BF120">
        <v>0</v>
      </c>
      <c r="BG120">
        <v>0</v>
      </c>
      <c r="BH120">
        <v>1000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"06:12:02.426"</f>
        <v>06:12:02.426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457</v>
      </c>
      <c r="CR120">
        <v>0</v>
      </c>
      <c r="CW120">
        <v>15509299</v>
      </c>
      <c r="CY120">
        <v>1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"08/29/2020 06:11:59.198"</f>
        <v>08/29/2020 06:11:59.198</v>
      </c>
      <c r="C121" t="str">
        <f t="shared" si="3"/>
        <v>FFDFD3C0</v>
      </c>
      <c r="D121" t="s">
        <v>121</v>
      </c>
      <c r="E121">
        <v>10</v>
      </c>
      <c r="F121">
        <v>1010</v>
      </c>
      <c r="G121" t="s">
        <v>114</v>
      </c>
      <c r="J121" t="s">
        <v>123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"06:12:02.422"</f>
        <v>06:12:02.422</v>
      </c>
      <c r="T121" t="str">
        <f>"06:12:01.922"</f>
        <v>06:12:01.922</v>
      </c>
      <c r="U121" t="str">
        <f t="shared" si="4"/>
        <v>A7E2E0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0</v>
      </c>
      <c r="AI121" t="s">
        <v>184</v>
      </c>
      <c r="AJ121">
        <v>39.125705000000004</v>
      </c>
      <c r="AK121" t="s">
        <v>156</v>
      </c>
      <c r="AL121">
        <v>-87.447931999999994</v>
      </c>
      <c r="AM121">
        <v>100</v>
      </c>
      <c r="AN121">
        <v>1300</v>
      </c>
      <c r="AO121" t="s">
        <v>118</v>
      </c>
      <c r="AP121">
        <v>-5</v>
      </c>
      <c r="AQ121">
        <v>85</v>
      </c>
      <c r="AR121">
        <v>1152</v>
      </c>
      <c r="AZ121">
        <v>4552</v>
      </c>
      <c r="BA121">
        <v>1</v>
      </c>
      <c r="BB121" t="str">
        <f t="shared" si="5"/>
        <v xml:space="preserve">N607SR  </v>
      </c>
      <c r="BC121">
        <v>1</v>
      </c>
      <c r="BE121">
        <v>0</v>
      </c>
      <c r="BF121">
        <v>0</v>
      </c>
      <c r="BG121">
        <v>0</v>
      </c>
      <c r="BH121">
        <v>1000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"06:12:02.426"</f>
        <v>06:12:02.426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457</v>
      </c>
      <c r="CR121">
        <v>0</v>
      </c>
      <c r="CW121">
        <v>15509299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"08/29/2020 06:11:59.594"</f>
        <v>08/29/2020 06:11:59.594</v>
      </c>
      <c r="C122" t="str">
        <f t="shared" si="3"/>
        <v>FFDFD3C0</v>
      </c>
      <c r="D122" t="s">
        <v>128</v>
      </c>
      <c r="E122">
        <v>5</v>
      </c>
      <c r="H122">
        <v>241</v>
      </c>
      <c r="I122" t="s">
        <v>129</v>
      </c>
      <c r="J122" t="s">
        <v>130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"06:12:02.828"</f>
        <v>06:12:02.828</v>
      </c>
      <c r="T122" t="str">
        <f>"06:12:02.428"</f>
        <v>06:12:02.428</v>
      </c>
      <c r="U122" t="str">
        <f t="shared" si="4"/>
        <v>A7E2E0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0</v>
      </c>
      <c r="AI122" t="s">
        <v>185</v>
      </c>
      <c r="AJ122">
        <v>39.125855000000001</v>
      </c>
      <c r="AK122" t="s">
        <v>156</v>
      </c>
      <c r="AL122">
        <v>-87.447931999999994</v>
      </c>
      <c r="AM122">
        <v>100</v>
      </c>
      <c r="AN122">
        <v>1300</v>
      </c>
      <c r="AO122" t="s">
        <v>118</v>
      </c>
      <c r="AP122">
        <v>-6</v>
      </c>
      <c r="AQ122">
        <v>85</v>
      </c>
      <c r="AR122">
        <v>1152</v>
      </c>
      <c r="AZ122">
        <v>4552</v>
      </c>
      <c r="BA122">
        <v>1</v>
      </c>
      <c r="BB122" t="str">
        <f t="shared" si="5"/>
        <v xml:space="preserve">N607SR  </v>
      </c>
      <c r="BC122">
        <v>1</v>
      </c>
      <c r="BE122">
        <v>0</v>
      </c>
      <c r="BF122">
        <v>0</v>
      </c>
      <c r="BG122">
        <v>0</v>
      </c>
      <c r="BH122">
        <v>1000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"06:12:02.834"</f>
        <v>06:12:02.834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457</v>
      </c>
      <c r="CR122">
        <v>0</v>
      </c>
      <c r="CW122">
        <v>15509314</v>
      </c>
      <c r="CY122">
        <v>1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"08/29/2020 06:11:59.594"</f>
        <v>08/29/2020 06:11:59.594</v>
      </c>
      <c r="C123" t="str">
        <f t="shared" si="3"/>
        <v>FFDFD3C0</v>
      </c>
      <c r="D123" t="s">
        <v>113</v>
      </c>
      <c r="E123">
        <v>5</v>
      </c>
      <c r="H123">
        <v>163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"06:12:02.828"</f>
        <v>06:12:02.828</v>
      </c>
      <c r="T123" t="str">
        <f>"06:12:02.428"</f>
        <v>06:12:02.428</v>
      </c>
      <c r="U123" t="str">
        <f t="shared" si="4"/>
        <v>A7E2E0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0</v>
      </c>
      <c r="AI123" t="s">
        <v>185</v>
      </c>
      <c r="AJ123">
        <v>39.125855000000001</v>
      </c>
      <c r="AK123" t="s">
        <v>156</v>
      </c>
      <c r="AL123">
        <v>-87.447931999999994</v>
      </c>
      <c r="AM123">
        <v>100</v>
      </c>
      <c r="AN123">
        <v>1300</v>
      </c>
      <c r="AO123" t="s">
        <v>118</v>
      </c>
      <c r="AP123">
        <v>-6</v>
      </c>
      <c r="AQ123">
        <v>85</v>
      </c>
      <c r="AR123">
        <v>1152</v>
      </c>
      <c r="AZ123">
        <v>4552</v>
      </c>
      <c r="BA123">
        <v>1</v>
      </c>
      <c r="BB123" t="str">
        <f t="shared" si="5"/>
        <v xml:space="preserve">N607SR  </v>
      </c>
      <c r="BC123">
        <v>1</v>
      </c>
      <c r="BE123">
        <v>0</v>
      </c>
      <c r="BF123">
        <v>0</v>
      </c>
      <c r="BG123">
        <v>0</v>
      </c>
      <c r="BH123">
        <v>1000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"06:12:02.834"</f>
        <v>06:12:02.834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457</v>
      </c>
      <c r="CR123">
        <v>0</v>
      </c>
      <c r="CW123">
        <v>15509314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"08/29/2020 06:12:00.214"</f>
        <v>08/29/2020 06:12:00.214</v>
      </c>
      <c r="C124" t="str">
        <f t="shared" si="3"/>
        <v>FFDFD3C0</v>
      </c>
      <c r="D124" t="s">
        <v>121</v>
      </c>
      <c r="E124">
        <v>13</v>
      </c>
      <c r="F124">
        <v>1013</v>
      </c>
      <c r="G124" t="s">
        <v>122</v>
      </c>
      <c r="J124" t="s">
        <v>123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"06:12:03.414"</f>
        <v>06:12:03.414</v>
      </c>
      <c r="T124" t="str">
        <f>"06:12:02.914"</f>
        <v>06:12:02.914</v>
      </c>
      <c r="U124" t="str">
        <f t="shared" si="4"/>
        <v>A7E2E0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0</v>
      </c>
      <c r="AI124" t="s">
        <v>186</v>
      </c>
      <c r="AJ124">
        <v>39.126134</v>
      </c>
      <c r="AK124" t="s">
        <v>156</v>
      </c>
      <c r="AL124">
        <v>-87.447931999999994</v>
      </c>
      <c r="AM124">
        <v>100</v>
      </c>
      <c r="AN124">
        <v>1300</v>
      </c>
      <c r="AO124" t="s">
        <v>118</v>
      </c>
      <c r="AP124">
        <v>-6</v>
      </c>
      <c r="AQ124">
        <v>85</v>
      </c>
      <c r="AR124">
        <v>1152</v>
      </c>
      <c r="AZ124">
        <v>4552</v>
      </c>
      <c r="BA124">
        <v>1</v>
      </c>
      <c r="BB124" t="str">
        <f t="shared" si="5"/>
        <v xml:space="preserve">N607SR  </v>
      </c>
      <c r="BC124">
        <v>1</v>
      </c>
      <c r="BE124">
        <v>0</v>
      </c>
      <c r="BF124">
        <v>0</v>
      </c>
      <c r="BG124">
        <v>0</v>
      </c>
      <c r="BH124">
        <v>1025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"06:12:03.415"</f>
        <v>06:12:03.415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6</v>
      </c>
      <c r="CP124" t="s">
        <v>119</v>
      </c>
      <c r="CQ124">
        <v>457</v>
      </c>
      <c r="CR124">
        <v>0</v>
      </c>
      <c r="CW124">
        <v>15509326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"08/29/2020 06:12:00.214"</f>
        <v>08/29/2020 06:12:00.214</v>
      </c>
      <c r="C125" t="str">
        <f t="shared" si="3"/>
        <v>FFDFD3C0</v>
      </c>
      <c r="D125" t="s">
        <v>121</v>
      </c>
      <c r="E125">
        <v>11</v>
      </c>
      <c r="F125">
        <v>1011</v>
      </c>
      <c r="G125" t="s">
        <v>125</v>
      </c>
      <c r="J125" t="s">
        <v>123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"06:12:03.414"</f>
        <v>06:12:03.414</v>
      </c>
      <c r="T125" t="str">
        <f>"06:12:02.914"</f>
        <v>06:12:02.914</v>
      </c>
      <c r="U125" t="str">
        <f t="shared" si="4"/>
        <v>A7E2E0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0</v>
      </c>
      <c r="AI125" t="s">
        <v>186</v>
      </c>
      <c r="AJ125">
        <v>39.126134</v>
      </c>
      <c r="AK125" t="s">
        <v>156</v>
      </c>
      <c r="AL125">
        <v>-87.447931999999994</v>
      </c>
      <c r="AM125">
        <v>100</v>
      </c>
      <c r="AN125">
        <v>1300</v>
      </c>
      <c r="AO125" t="s">
        <v>118</v>
      </c>
      <c r="AP125">
        <v>-6</v>
      </c>
      <c r="AQ125">
        <v>85</v>
      </c>
      <c r="AR125">
        <v>1152</v>
      </c>
      <c r="AZ125">
        <v>4552</v>
      </c>
      <c r="BA125">
        <v>1</v>
      </c>
      <c r="BB125" t="str">
        <f t="shared" si="5"/>
        <v xml:space="preserve">N607SR  </v>
      </c>
      <c r="BC125">
        <v>1</v>
      </c>
      <c r="BE125">
        <v>0</v>
      </c>
      <c r="BF125">
        <v>0</v>
      </c>
      <c r="BG125">
        <v>0</v>
      </c>
      <c r="BH125">
        <v>1025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"06:12:03.415"</f>
        <v>06:12:03.415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6</v>
      </c>
      <c r="CP125" t="s">
        <v>119</v>
      </c>
      <c r="CQ125">
        <v>457</v>
      </c>
      <c r="CR125">
        <v>0</v>
      </c>
      <c r="CW125">
        <v>15509326</v>
      </c>
      <c r="CY125">
        <v>1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"08/29/2020 06:12:00.214"</f>
        <v>08/29/2020 06:12:00.214</v>
      </c>
      <c r="C126" t="str">
        <f t="shared" si="3"/>
        <v>FFDFD3C0</v>
      </c>
      <c r="D126" t="s">
        <v>121</v>
      </c>
      <c r="E126">
        <v>10</v>
      </c>
      <c r="F126">
        <v>1010</v>
      </c>
      <c r="G126" t="s">
        <v>114</v>
      </c>
      <c r="J126" t="s">
        <v>123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"06:12:03.414"</f>
        <v>06:12:03.414</v>
      </c>
      <c r="T126" t="str">
        <f>"06:12:02.914"</f>
        <v>06:12:02.914</v>
      </c>
      <c r="U126" t="str">
        <f t="shared" si="4"/>
        <v>A7E2E0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0</v>
      </c>
      <c r="AI126" t="s">
        <v>186</v>
      </c>
      <c r="AJ126">
        <v>39.126134</v>
      </c>
      <c r="AK126" t="s">
        <v>156</v>
      </c>
      <c r="AL126">
        <v>-87.447931999999994</v>
      </c>
      <c r="AM126">
        <v>100</v>
      </c>
      <c r="AN126">
        <v>1300</v>
      </c>
      <c r="AO126" t="s">
        <v>118</v>
      </c>
      <c r="AP126">
        <v>-6</v>
      </c>
      <c r="AQ126">
        <v>85</v>
      </c>
      <c r="AR126">
        <v>1152</v>
      </c>
      <c r="AZ126">
        <v>4552</v>
      </c>
      <c r="BA126">
        <v>1</v>
      </c>
      <c r="BB126" t="str">
        <f t="shared" si="5"/>
        <v xml:space="preserve">N607SR  </v>
      </c>
      <c r="BC126">
        <v>1</v>
      </c>
      <c r="BE126">
        <v>0</v>
      </c>
      <c r="BF126">
        <v>0</v>
      </c>
      <c r="BG126">
        <v>0</v>
      </c>
      <c r="BH126">
        <v>1025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"06:12:03.415"</f>
        <v>06:12:03.415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457</v>
      </c>
      <c r="CR126">
        <v>0</v>
      </c>
      <c r="CW126">
        <v>15509326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"08/29/2020 06:12:00.766"</f>
        <v>08/29/2020 06:12:00.766</v>
      </c>
      <c r="C127" t="str">
        <f t="shared" si="3"/>
        <v>FFDFD3C0</v>
      </c>
      <c r="D127" t="s">
        <v>113</v>
      </c>
      <c r="E127">
        <v>5</v>
      </c>
      <c r="H127">
        <v>163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"06:12:04.000"</f>
        <v>06:12:04.000</v>
      </c>
      <c r="U127" t="str">
        <f t="shared" si="4"/>
        <v>A7E2E0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0</v>
      </c>
      <c r="AI127" t="s">
        <v>187</v>
      </c>
      <c r="AJ127">
        <v>39.126370000000001</v>
      </c>
      <c r="AK127" t="s">
        <v>153</v>
      </c>
      <c r="AL127">
        <v>-87.447996000000003</v>
      </c>
      <c r="AM127">
        <v>100</v>
      </c>
      <c r="AN127">
        <v>1300</v>
      </c>
      <c r="AO127" t="s">
        <v>118</v>
      </c>
      <c r="AP127">
        <v>-7</v>
      </c>
      <c r="AQ127">
        <v>86</v>
      </c>
      <c r="AR127">
        <v>1024</v>
      </c>
      <c r="AZ127">
        <v>4552</v>
      </c>
      <c r="BA127">
        <v>1</v>
      </c>
      <c r="BB127" t="str">
        <f t="shared" si="5"/>
        <v xml:space="preserve">N607SR  </v>
      </c>
      <c r="BC127">
        <v>1</v>
      </c>
      <c r="BE127">
        <v>0</v>
      </c>
      <c r="BF127">
        <v>0</v>
      </c>
      <c r="BG127">
        <v>0</v>
      </c>
      <c r="BH127">
        <v>1050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"06:12:04.000"</f>
        <v>06:12:04.000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6</v>
      </c>
      <c r="CP127" t="s">
        <v>119</v>
      </c>
      <c r="CQ127">
        <v>457</v>
      </c>
      <c r="CR127">
        <v>0</v>
      </c>
      <c r="CW127">
        <v>15509339</v>
      </c>
      <c r="CY127">
        <v>1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"08/29/2020 06:12:00.766"</f>
        <v>08/29/2020 06:12:00.766</v>
      </c>
      <c r="C128" t="str">
        <f t="shared" si="3"/>
        <v>FFDFD3C0</v>
      </c>
      <c r="D128" t="s">
        <v>128</v>
      </c>
      <c r="E128">
        <v>5</v>
      </c>
      <c r="H128">
        <v>241</v>
      </c>
      <c r="I128" t="s">
        <v>129</v>
      </c>
      <c r="J128" t="s">
        <v>130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"06:12:04.000"</f>
        <v>06:12:04.000</v>
      </c>
      <c r="U128" t="str">
        <f t="shared" si="4"/>
        <v>A7E2E0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0</v>
      </c>
      <c r="AI128" t="s">
        <v>187</v>
      </c>
      <c r="AJ128">
        <v>39.126370000000001</v>
      </c>
      <c r="AK128" t="s">
        <v>153</v>
      </c>
      <c r="AL128">
        <v>-87.447996000000003</v>
      </c>
      <c r="AM128">
        <v>100</v>
      </c>
      <c r="AN128">
        <v>1300</v>
      </c>
      <c r="AO128" t="s">
        <v>118</v>
      </c>
      <c r="AP128">
        <v>-7</v>
      </c>
      <c r="AQ128">
        <v>86</v>
      </c>
      <c r="AR128">
        <v>1024</v>
      </c>
      <c r="AZ128">
        <v>4552</v>
      </c>
      <c r="BA128">
        <v>1</v>
      </c>
      <c r="BB128" t="str">
        <f t="shared" si="5"/>
        <v xml:space="preserve">N607SR  </v>
      </c>
      <c r="BC128">
        <v>1</v>
      </c>
      <c r="BE128">
        <v>0</v>
      </c>
      <c r="BF128">
        <v>0</v>
      </c>
      <c r="BG128">
        <v>0</v>
      </c>
      <c r="BH128">
        <v>1050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"06:12:04.000"</f>
        <v>06:12:04.000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119</v>
      </c>
      <c r="CQ128">
        <v>457</v>
      </c>
      <c r="CR128">
        <v>0</v>
      </c>
      <c r="CW128">
        <v>15509339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"08/29/2020 06:12:01.329"</f>
        <v>08/29/2020 06:12:01.329</v>
      </c>
      <c r="C129" t="str">
        <f t="shared" si="3"/>
        <v>FFDFD3C0</v>
      </c>
      <c r="D129" t="s">
        <v>121</v>
      </c>
      <c r="E129">
        <v>13</v>
      </c>
      <c r="F129">
        <v>1013</v>
      </c>
      <c r="G129" t="s">
        <v>122</v>
      </c>
      <c r="J129" t="s">
        <v>123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"06:12:04.523"</f>
        <v>06:12:04.523</v>
      </c>
      <c r="T129" t="str">
        <f>"06:12:04.023"</f>
        <v>06:12:04.023</v>
      </c>
      <c r="U129" t="str">
        <f t="shared" si="4"/>
        <v>A7E2E0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0</v>
      </c>
      <c r="AI129" t="s">
        <v>188</v>
      </c>
      <c r="AJ129">
        <v>39.126519999999999</v>
      </c>
      <c r="AK129" t="s">
        <v>189</v>
      </c>
      <c r="AL129">
        <v>-87.448018000000005</v>
      </c>
      <c r="AM129">
        <v>100</v>
      </c>
      <c r="AN129">
        <v>1300</v>
      </c>
      <c r="AO129" t="s">
        <v>118</v>
      </c>
      <c r="AP129">
        <v>-7</v>
      </c>
      <c r="AQ129">
        <v>86</v>
      </c>
      <c r="AR129">
        <v>1024</v>
      </c>
      <c r="AZ129">
        <v>4552</v>
      </c>
      <c r="BA129">
        <v>1</v>
      </c>
      <c r="BB129" t="str">
        <f t="shared" si="5"/>
        <v xml:space="preserve">N607SR  </v>
      </c>
      <c r="BC129">
        <v>1</v>
      </c>
      <c r="BE129">
        <v>0</v>
      </c>
      <c r="BF129">
        <v>0</v>
      </c>
      <c r="BG129">
        <v>0</v>
      </c>
      <c r="BH129">
        <v>1050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"06:12:04.526"</f>
        <v>06:12:04.526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119</v>
      </c>
      <c r="CQ129">
        <v>457</v>
      </c>
      <c r="CR129">
        <v>0</v>
      </c>
      <c r="CW129">
        <v>15509358</v>
      </c>
      <c r="CY129">
        <v>1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"08/29/2020 06:12:01.329"</f>
        <v>08/29/2020 06:12:01.329</v>
      </c>
      <c r="C130" t="str">
        <f t="shared" ref="C130:C193" si="6">"FFDFD3C0"</f>
        <v>FFDFD3C0</v>
      </c>
      <c r="D130" t="s">
        <v>121</v>
      </c>
      <c r="E130">
        <v>11</v>
      </c>
      <c r="F130">
        <v>1011</v>
      </c>
      <c r="G130" t="s">
        <v>125</v>
      </c>
      <c r="J130" t="s">
        <v>123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"06:12:04.523"</f>
        <v>06:12:04.523</v>
      </c>
      <c r="T130" t="str">
        <f>"06:12:04.023"</f>
        <v>06:12:04.023</v>
      </c>
      <c r="U130" t="str">
        <f t="shared" ref="U130:U193" si="7">"A7E2E0"</f>
        <v>A7E2E0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0</v>
      </c>
      <c r="AI130" t="s">
        <v>188</v>
      </c>
      <c r="AJ130">
        <v>39.126519999999999</v>
      </c>
      <c r="AK130" t="s">
        <v>189</v>
      </c>
      <c r="AL130">
        <v>-87.448018000000005</v>
      </c>
      <c r="AM130">
        <v>100</v>
      </c>
      <c r="AN130">
        <v>1300</v>
      </c>
      <c r="AO130" t="s">
        <v>118</v>
      </c>
      <c r="AP130">
        <v>-7</v>
      </c>
      <c r="AQ130">
        <v>86</v>
      </c>
      <c r="AR130">
        <v>1024</v>
      </c>
      <c r="AZ130">
        <v>4552</v>
      </c>
      <c r="BA130">
        <v>1</v>
      </c>
      <c r="BB130" t="str">
        <f t="shared" ref="BB130:BB193" si="8">"N607SR  "</f>
        <v xml:space="preserve">N607SR  </v>
      </c>
      <c r="BC130">
        <v>1</v>
      </c>
      <c r="BE130">
        <v>0</v>
      </c>
      <c r="BF130">
        <v>0</v>
      </c>
      <c r="BG130">
        <v>0</v>
      </c>
      <c r="BH130">
        <v>1050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"06:12:04.526"</f>
        <v>06:12:04.526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119</v>
      </c>
      <c r="CQ130">
        <v>457</v>
      </c>
      <c r="CR130">
        <v>0</v>
      </c>
      <c r="CW130">
        <v>15509358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"08/29/2020 06:12:01.329"</f>
        <v>08/29/2020 06:12:01.329</v>
      </c>
      <c r="C131" t="str">
        <f t="shared" si="6"/>
        <v>FFDFD3C0</v>
      </c>
      <c r="D131" t="s">
        <v>121</v>
      </c>
      <c r="E131">
        <v>10</v>
      </c>
      <c r="F131">
        <v>1010</v>
      </c>
      <c r="G131" t="s">
        <v>114</v>
      </c>
      <c r="J131" t="s">
        <v>123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"06:12:04.523"</f>
        <v>06:12:04.523</v>
      </c>
      <c r="T131" t="str">
        <f>"06:12:04.023"</f>
        <v>06:12:04.023</v>
      </c>
      <c r="U131" t="str">
        <f t="shared" si="7"/>
        <v>A7E2E0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0</v>
      </c>
      <c r="AI131" t="s">
        <v>188</v>
      </c>
      <c r="AJ131">
        <v>39.126519999999999</v>
      </c>
      <c r="AK131" t="s">
        <v>189</v>
      </c>
      <c r="AL131">
        <v>-87.448018000000005</v>
      </c>
      <c r="AM131">
        <v>100</v>
      </c>
      <c r="AN131">
        <v>1300</v>
      </c>
      <c r="AO131" t="s">
        <v>118</v>
      </c>
      <c r="AP131">
        <v>-7</v>
      </c>
      <c r="AQ131">
        <v>86</v>
      </c>
      <c r="AR131">
        <v>1024</v>
      </c>
      <c r="AZ131">
        <v>4552</v>
      </c>
      <c r="BA131">
        <v>1</v>
      </c>
      <c r="BB131" t="str">
        <f t="shared" si="8"/>
        <v xml:space="preserve">N607SR  </v>
      </c>
      <c r="BC131">
        <v>1</v>
      </c>
      <c r="BE131">
        <v>0</v>
      </c>
      <c r="BF131">
        <v>0</v>
      </c>
      <c r="BG131">
        <v>0</v>
      </c>
      <c r="BH131">
        <v>1050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"06:12:04.526"</f>
        <v>06:12:04.526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6</v>
      </c>
      <c r="CP131" t="s">
        <v>119</v>
      </c>
      <c r="CQ131">
        <v>457</v>
      </c>
      <c r="CR131">
        <v>0</v>
      </c>
      <c r="CW131">
        <v>15509358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"08/29/2020 06:12:01.819"</f>
        <v>08/29/2020 06:12:01.819</v>
      </c>
      <c r="C132" t="str">
        <f t="shared" si="6"/>
        <v>FFDFD3C0</v>
      </c>
      <c r="D132" t="s">
        <v>128</v>
      </c>
      <c r="E132">
        <v>5</v>
      </c>
      <c r="H132">
        <v>241</v>
      </c>
      <c r="I132" t="s">
        <v>129</v>
      </c>
      <c r="J132" t="s">
        <v>130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"06:12:04.992"</f>
        <v>06:12:04.992</v>
      </c>
      <c r="U132" t="str">
        <f t="shared" si="7"/>
        <v>A7E2E0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0</v>
      </c>
      <c r="AI132" t="s">
        <v>190</v>
      </c>
      <c r="AJ132">
        <v>39.126713000000002</v>
      </c>
      <c r="AK132" t="s">
        <v>189</v>
      </c>
      <c r="AL132">
        <v>-87.448018000000005</v>
      </c>
      <c r="AM132">
        <v>100</v>
      </c>
      <c r="AN132">
        <v>1300</v>
      </c>
      <c r="AO132" t="s">
        <v>118</v>
      </c>
      <c r="AP132">
        <v>-8</v>
      </c>
      <c r="AQ132">
        <v>86</v>
      </c>
      <c r="AR132">
        <v>960</v>
      </c>
      <c r="AZ132">
        <v>4552</v>
      </c>
      <c r="BA132">
        <v>1</v>
      </c>
      <c r="BB132" t="str">
        <f t="shared" si="8"/>
        <v xml:space="preserve">N607SR  </v>
      </c>
      <c r="BC132">
        <v>1</v>
      </c>
      <c r="BE132">
        <v>0</v>
      </c>
      <c r="BF132">
        <v>0</v>
      </c>
      <c r="BG132">
        <v>0</v>
      </c>
      <c r="BH132">
        <v>1050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"06:12:04.993"</f>
        <v>06:12:04.993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5</v>
      </c>
      <c r="CP132" t="s">
        <v>119</v>
      </c>
      <c r="CQ132">
        <v>517</v>
      </c>
      <c r="CR132">
        <v>1</v>
      </c>
      <c r="CW132">
        <v>2474294</v>
      </c>
      <c r="CY132">
        <v>1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"08/29/2020 06:12:01.819"</f>
        <v>08/29/2020 06:12:01.819</v>
      </c>
      <c r="C133" t="str">
        <f t="shared" si="6"/>
        <v>FFDFD3C0</v>
      </c>
      <c r="D133" t="s">
        <v>113</v>
      </c>
      <c r="E133">
        <v>5</v>
      </c>
      <c r="H133">
        <v>163</v>
      </c>
      <c r="I133" t="s">
        <v>114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"06:12:04.992"</f>
        <v>06:12:04.992</v>
      </c>
      <c r="U133" t="str">
        <f t="shared" si="7"/>
        <v>A7E2E0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0</v>
      </c>
      <c r="AI133" t="s">
        <v>190</v>
      </c>
      <c r="AJ133">
        <v>39.126713000000002</v>
      </c>
      <c r="AK133" t="s">
        <v>189</v>
      </c>
      <c r="AL133">
        <v>-87.448018000000005</v>
      </c>
      <c r="AM133">
        <v>100</v>
      </c>
      <c r="AN133">
        <v>1300</v>
      </c>
      <c r="AO133" t="s">
        <v>118</v>
      </c>
      <c r="AP133">
        <v>-8</v>
      </c>
      <c r="AQ133">
        <v>86</v>
      </c>
      <c r="AR133">
        <v>960</v>
      </c>
      <c r="AZ133">
        <v>4552</v>
      </c>
      <c r="BA133">
        <v>1</v>
      </c>
      <c r="BB133" t="str">
        <f t="shared" si="8"/>
        <v xml:space="preserve">N607SR  </v>
      </c>
      <c r="BC133">
        <v>1</v>
      </c>
      <c r="BE133">
        <v>0</v>
      </c>
      <c r="BF133">
        <v>0</v>
      </c>
      <c r="BG133">
        <v>0</v>
      </c>
      <c r="BH133">
        <v>1050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"06:12:04.993"</f>
        <v>06:12:04.993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5</v>
      </c>
      <c r="CP133" t="s">
        <v>119</v>
      </c>
      <c r="CQ133">
        <v>517</v>
      </c>
      <c r="CR133">
        <v>1</v>
      </c>
      <c r="CW133">
        <v>2474294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"08/29/2020 06:12:02.190"</f>
        <v>08/29/2020 06:12:02.190</v>
      </c>
      <c r="C134" t="str">
        <f t="shared" si="6"/>
        <v>FFDFD3C0</v>
      </c>
      <c r="D134" t="s">
        <v>121</v>
      </c>
      <c r="E134">
        <v>13</v>
      </c>
      <c r="F134">
        <v>1013</v>
      </c>
      <c r="G134" t="s">
        <v>122</v>
      </c>
      <c r="J134" t="s">
        <v>123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"06:12:05.414"</f>
        <v>06:12:05.414</v>
      </c>
      <c r="T134" t="str">
        <f>"06:12:05.014"</f>
        <v>06:12:05.014</v>
      </c>
      <c r="U134" t="str">
        <f t="shared" si="7"/>
        <v>A7E2E0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0</v>
      </c>
      <c r="AI134" t="s">
        <v>191</v>
      </c>
      <c r="AJ134">
        <v>39.126927999999999</v>
      </c>
      <c r="AK134" t="s">
        <v>148</v>
      </c>
      <c r="AL134">
        <v>-87.448060999999996</v>
      </c>
      <c r="AM134">
        <v>100</v>
      </c>
      <c r="AN134">
        <v>1300</v>
      </c>
      <c r="AO134" t="s">
        <v>118</v>
      </c>
      <c r="AP134">
        <v>-8</v>
      </c>
      <c r="AQ134">
        <v>86</v>
      </c>
      <c r="AR134">
        <v>960</v>
      </c>
      <c r="AZ134">
        <v>4552</v>
      </c>
      <c r="BA134">
        <v>1</v>
      </c>
      <c r="BB134" t="str">
        <f t="shared" si="8"/>
        <v xml:space="preserve">N607SR  </v>
      </c>
      <c r="BC134">
        <v>1</v>
      </c>
      <c r="BE134">
        <v>0</v>
      </c>
      <c r="BF134">
        <v>0</v>
      </c>
      <c r="BG134">
        <v>0</v>
      </c>
      <c r="BH134">
        <v>1050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"06:12:05.416"</f>
        <v>06:12:05.416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6</v>
      </c>
      <c r="CP134" t="s">
        <v>119</v>
      </c>
      <c r="CQ134">
        <v>177</v>
      </c>
      <c r="CR134">
        <v>2</v>
      </c>
      <c r="CW134">
        <v>1602758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"08/29/2020 06:12:02.190"</f>
        <v>08/29/2020 06:12:02.190</v>
      </c>
      <c r="C135" t="str">
        <f t="shared" si="6"/>
        <v>FFDFD3C0</v>
      </c>
      <c r="D135" t="s">
        <v>121</v>
      </c>
      <c r="E135">
        <v>11</v>
      </c>
      <c r="F135">
        <v>1011</v>
      </c>
      <c r="G135" t="s">
        <v>125</v>
      </c>
      <c r="J135" t="s">
        <v>123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"06:12:05.414"</f>
        <v>06:12:05.414</v>
      </c>
      <c r="T135" t="str">
        <f>"06:12:05.014"</f>
        <v>06:12:05.014</v>
      </c>
      <c r="U135" t="str">
        <f t="shared" si="7"/>
        <v>A7E2E0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0</v>
      </c>
      <c r="AI135" t="s">
        <v>191</v>
      </c>
      <c r="AJ135">
        <v>39.126927999999999</v>
      </c>
      <c r="AK135" t="s">
        <v>148</v>
      </c>
      <c r="AL135">
        <v>-87.448060999999996</v>
      </c>
      <c r="AM135">
        <v>100</v>
      </c>
      <c r="AN135">
        <v>1300</v>
      </c>
      <c r="AO135" t="s">
        <v>118</v>
      </c>
      <c r="AP135">
        <v>-8</v>
      </c>
      <c r="AQ135">
        <v>86</v>
      </c>
      <c r="AR135">
        <v>960</v>
      </c>
      <c r="AZ135">
        <v>4552</v>
      </c>
      <c r="BA135">
        <v>1</v>
      </c>
      <c r="BB135" t="str">
        <f t="shared" si="8"/>
        <v xml:space="preserve">N607SR  </v>
      </c>
      <c r="BC135">
        <v>1</v>
      </c>
      <c r="BE135">
        <v>0</v>
      </c>
      <c r="BF135">
        <v>0</v>
      </c>
      <c r="BG135">
        <v>0</v>
      </c>
      <c r="BH135">
        <v>1050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"06:12:05.416"</f>
        <v>06:12:05.416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6</v>
      </c>
      <c r="CP135" t="s">
        <v>119</v>
      </c>
      <c r="CQ135">
        <v>177</v>
      </c>
      <c r="CR135">
        <v>2</v>
      </c>
      <c r="CW135">
        <v>1602758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"08/29/2020 06:12:02.190"</f>
        <v>08/29/2020 06:12:02.190</v>
      </c>
      <c r="C136" t="str">
        <f t="shared" si="6"/>
        <v>FFDFD3C0</v>
      </c>
      <c r="D136" t="s">
        <v>121</v>
      </c>
      <c r="E136">
        <v>10</v>
      </c>
      <c r="F136">
        <v>1010</v>
      </c>
      <c r="G136" t="s">
        <v>114</v>
      </c>
      <c r="J136" t="s">
        <v>123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"06:12:05.414"</f>
        <v>06:12:05.414</v>
      </c>
      <c r="T136" t="str">
        <f>"06:12:05.014"</f>
        <v>06:12:05.014</v>
      </c>
      <c r="U136" t="str">
        <f t="shared" si="7"/>
        <v>A7E2E0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0</v>
      </c>
      <c r="AI136" t="s">
        <v>191</v>
      </c>
      <c r="AJ136">
        <v>39.126927999999999</v>
      </c>
      <c r="AK136" t="s">
        <v>148</v>
      </c>
      <c r="AL136">
        <v>-87.448060999999996</v>
      </c>
      <c r="AM136">
        <v>100</v>
      </c>
      <c r="AN136">
        <v>1300</v>
      </c>
      <c r="AO136" t="s">
        <v>118</v>
      </c>
      <c r="AP136">
        <v>-8</v>
      </c>
      <c r="AQ136">
        <v>86</v>
      </c>
      <c r="AR136">
        <v>960</v>
      </c>
      <c r="AZ136">
        <v>4552</v>
      </c>
      <c r="BA136">
        <v>1</v>
      </c>
      <c r="BB136" t="str">
        <f t="shared" si="8"/>
        <v xml:space="preserve">N607SR  </v>
      </c>
      <c r="BC136">
        <v>1</v>
      </c>
      <c r="BE136">
        <v>0</v>
      </c>
      <c r="BF136">
        <v>0</v>
      </c>
      <c r="BG136">
        <v>0</v>
      </c>
      <c r="BH136">
        <v>1050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"06:12:05.416"</f>
        <v>06:12:05.416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6</v>
      </c>
      <c r="CP136" t="s">
        <v>119</v>
      </c>
      <c r="CQ136">
        <v>177</v>
      </c>
      <c r="CR136">
        <v>2</v>
      </c>
      <c r="CW136">
        <v>1602758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"08/29/2020 06:12:02.741"</f>
        <v>08/29/2020 06:12:02.741</v>
      </c>
      <c r="C137" t="str">
        <f t="shared" si="6"/>
        <v>FFDFD3C0</v>
      </c>
      <c r="D137" t="s">
        <v>113</v>
      </c>
      <c r="E137">
        <v>5</v>
      </c>
      <c r="H137">
        <v>163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"06:12:05.961"</f>
        <v>06:12:05.961</v>
      </c>
      <c r="T137" t="str">
        <f>"06:12:05.461"</f>
        <v>06:12:05.461</v>
      </c>
      <c r="U137" t="str">
        <f t="shared" si="7"/>
        <v>A7E2E0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0</v>
      </c>
      <c r="AI137" t="s">
        <v>192</v>
      </c>
      <c r="AJ137">
        <v>39.127121000000002</v>
      </c>
      <c r="AK137" t="s">
        <v>148</v>
      </c>
      <c r="AL137">
        <v>-87.448060999999996</v>
      </c>
      <c r="AM137">
        <v>100</v>
      </c>
      <c r="AN137">
        <v>1300</v>
      </c>
      <c r="AO137" t="s">
        <v>118</v>
      </c>
      <c r="AP137">
        <v>-9</v>
      </c>
      <c r="AQ137">
        <v>86</v>
      </c>
      <c r="AR137">
        <v>896</v>
      </c>
      <c r="AZ137">
        <v>4552</v>
      </c>
      <c r="BA137">
        <v>1</v>
      </c>
      <c r="BB137" t="str">
        <f t="shared" si="8"/>
        <v xml:space="preserve">N607SR  </v>
      </c>
      <c r="BC137">
        <v>1</v>
      </c>
      <c r="BE137">
        <v>0</v>
      </c>
      <c r="BF137">
        <v>0</v>
      </c>
      <c r="BG137">
        <v>0</v>
      </c>
      <c r="BH137">
        <v>1050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"06:12:05.963"</f>
        <v>06:12:05.963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6</v>
      </c>
      <c r="CP137" t="s">
        <v>119</v>
      </c>
      <c r="CQ137">
        <v>457</v>
      </c>
      <c r="CR137">
        <v>0</v>
      </c>
      <c r="CW137">
        <v>15509401</v>
      </c>
      <c r="CY137">
        <v>1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"08/29/2020 06:12:02.741"</f>
        <v>08/29/2020 06:12:02.741</v>
      </c>
      <c r="C138" t="str">
        <f t="shared" si="6"/>
        <v>FFDFD3C0</v>
      </c>
      <c r="D138" t="s">
        <v>128</v>
      </c>
      <c r="E138">
        <v>5</v>
      </c>
      <c r="H138">
        <v>241</v>
      </c>
      <c r="I138" t="s">
        <v>129</v>
      </c>
      <c r="J138" t="s">
        <v>130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"06:12:05.961"</f>
        <v>06:12:05.961</v>
      </c>
      <c r="T138" t="str">
        <f>"06:12:05.461"</f>
        <v>06:12:05.461</v>
      </c>
      <c r="U138" t="str">
        <f t="shared" si="7"/>
        <v>A7E2E0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0</v>
      </c>
      <c r="AI138" t="s">
        <v>192</v>
      </c>
      <c r="AJ138">
        <v>39.127121000000002</v>
      </c>
      <c r="AK138" t="s">
        <v>148</v>
      </c>
      <c r="AL138">
        <v>-87.448060999999996</v>
      </c>
      <c r="AM138">
        <v>100</v>
      </c>
      <c r="AN138">
        <v>1300</v>
      </c>
      <c r="AO138" t="s">
        <v>118</v>
      </c>
      <c r="AP138">
        <v>-9</v>
      </c>
      <c r="AQ138">
        <v>86</v>
      </c>
      <c r="AR138">
        <v>896</v>
      </c>
      <c r="AZ138">
        <v>4552</v>
      </c>
      <c r="BA138">
        <v>1</v>
      </c>
      <c r="BB138" t="str">
        <f t="shared" si="8"/>
        <v xml:space="preserve">N607SR  </v>
      </c>
      <c r="BC138">
        <v>1</v>
      </c>
      <c r="BE138">
        <v>0</v>
      </c>
      <c r="BF138">
        <v>0</v>
      </c>
      <c r="BG138">
        <v>0</v>
      </c>
      <c r="BH138">
        <v>1050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"06:12:05.963"</f>
        <v>06:12:05.963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457</v>
      </c>
      <c r="CR138">
        <v>0</v>
      </c>
      <c r="CW138">
        <v>15509401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"08/29/2020 06:12:03.255"</f>
        <v>08/29/2020 06:12:03.255</v>
      </c>
      <c r="C139" t="str">
        <f t="shared" si="6"/>
        <v>FFDFD3C0</v>
      </c>
      <c r="D139" t="s">
        <v>121</v>
      </c>
      <c r="E139">
        <v>13</v>
      </c>
      <c r="F139">
        <v>1013</v>
      </c>
      <c r="G139" t="s">
        <v>122</v>
      </c>
      <c r="J139" t="s">
        <v>123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"06:12:06.484"</f>
        <v>06:12:06.484</v>
      </c>
      <c r="T139" t="str">
        <f>"06:12:05.984"</f>
        <v>06:12:05.984</v>
      </c>
      <c r="U139" t="str">
        <f t="shared" si="7"/>
        <v>A7E2E0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0</v>
      </c>
      <c r="AI139" t="s">
        <v>193</v>
      </c>
      <c r="AJ139">
        <v>39.127293000000002</v>
      </c>
      <c r="AK139" t="s">
        <v>143</v>
      </c>
      <c r="AL139">
        <v>-87.448125000000005</v>
      </c>
      <c r="AM139">
        <v>100</v>
      </c>
      <c r="AN139">
        <v>1300</v>
      </c>
      <c r="AO139" t="s">
        <v>118</v>
      </c>
      <c r="AP139">
        <v>-9</v>
      </c>
      <c r="AQ139">
        <v>87</v>
      </c>
      <c r="AR139">
        <v>832</v>
      </c>
      <c r="AZ139">
        <v>4552</v>
      </c>
      <c r="BA139">
        <v>1</v>
      </c>
      <c r="BB139" t="str">
        <f t="shared" si="8"/>
        <v xml:space="preserve">N607SR  </v>
      </c>
      <c r="BC139">
        <v>1</v>
      </c>
      <c r="BE139">
        <v>0</v>
      </c>
      <c r="BF139">
        <v>0</v>
      </c>
      <c r="BG139">
        <v>0</v>
      </c>
      <c r="BH139">
        <v>1075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"06:12:06.486"</f>
        <v>06:12:06.486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6</v>
      </c>
      <c r="CP139" t="s">
        <v>119</v>
      </c>
      <c r="CQ139">
        <v>177</v>
      </c>
      <c r="CR139">
        <v>2</v>
      </c>
      <c r="CW139">
        <v>1602953</v>
      </c>
      <c r="CY139">
        <v>1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"08/29/2020 06:12:03.255"</f>
        <v>08/29/2020 06:12:03.255</v>
      </c>
      <c r="C140" t="str">
        <f t="shared" si="6"/>
        <v>FFDFD3C0</v>
      </c>
      <c r="D140" t="s">
        <v>121</v>
      </c>
      <c r="E140">
        <v>11</v>
      </c>
      <c r="F140">
        <v>1011</v>
      </c>
      <c r="G140" t="s">
        <v>125</v>
      </c>
      <c r="J140" t="s">
        <v>123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"06:12:06.484"</f>
        <v>06:12:06.484</v>
      </c>
      <c r="T140" t="str">
        <f>"06:12:05.984"</f>
        <v>06:12:05.984</v>
      </c>
      <c r="U140" t="str">
        <f t="shared" si="7"/>
        <v>A7E2E0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0</v>
      </c>
      <c r="AI140" t="s">
        <v>193</v>
      </c>
      <c r="AJ140">
        <v>39.127293000000002</v>
      </c>
      <c r="AK140" t="s">
        <v>143</v>
      </c>
      <c r="AL140">
        <v>-87.448125000000005</v>
      </c>
      <c r="AM140">
        <v>100</v>
      </c>
      <c r="AN140">
        <v>1300</v>
      </c>
      <c r="AO140" t="s">
        <v>118</v>
      </c>
      <c r="AP140">
        <v>-9</v>
      </c>
      <c r="AQ140">
        <v>87</v>
      </c>
      <c r="AR140">
        <v>832</v>
      </c>
      <c r="AZ140">
        <v>4552</v>
      </c>
      <c r="BA140">
        <v>1</v>
      </c>
      <c r="BB140" t="str">
        <f t="shared" si="8"/>
        <v xml:space="preserve">N607SR  </v>
      </c>
      <c r="BC140">
        <v>1</v>
      </c>
      <c r="BE140">
        <v>0</v>
      </c>
      <c r="BF140">
        <v>0</v>
      </c>
      <c r="BG140">
        <v>0</v>
      </c>
      <c r="BH140">
        <v>1075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"06:12:06.486"</f>
        <v>06:12:06.486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177</v>
      </c>
      <c r="CR140">
        <v>2</v>
      </c>
      <c r="CW140">
        <v>1602953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"08/29/2020 06:12:03.255"</f>
        <v>08/29/2020 06:12:03.255</v>
      </c>
      <c r="C141" t="str">
        <f t="shared" si="6"/>
        <v>FFDFD3C0</v>
      </c>
      <c r="D141" t="s">
        <v>121</v>
      </c>
      <c r="E141">
        <v>10</v>
      </c>
      <c r="F141">
        <v>1010</v>
      </c>
      <c r="G141" t="s">
        <v>114</v>
      </c>
      <c r="J141" t="s">
        <v>123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"06:12:06.484"</f>
        <v>06:12:06.484</v>
      </c>
      <c r="T141" t="str">
        <f>"06:12:05.984"</f>
        <v>06:12:05.984</v>
      </c>
      <c r="U141" t="str">
        <f t="shared" si="7"/>
        <v>A7E2E0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0</v>
      </c>
      <c r="AI141" t="s">
        <v>193</v>
      </c>
      <c r="AJ141">
        <v>39.127293000000002</v>
      </c>
      <c r="AK141" t="s">
        <v>143</v>
      </c>
      <c r="AL141">
        <v>-87.448125000000005</v>
      </c>
      <c r="AM141">
        <v>100</v>
      </c>
      <c r="AN141">
        <v>1300</v>
      </c>
      <c r="AO141" t="s">
        <v>118</v>
      </c>
      <c r="AP141">
        <v>-9</v>
      </c>
      <c r="AQ141">
        <v>87</v>
      </c>
      <c r="AR141">
        <v>832</v>
      </c>
      <c r="AZ141">
        <v>4552</v>
      </c>
      <c r="BA141">
        <v>1</v>
      </c>
      <c r="BB141" t="str">
        <f t="shared" si="8"/>
        <v xml:space="preserve">N607SR  </v>
      </c>
      <c r="BC141">
        <v>1</v>
      </c>
      <c r="BE141">
        <v>0</v>
      </c>
      <c r="BF141">
        <v>0</v>
      </c>
      <c r="BG141">
        <v>0</v>
      </c>
      <c r="BH141">
        <v>1075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"06:12:06.486"</f>
        <v>06:12:06.486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6</v>
      </c>
      <c r="CP141" t="s">
        <v>119</v>
      </c>
      <c r="CQ141">
        <v>177</v>
      </c>
      <c r="CR141">
        <v>2</v>
      </c>
      <c r="CW141">
        <v>1602953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"08/29/2020 06:12:03.849"</f>
        <v>08/29/2020 06:12:03.849</v>
      </c>
      <c r="C142" t="str">
        <f t="shared" si="6"/>
        <v>FFDFD3C0</v>
      </c>
      <c r="D142" t="s">
        <v>128</v>
      </c>
      <c r="E142">
        <v>5</v>
      </c>
      <c r="H142">
        <v>241</v>
      </c>
      <c r="I142" t="s">
        <v>129</v>
      </c>
      <c r="J142" t="s">
        <v>130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"06:12:07.031"</f>
        <v>06:12:07.031</v>
      </c>
      <c r="T142" t="str">
        <f>"06:12:06.531"</f>
        <v>06:12:06.531</v>
      </c>
      <c r="U142" t="str">
        <f t="shared" si="7"/>
        <v>A7E2E0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0</v>
      </c>
      <c r="AI142" t="s">
        <v>194</v>
      </c>
      <c r="AJ142">
        <v>39.127529000000003</v>
      </c>
      <c r="AK142" t="s">
        <v>143</v>
      </c>
      <c r="AL142">
        <v>-87.448125000000005</v>
      </c>
      <c r="AM142">
        <v>100</v>
      </c>
      <c r="AN142">
        <v>1400</v>
      </c>
      <c r="AO142" t="s">
        <v>118</v>
      </c>
      <c r="AP142">
        <v>-10</v>
      </c>
      <c r="AQ142">
        <v>87</v>
      </c>
      <c r="AR142">
        <v>832</v>
      </c>
      <c r="AZ142">
        <v>4552</v>
      </c>
      <c r="BA142">
        <v>1</v>
      </c>
      <c r="BB142" t="str">
        <f t="shared" si="8"/>
        <v xml:space="preserve">N607SR  </v>
      </c>
      <c r="BC142">
        <v>1</v>
      </c>
      <c r="BE142">
        <v>0</v>
      </c>
      <c r="BF142">
        <v>0</v>
      </c>
      <c r="BG142">
        <v>0</v>
      </c>
      <c r="BH142">
        <v>1175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"06:12:07.035"</f>
        <v>06:12:07.035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6</v>
      </c>
      <c r="CP142" t="s">
        <v>119</v>
      </c>
      <c r="CQ142">
        <v>457</v>
      </c>
      <c r="CR142">
        <v>0</v>
      </c>
      <c r="CW142">
        <v>15509435</v>
      </c>
      <c r="CY142">
        <v>1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"08/29/2020 06:12:03.849"</f>
        <v>08/29/2020 06:12:03.849</v>
      </c>
      <c r="C143" t="str">
        <f t="shared" si="6"/>
        <v>FFDFD3C0</v>
      </c>
      <c r="D143" t="s">
        <v>113</v>
      </c>
      <c r="E143">
        <v>5</v>
      </c>
      <c r="H143">
        <v>163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"06:12:07.031"</f>
        <v>06:12:07.031</v>
      </c>
      <c r="T143" t="str">
        <f>"06:12:06.531"</f>
        <v>06:12:06.531</v>
      </c>
      <c r="U143" t="str">
        <f t="shared" si="7"/>
        <v>A7E2E0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0</v>
      </c>
      <c r="AI143" t="s">
        <v>194</v>
      </c>
      <c r="AJ143">
        <v>39.127529000000003</v>
      </c>
      <c r="AK143" t="s">
        <v>143</v>
      </c>
      <c r="AL143">
        <v>-87.448125000000005</v>
      </c>
      <c r="AM143">
        <v>100</v>
      </c>
      <c r="AN143">
        <v>1400</v>
      </c>
      <c r="AO143" t="s">
        <v>118</v>
      </c>
      <c r="AP143">
        <v>-10</v>
      </c>
      <c r="AQ143">
        <v>87</v>
      </c>
      <c r="AR143">
        <v>832</v>
      </c>
      <c r="AZ143">
        <v>4552</v>
      </c>
      <c r="BA143">
        <v>1</v>
      </c>
      <c r="BB143" t="str">
        <f t="shared" si="8"/>
        <v xml:space="preserve">N607SR  </v>
      </c>
      <c r="BC143">
        <v>1</v>
      </c>
      <c r="BE143">
        <v>0</v>
      </c>
      <c r="BF143">
        <v>0</v>
      </c>
      <c r="BG143">
        <v>0</v>
      </c>
      <c r="BH143">
        <v>1175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"06:12:07.035"</f>
        <v>06:12:07.035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6</v>
      </c>
      <c r="CP143" t="s">
        <v>119</v>
      </c>
      <c r="CQ143">
        <v>457</v>
      </c>
      <c r="CR143">
        <v>0</v>
      </c>
      <c r="CW143">
        <v>15509435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"08/29/2020 06:12:04.319"</f>
        <v>08/29/2020 06:12:04.319</v>
      </c>
      <c r="C144" t="str">
        <f t="shared" si="6"/>
        <v>FFDFD3C0</v>
      </c>
      <c r="D144" t="s">
        <v>121</v>
      </c>
      <c r="E144">
        <v>13</v>
      </c>
      <c r="F144">
        <v>1013</v>
      </c>
      <c r="G144" t="s">
        <v>122</v>
      </c>
      <c r="J144" t="s">
        <v>123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"06:12:07.508"</f>
        <v>06:12:07.508</v>
      </c>
      <c r="T144" t="str">
        <f>"06:12:07.108"</f>
        <v>06:12:07.108</v>
      </c>
      <c r="U144" t="str">
        <f t="shared" si="7"/>
        <v>A7E2E0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0</v>
      </c>
      <c r="AI144" t="s">
        <v>195</v>
      </c>
      <c r="AJ144">
        <v>39.127764999999997</v>
      </c>
      <c r="AK144" t="s">
        <v>135</v>
      </c>
      <c r="AL144">
        <v>-87.448188999999999</v>
      </c>
      <c r="AM144">
        <v>100</v>
      </c>
      <c r="AN144">
        <v>1300</v>
      </c>
      <c r="AO144" t="s">
        <v>118</v>
      </c>
      <c r="AP144">
        <v>-11</v>
      </c>
      <c r="AQ144">
        <v>88</v>
      </c>
      <c r="AR144">
        <v>768</v>
      </c>
      <c r="AZ144">
        <v>4552</v>
      </c>
      <c r="BA144">
        <v>1</v>
      </c>
      <c r="BB144" t="str">
        <f t="shared" si="8"/>
        <v xml:space="preserve">N607SR  </v>
      </c>
      <c r="BC144">
        <v>1</v>
      </c>
      <c r="BE144">
        <v>0</v>
      </c>
      <c r="BF144">
        <v>0</v>
      </c>
      <c r="BG144">
        <v>0</v>
      </c>
      <c r="BH144">
        <v>975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"06:12:07.508"</f>
        <v>06:12:07.508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6</v>
      </c>
      <c r="CP144" t="s">
        <v>119</v>
      </c>
      <c r="CQ144">
        <v>457</v>
      </c>
      <c r="CR144">
        <v>0</v>
      </c>
      <c r="CW144">
        <v>15509450</v>
      </c>
      <c r="CY144">
        <v>1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"08/29/2020 06:12:04.319"</f>
        <v>08/29/2020 06:12:04.319</v>
      </c>
      <c r="C145" t="str">
        <f t="shared" si="6"/>
        <v>FFDFD3C0</v>
      </c>
      <c r="D145" t="s">
        <v>121</v>
      </c>
      <c r="E145">
        <v>11</v>
      </c>
      <c r="F145">
        <v>1011</v>
      </c>
      <c r="G145" t="s">
        <v>125</v>
      </c>
      <c r="J145" t="s">
        <v>123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"06:12:07.508"</f>
        <v>06:12:07.508</v>
      </c>
      <c r="T145" t="str">
        <f>"06:12:07.108"</f>
        <v>06:12:07.108</v>
      </c>
      <c r="U145" t="str">
        <f t="shared" si="7"/>
        <v>A7E2E0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0</v>
      </c>
      <c r="AI145" t="s">
        <v>195</v>
      </c>
      <c r="AJ145">
        <v>39.127764999999997</v>
      </c>
      <c r="AK145" t="s">
        <v>135</v>
      </c>
      <c r="AL145">
        <v>-87.448188999999999</v>
      </c>
      <c r="AM145">
        <v>100</v>
      </c>
      <c r="AN145">
        <v>1300</v>
      </c>
      <c r="AO145" t="s">
        <v>118</v>
      </c>
      <c r="AP145">
        <v>-11</v>
      </c>
      <c r="AQ145">
        <v>88</v>
      </c>
      <c r="AR145">
        <v>768</v>
      </c>
      <c r="AZ145">
        <v>4552</v>
      </c>
      <c r="BA145">
        <v>1</v>
      </c>
      <c r="BB145" t="str">
        <f t="shared" si="8"/>
        <v xml:space="preserve">N607SR  </v>
      </c>
      <c r="BC145">
        <v>1</v>
      </c>
      <c r="BE145">
        <v>0</v>
      </c>
      <c r="BF145">
        <v>0</v>
      </c>
      <c r="BG145">
        <v>0</v>
      </c>
      <c r="BH145">
        <v>975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"06:12:07.508"</f>
        <v>06:12:07.508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6</v>
      </c>
      <c r="CP145" t="s">
        <v>119</v>
      </c>
      <c r="CQ145">
        <v>457</v>
      </c>
      <c r="CR145">
        <v>0</v>
      </c>
      <c r="CW145">
        <v>15509450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"08/29/2020 06:12:04.319"</f>
        <v>08/29/2020 06:12:04.319</v>
      </c>
      <c r="C146" t="str">
        <f t="shared" si="6"/>
        <v>FFDFD3C0</v>
      </c>
      <c r="D146" t="s">
        <v>121</v>
      </c>
      <c r="E146">
        <v>10</v>
      </c>
      <c r="F146">
        <v>1010</v>
      </c>
      <c r="G146" t="s">
        <v>114</v>
      </c>
      <c r="J146" t="s">
        <v>123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"06:12:07.508"</f>
        <v>06:12:07.508</v>
      </c>
      <c r="T146" t="str">
        <f>"06:12:07.108"</f>
        <v>06:12:07.108</v>
      </c>
      <c r="U146" t="str">
        <f t="shared" si="7"/>
        <v>A7E2E0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0</v>
      </c>
      <c r="AI146" t="s">
        <v>195</v>
      </c>
      <c r="AJ146">
        <v>39.127764999999997</v>
      </c>
      <c r="AK146" t="s">
        <v>135</v>
      </c>
      <c r="AL146">
        <v>-87.448188999999999</v>
      </c>
      <c r="AM146">
        <v>100</v>
      </c>
      <c r="AN146">
        <v>1300</v>
      </c>
      <c r="AO146" t="s">
        <v>118</v>
      </c>
      <c r="AP146">
        <v>-11</v>
      </c>
      <c r="AQ146">
        <v>88</v>
      </c>
      <c r="AR146">
        <v>768</v>
      </c>
      <c r="AZ146">
        <v>4552</v>
      </c>
      <c r="BA146">
        <v>1</v>
      </c>
      <c r="BB146" t="str">
        <f t="shared" si="8"/>
        <v xml:space="preserve">N607SR  </v>
      </c>
      <c r="BC146">
        <v>1</v>
      </c>
      <c r="BE146">
        <v>0</v>
      </c>
      <c r="BF146">
        <v>0</v>
      </c>
      <c r="BG146">
        <v>0</v>
      </c>
      <c r="BH146">
        <v>975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"06:12:07.508"</f>
        <v>06:12:07.508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6</v>
      </c>
      <c r="CP146" t="s">
        <v>119</v>
      </c>
      <c r="CQ146">
        <v>457</v>
      </c>
      <c r="CR146">
        <v>0</v>
      </c>
      <c r="CW146">
        <v>15509450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"08/29/2020 06:12:04.916"</f>
        <v>08/29/2020 06:12:04.916</v>
      </c>
      <c r="C147" t="str">
        <f t="shared" si="6"/>
        <v>FFDFD3C0</v>
      </c>
      <c r="D147" t="s">
        <v>128</v>
      </c>
      <c r="E147">
        <v>5</v>
      </c>
      <c r="H147">
        <v>241</v>
      </c>
      <c r="I147" t="s">
        <v>129</v>
      </c>
      <c r="J147" t="s">
        <v>130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"06:12:08.094"</f>
        <v>06:12:08.094</v>
      </c>
      <c r="T147" t="str">
        <f>"06:12:07.594"</f>
        <v>06:12:07.594</v>
      </c>
      <c r="U147" t="str">
        <f t="shared" si="7"/>
        <v>A7E2E0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196</v>
      </c>
      <c r="AJ147">
        <v>39.128000999999998</v>
      </c>
      <c r="AK147" t="s">
        <v>117</v>
      </c>
      <c r="AL147">
        <v>-87.448254000000006</v>
      </c>
      <c r="AM147">
        <v>100</v>
      </c>
      <c r="AN147">
        <v>1400</v>
      </c>
      <c r="AO147" t="s">
        <v>118</v>
      </c>
      <c r="AP147">
        <v>-11</v>
      </c>
      <c r="AQ147">
        <v>88</v>
      </c>
      <c r="AR147">
        <v>704</v>
      </c>
      <c r="AZ147">
        <v>4552</v>
      </c>
      <c r="BA147">
        <v>1</v>
      </c>
      <c r="BB147" t="str">
        <f t="shared" si="8"/>
        <v xml:space="preserve">N607SR  </v>
      </c>
      <c r="BC147">
        <v>1</v>
      </c>
      <c r="BE147">
        <v>0</v>
      </c>
      <c r="BF147">
        <v>0</v>
      </c>
      <c r="BG147">
        <v>0</v>
      </c>
      <c r="BH147">
        <v>1200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"06:12:08.100"</f>
        <v>06:12:08.100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6</v>
      </c>
      <c r="CP147" t="s">
        <v>119</v>
      </c>
      <c r="CQ147">
        <v>457</v>
      </c>
      <c r="CR147">
        <v>0</v>
      </c>
      <c r="CW147">
        <v>15509468</v>
      </c>
      <c r="CY147">
        <v>1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"08/29/2020 06:12:04.916"</f>
        <v>08/29/2020 06:12:04.916</v>
      </c>
      <c r="C148" t="str">
        <f t="shared" si="6"/>
        <v>FFDFD3C0</v>
      </c>
      <c r="D148" t="s">
        <v>113</v>
      </c>
      <c r="E148">
        <v>5</v>
      </c>
      <c r="H148">
        <v>163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"06:12:08.094"</f>
        <v>06:12:08.094</v>
      </c>
      <c r="T148" t="str">
        <f>"06:12:07.594"</f>
        <v>06:12:07.594</v>
      </c>
      <c r="U148" t="str">
        <f t="shared" si="7"/>
        <v>A7E2E0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196</v>
      </c>
      <c r="AJ148">
        <v>39.128000999999998</v>
      </c>
      <c r="AK148" t="s">
        <v>117</v>
      </c>
      <c r="AL148">
        <v>-87.448254000000006</v>
      </c>
      <c r="AM148">
        <v>100</v>
      </c>
      <c r="AN148">
        <v>1400</v>
      </c>
      <c r="AO148" t="s">
        <v>118</v>
      </c>
      <c r="AP148">
        <v>-11</v>
      </c>
      <c r="AQ148">
        <v>88</v>
      </c>
      <c r="AR148">
        <v>704</v>
      </c>
      <c r="AZ148">
        <v>4552</v>
      </c>
      <c r="BA148">
        <v>1</v>
      </c>
      <c r="BB148" t="str">
        <f t="shared" si="8"/>
        <v xml:space="preserve">N607SR  </v>
      </c>
      <c r="BC148">
        <v>1</v>
      </c>
      <c r="BE148">
        <v>0</v>
      </c>
      <c r="BF148">
        <v>0</v>
      </c>
      <c r="BG148">
        <v>0</v>
      </c>
      <c r="BH148">
        <v>1200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"06:12:08.100"</f>
        <v>06:12:08.100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6</v>
      </c>
      <c r="CP148" t="s">
        <v>119</v>
      </c>
      <c r="CQ148">
        <v>457</v>
      </c>
      <c r="CR148">
        <v>0</v>
      </c>
      <c r="CW148">
        <v>15509468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"08/29/2020 06:12:05.484"</f>
        <v>08/29/2020 06:12:05.484</v>
      </c>
      <c r="C149" t="str">
        <f t="shared" si="6"/>
        <v>FFDFD3C0</v>
      </c>
      <c r="D149" t="s">
        <v>121</v>
      </c>
      <c r="E149">
        <v>13</v>
      </c>
      <c r="F149">
        <v>1013</v>
      </c>
      <c r="G149" t="s">
        <v>122</v>
      </c>
      <c r="J149" t="s">
        <v>123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"06:12:08.688"</f>
        <v>06:12:08.688</v>
      </c>
      <c r="T149" t="str">
        <f>"06:12:08.188"</f>
        <v>06:12:08.188</v>
      </c>
      <c r="U149" t="str">
        <f t="shared" si="7"/>
        <v>A7E2E0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197</v>
      </c>
      <c r="AJ149">
        <v>39.128236999999999</v>
      </c>
      <c r="AK149" t="s">
        <v>127</v>
      </c>
      <c r="AL149">
        <v>-87.448232000000004</v>
      </c>
      <c r="AM149">
        <v>100</v>
      </c>
      <c r="AN149">
        <v>1400</v>
      </c>
      <c r="AO149" t="s">
        <v>118</v>
      </c>
      <c r="AP149">
        <v>-12</v>
      </c>
      <c r="AQ149">
        <v>88</v>
      </c>
      <c r="AR149">
        <v>704</v>
      </c>
      <c r="AZ149">
        <v>4552</v>
      </c>
      <c r="BA149">
        <v>1</v>
      </c>
      <c r="BB149" t="str">
        <f t="shared" si="8"/>
        <v xml:space="preserve">N607SR  </v>
      </c>
      <c r="BC149">
        <v>1</v>
      </c>
      <c r="BE149">
        <v>0</v>
      </c>
      <c r="BF149">
        <v>0</v>
      </c>
      <c r="BG149">
        <v>0</v>
      </c>
      <c r="BH149">
        <v>1100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"06:12:08.691"</f>
        <v>06:12:08.691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6</v>
      </c>
      <c r="CP149" t="s">
        <v>119</v>
      </c>
      <c r="CQ149">
        <v>457</v>
      </c>
      <c r="CR149">
        <v>0</v>
      </c>
      <c r="CW149">
        <v>15509487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"08/29/2020 06:12:05.484"</f>
        <v>08/29/2020 06:12:05.484</v>
      </c>
      <c r="C150" t="str">
        <f t="shared" si="6"/>
        <v>FFDFD3C0</v>
      </c>
      <c r="D150" t="s">
        <v>121</v>
      </c>
      <c r="E150">
        <v>10</v>
      </c>
      <c r="F150">
        <v>1010</v>
      </c>
      <c r="G150" t="s">
        <v>114</v>
      </c>
      <c r="J150" t="s">
        <v>123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"06:12:08.688"</f>
        <v>06:12:08.688</v>
      </c>
      <c r="T150" t="str">
        <f>"06:12:08.188"</f>
        <v>06:12:08.188</v>
      </c>
      <c r="U150" t="str">
        <f t="shared" si="7"/>
        <v>A7E2E0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0</v>
      </c>
      <c r="AI150" t="s">
        <v>197</v>
      </c>
      <c r="AJ150">
        <v>39.128236999999999</v>
      </c>
      <c r="AK150" t="s">
        <v>127</v>
      </c>
      <c r="AL150">
        <v>-87.448232000000004</v>
      </c>
      <c r="AM150">
        <v>100</v>
      </c>
      <c r="AN150">
        <v>1400</v>
      </c>
      <c r="AO150" t="s">
        <v>118</v>
      </c>
      <c r="AP150">
        <v>-12</v>
      </c>
      <c r="AQ150">
        <v>88</v>
      </c>
      <c r="AR150">
        <v>704</v>
      </c>
      <c r="AZ150">
        <v>4552</v>
      </c>
      <c r="BA150">
        <v>1</v>
      </c>
      <c r="BB150" t="str">
        <f t="shared" si="8"/>
        <v xml:space="preserve">N607SR  </v>
      </c>
      <c r="BC150">
        <v>1</v>
      </c>
      <c r="BE150">
        <v>0</v>
      </c>
      <c r="BF150">
        <v>0</v>
      </c>
      <c r="BG150">
        <v>0</v>
      </c>
      <c r="BH150">
        <v>1100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"06:12:08.691"</f>
        <v>06:12:08.691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457</v>
      </c>
      <c r="CR150">
        <v>0</v>
      </c>
      <c r="CW150">
        <v>15509487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"08/29/2020 06:12:05.484"</f>
        <v>08/29/2020 06:12:05.484</v>
      </c>
      <c r="C151" t="str">
        <f t="shared" si="6"/>
        <v>FFDFD3C0</v>
      </c>
      <c r="D151" t="s">
        <v>121</v>
      </c>
      <c r="E151">
        <v>11</v>
      </c>
      <c r="F151">
        <v>1011</v>
      </c>
      <c r="G151" t="s">
        <v>125</v>
      </c>
      <c r="J151" t="s">
        <v>123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"06:12:08.688"</f>
        <v>06:12:08.688</v>
      </c>
      <c r="T151" t="str">
        <f>"06:12:08.188"</f>
        <v>06:12:08.188</v>
      </c>
      <c r="U151" t="str">
        <f t="shared" si="7"/>
        <v>A7E2E0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197</v>
      </c>
      <c r="AJ151">
        <v>39.128236999999999</v>
      </c>
      <c r="AK151" t="s">
        <v>127</v>
      </c>
      <c r="AL151">
        <v>-87.448232000000004</v>
      </c>
      <c r="AM151">
        <v>100</v>
      </c>
      <c r="AN151">
        <v>1400</v>
      </c>
      <c r="AO151" t="s">
        <v>118</v>
      </c>
      <c r="AP151">
        <v>-12</v>
      </c>
      <c r="AQ151">
        <v>88</v>
      </c>
      <c r="AR151">
        <v>704</v>
      </c>
      <c r="AZ151">
        <v>4552</v>
      </c>
      <c r="BA151">
        <v>1</v>
      </c>
      <c r="BB151" t="str">
        <f t="shared" si="8"/>
        <v xml:space="preserve">N607SR  </v>
      </c>
      <c r="BC151">
        <v>1</v>
      </c>
      <c r="BE151">
        <v>0</v>
      </c>
      <c r="BF151">
        <v>0</v>
      </c>
      <c r="BG151">
        <v>0</v>
      </c>
      <c r="BH151">
        <v>1100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"06:12:08.691"</f>
        <v>06:12:08.691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6</v>
      </c>
      <c r="CP151" t="s">
        <v>119</v>
      </c>
      <c r="CQ151">
        <v>457</v>
      </c>
      <c r="CR151">
        <v>0</v>
      </c>
      <c r="CW151">
        <v>15509487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"08/29/2020 06:12:05.930"</f>
        <v>08/29/2020 06:12:05.930</v>
      </c>
      <c r="C152" t="str">
        <f t="shared" si="6"/>
        <v>FFDFD3C0</v>
      </c>
      <c r="D152" t="s">
        <v>128</v>
      </c>
      <c r="E152">
        <v>5</v>
      </c>
      <c r="H152">
        <v>241</v>
      </c>
      <c r="I152" t="s">
        <v>129</v>
      </c>
      <c r="J152" t="s">
        <v>130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"06:12:09.141"</f>
        <v>06:12:09.141</v>
      </c>
      <c r="T152" t="str">
        <f>"06:12:08.741"</f>
        <v>06:12:08.741</v>
      </c>
      <c r="U152" t="str">
        <f t="shared" si="7"/>
        <v>A7E2E0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198</v>
      </c>
      <c r="AJ152">
        <v>39.128408</v>
      </c>
      <c r="AK152" t="s">
        <v>199</v>
      </c>
      <c r="AL152">
        <v>-87.448296999999997</v>
      </c>
      <c r="AM152">
        <v>100</v>
      </c>
      <c r="AN152">
        <v>1400</v>
      </c>
      <c r="AO152" t="s">
        <v>118</v>
      </c>
      <c r="AP152">
        <v>-13</v>
      </c>
      <c r="AQ152">
        <v>89</v>
      </c>
      <c r="AR152">
        <v>704</v>
      </c>
      <c r="AZ152">
        <v>4552</v>
      </c>
      <c r="BA152">
        <v>1</v>
      </c>
      <c r="BB152" t="str">
        <f t="shared" si="8"/>
        <v xml:space="preserve">N607SR  </v>
      </c>
      <c r="BC152">
        <v>1</v>
      </c>
      <c r="BE152">
        <v>0</v>
      </c>
      <c r="BF152">
        <v>0</v>
      </c>
      <c r="BG152">
        <v>0</v>
      </c>
      <c r="BH152">
        <v>1100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"06:12:09.142"</f>
        <v>06:12:09.142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457</v>
      </c>
      <c r="CR152">
        <v>0</v>
      </c>
      <c r="CW152">
        <v>15509500</v>
      </c>
      <c r="CY152">
        <v>1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"08/29/2020 06:12:05.930"</f>
        <v>08/29/2020 06:12:05.930</v>
      </c>
      <c r="C153" t="str">
        <f t="shared" si="6"/>
        <v>FFDFD3C0</v>
      </c>
      <c r="D153" t="s">
        <v>113</v>
      </c>
      <c r="E153">
        <v>5</v>
      </c>
      <c r="H153">
        <v>163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"06:12:09.141"</f>
        <v>06:12:09.141</v>
      </c>
      <c r="T153" t="str">
        <f>"06:12:08.741"</f>
        <v>06:12:08.741</v>
      </c>
      <c r="U153" t="str">
        <f t="shared" si="7"/>
        <v>A7E2E0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0</v>
      </c>
      <c r="AI153" t="s">
        <v>198</v>
      </c>
      <c r="AJ153">
        <v>39.128408</v>
      </c>
      <c r="AK153" t="s">
        <v>199</v>
      </c>
      <c r="AL153">
        <v>-87.448296999999997</v>
      </c>
      <c r="AM153">
        <v>100</v>
      </c>
      <c r="AN153">
        <v>1400</v>
      </c>
      <c r="AO153" t="s">
        <v>118</v>
      </c>
      <c r="AP153">
        <v>-13</v>
      </c>
      <c r="AQ153">
        <v>89</v>
      </c>
      <c r="AR153">
        <v>704</v>
      </c>
      <c r="AZ153">
        <v>4552</v>
      </c>
      <c r="BA153">
        <v>1</v>
      </c>
      <c r="BB153" t="str">
        <f t="shared" si="8"/>
        <v xml:space="preserve">N607SR  </v>
      </c>
      <c r="BC153">
        <v>1</v>
      </c>
      <c r="BE153">
        <v>0</v>
      </c>
      <c r="BF153">
        <v>0</v>
      </c>
      <c r="BG153">
        <v>0</v>
      </c>
      <c r="BH153">
        <v>1100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"06:12:09.142"</f>
        <v>06:12:09.142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457</v>
      </c>
      <c r="CR153">
        <v>0</v>
      </c>
      <c r="CW153">
        <v>15509500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"08/29/2020 06:12:06.498"</f>
        <v>08/29/2020 06:12:06.498</v>
      </c>
      <c r="C154" t="str">
        <f t="shared" si="6"/>
        <v>FFDFD3C0</v>
      </c>
      <c r="D154" t="s">
        <v>121</v>
      </c>
      <c r="E154">
        <v>13</v>
      </c>
      <c r="F154">
        <v>1013</v>
      </c>
      <c r="G154" t="s">
        <v>122</v>
      </c>
      <c r="J154" t="s">
        <v>123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"06:12:09.695"</f>
        <v>06:12:09.695</v>
      </c>
      <c r="T154" t="str">
        <f>"06:12:09.195"</f>
        <v>06:12:09.195</v>
      </c>
      <c r="U154" t="str">
        <f t="shared" si="7"/>
        <v>A7E2E0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200</v>
      </c>
      <c r="AJ154">
        <v>39.128686999999999</v>
      </c>
      <c r="AK154" t="s">
        <v>201</v>
      </c>
      <c r="AL154">
        <v>-87.448361000000006</v>
      </c>
      <c r="AM154">
        <v>100</v>
      </c>
      <c r="AN154">
        <v>1400</v>
      </c>
      <c r="AO154" t="s">
        <v>118</v>
      </c>
      <c r="AP154">
        <v>-14</v>
      </c>
      <c r="AQ154">
        <v>89</v>
      </c>
      <c r="AR154">
        <v>704</v>
      </c>
      <c r="AZ154">
        <v>4552</v>
      </c>
      <c r="BA154">
        <v>1</v>
      </c>
      <c r="BB154" t="str">
        <f t="shared" si="8"/>
        <v xml:space="preserve">N607SR  </v>
      </c>
      <c r="BC154">
        <v>1</v>
      </c>
      <c r="BE154">
        <v>0</v>
      </c>
      <c r="BF154">
        <v>0</v>
      </c>
      <c r="BG154">
        <v>0</v>
      </c>
      <c r="BH154">
        <v>1100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"06:12:09.700"</f>
        <v>06:12:09.700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457</v>
      </c>
      <c r="CR154">
        <v>0</v>
      </c>
      <c r="CW154">
        <v>15509518</v>
      </c>
      <c r="CY154">
        <v>1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"08/29/2020 06:12:06.498"</f>
        <v>08/29/2020 06:12:06.498</v>
      </c>
      <c r="C155" t="str">
        <f t="shared" si="6"/>
        <v>FFDFD3C0</v>
      </c>
      <c r="D155" t="s">
        <v>121</v>
      </c>
      <c r="E155">
        <v>10</v>
      </c>
      <c r="F155">
        <v>1010</v>
      </c>
      <c r="G155" t="s">
        <v>114</v>
      </c>
      <c r="J155" t="s">
        <v>123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"06:12:09.695"</f>
        <v>06:12:09.695</v>
      </c>
      <c r="T155" t="str">
        <f>"06:12:09.195"</f>
        <v>06:12:09.195</v>
      </c>
      <c r="U155" t="str">
        <f t="shared" si="7"/>
        <v>A7E2E0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200</v>
      </c>
      <c r="AJ155">
        <v>39.128686999999999</v>
      </c>
      <c r="AK155" t="s">
        <v>201</v>
      </c>
      <c r="AL155">
        <v>-87.448361000000006</v>
      </c>
      <c r="AM155">
        <v>100</v>
      </c>
      <c r="AN155">
        <v>1400</v>
      </c>
      <c r="AO155" t="s">
        <v>118</v>
      </c>
      <c r="AP155">
        <v>-14</v>
      </c>
      <c r="AQ155">
        <v>89</v>
      </c>
      <c r="AR155">
        <v>704</v>
      </c>
      <c r="AZ155">
        <v>4552</v>
      </c>
      <c r="BA155">
        <v>1</v>
      </c>
      <c r="BB155" t="str">
        <f t="shared" si="8"/>
        <v xml:space="preserve">N607SR  </v>
      </c>
      <c r="BC155">
        <v>1</v>
      </c>
      <c r="BE155">
        <v>0</v>
      </c>
      <c r="BF155">
        <v>0</v>
      </c>
      <c r="BG155">
        <v>0</v>
      </c>
      <c r="BH155">
        <v>1100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"06:12:09.700"</f>
        <v>06:12:09.700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457</v>
      </c>
      <c r="CR155">
        <v>0</v>
      </c>
      <c r="CW155">
        <v>15509518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"08/29/2020 06:12:06.498"</f>
        <v>08/29/2020 06:12:06.498</v>
      </c>
      <c r="C156" t="str">
        <f t="shared" si="6"/>
        <v>FFDFD3C0</v>
      </c>
      <c r="D156" t="s">
        <v>121</v>
      </c>
      <c r="E156">
        <v>11</v>
      </c>
      <c r="F156">
        <v>1011</v>
      </c>
      <c r="G156" t="s">
        <v>125</v>
      </c>
      <c r="J156" t="s">
        <v>123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"06:12:09.695"</f>
        <v>06:12:09.695</v>
      </c>
      <c r="T156" t="str">
        <f>"06:12:09.195"</f>
        <v>06:12:09.195</v>
      </c>
      <c r="U156" t="str">
        <f t="shared" si="7"/>
        <v>A7E2E0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200</v>
      </c>
      <c r="AJ156">
        <v>39.128686999999999</v>
      </c>
      <c r="AK156" t="s">
        <v>201</v>
      </c>
      <c r="AL156">
        <v>-87.448361000000006</v>
      </c>
      <c r="AM156">
        <v>100</v>
      </c>
      <c r="AN156">
        <v>1400</v>
      </c>
      <c r="AO156" t="s">
        <v>118</v>
      </c>
      <c r="AP156">
        <v>-14</v>
      </c>
      <c r="AQ156">
        <v>89</v>
      </c>
      <c r="AR156">
        <v>704</v>
      </c>
      <c r="AZ156">
        <v>4552</v>
      </c>
      <c r="BA156">
        <v>1</v>
      </c>
      <c r="BB156" t="str">
        <f t="shared" si="8"/>
        <v xml:space="preserve">N607SR  </v>
      </c>
      <c r="BC156">
        <v>1</v>
      </c>
      <c r="BE156">
        <v>0</v>
      </c>
      <c r="BF156">
        <v>0</v>
      </c>
      <c r="BG156">
        <v>0</v>
      </c>
      <c r="BH156">
        <v>1100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"06:12:09.700"</f>
        <v>06:12:09.700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457</v>
      </c>
      <c r="CR156">
        <v>0</v>
      </c>
      <c r="CW156">
        <v>15509518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"08/29/2020 06:12:07.046"</f>
        <v>08/29/2020 06:12:07.046</v>
      </c>
      <c r="C157" t="str">
        <f t="shared" si="6"/>
        <v>FFDFD3C0</v>
      </c>
      <c r="D157" t="s">
        <v>128</v>
      </c>
      <c r="E157">
        <v>5</v>
      </c>
      <c r="H157">
        <v>241</v>
      </c>
      <c r="I157" t="s">
        <v>129</v>
      </c>
      <c r="J157" t="s">
        <v>130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"06:12:10.273"</f>
        <v>06:12:10.273</v>
      </c>
      <c r="T157" t="str">
        <f>"06:12:09.773"</f>
        <v>06:12:09.773</v>
      </c>
      <c r="U157" t="str">
        <f t="shared" si="7"/>
        <v>A7E2E0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202</v>
      </c>
      <c r="AJ157">
        <v>39.128881</v>
      </c>
      <c r="AK157" t="s">
        <v>203</v>
      </c>
      <c r="AL157">
        <v>-87.448425</v>
      </c>
      <c r="AM157">
        <v>100</v>
      </c>
      <c r="AN157">
        <v>1400</v>
      </c>
      <c r="AO157" t="s">
        <v>118</v>
      </c>
      <c r="AP157">
        <v>-14</v>
      </c>
      <c r="AQ157">
        <v>90</v>
      </c>
      <c r="AR157">
        <v>704</v>
      </c>
      <c r="AZ157">
        <v>4552</v>
      </c>
      <c r="BA157">
        <v>1</v>
      </c>
      <c r="BB157" t="str">
        <f t="shared" si="8"/>
        <v xml:space="preserve">N607SR  </v>
      </c>
      <c r="BC157">
        <v>1</v>
      </c>
      <c r="BE157">
        <v>0</v>
      </c>
      <c r="BF157">
        <v>0</v>
      </c>
      <c r="BG157">
        <v>0</v>
      </c>
      <c r="BH157">
        <v>1100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"06:12:10.274"</f>
        <v>06:12:10.274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457</v>
      </c>
      <c r="CR157">
        <v>0</v>
      </c>
      <c r="CW157">
        <v>15509540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"08/29/2020 06:12:07.046"</f>
        <v>08/29/2020 06:12:07.046</v>
      </c>
      <c r="C158" t="str">
        <f t="shared" si="6"/>
        <v>FFDFD3C0</v>
      </c>
      <c r="D158" t="s">
        <v>113</v>
      </c>
      <c r="E158">
        <v>5</v>
      </c>
      <c r="H158">
        <v>163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"06:12:10.273"</f>
        <v>06:12:10.273</v>
      </c>
      <c r="T158" t="str">
        <f>"06:12:09.773"</f>
        <v>06:12:09.773</v>
      </c>
      <c r="U158" t="str">
        <f t="shared" si="7"/>
        <v>A7E2E0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202</v>
      </c>
      <c r="AJ158">
        <v>39.128881</v>
      </c>
      <c r="AK158" t="s">
        <v>203</v>
      </c>
      <c r="AL158">
        <v>-87.448425</v>
      </c>
      <c r="AM158">
        <v>100</v>
      </c>
      <c r="AN158">
        <v>1400</v>
      </c>
      <c r="AO158" t="s">
        <v>118</v>
      </c>
      <c r="AP158">
        <v>-14</v>
      </c>
      <c r="AQ158">
        <v>90</v>
      </c>
      <c r="AR158">
        <v>704</v>
      </c>
      <c r="AZ158">
        <v>4552</v>
      </c>
      <c r="BA158">
        <v>1</v>
      </c>
      <c r="BB158" t="str">
        <f t="shared" si="8"/>
        <v xml:space="preserve">N607SR  </v>
      </c>
      <c r="BC158">
        <v>1</v>
      </c>
      <c r="BE158">
        <v>0</v>
      </c>
      <c r="BF158">
        <v>0</v>
      </c>
      <c r="BG158">
        <v>0</v>
      </c>
      <c r="BH158">
        <v>1100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"06:12:10.274"</f>
        <v>06:12:10.274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457</v>
      </c>
      <c r="CR158">
        <v>0</v>
      </c>
      <c r="CW158">
        <v>15509540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"08/29/2020 06:12:07.612"</f>
        <v>08/29/2020 06:12:07.612</v>
      </c>
      <c r="C159" t="str">
        <f t="shared" si="6"/>
        <v>FFDFD3C0</v>
      </c>
      <c r="D159" t="s">
        <v>121</v>
      </c>
      <c r="E159">
        <v>10</v>
      </c>
      <c r="F159">
        <v>1010</v>
      </c>
      <c r="G159" t="s">
        <v>114</v>
      </c>
      <c r="J159" t="s">
        <v>123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"06:12:10.836"</f>
        <v>06:12:10.836</v>
      </c>
      <c r="T159" t="str">
        <f>"06:12:10.336"</f>
        <v>06:12:10.336</v>
      </c>
      <c r="U159" t="str">
        <f t="shared" si="7"/>
        <v>A7E2E0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204</v>
      </c>
      <c r="AJ159">
        <v>39.129117000000001</v>
      </c>
      <c r="AK159" t="s">
        <v>205</v>
      </c>
      <c r="AL159">
        <v>-87.448490000000007</v>
      </c>
      <c r="AM159">
        <v>100</v>
      </c>
      <c r="AN159">
        <v>1400</v>
      </c>
      <c r="AO159" t="s">
        <v>118</v>
      </c>
      <c r="AP159">
        <v>-15</v>
      </c>
      <c r="AQ159">
        <v>90</v>
      </c>
      <c r="AR159">
        <v>704</v>
      </c>
      <c r="AZ159">
        <v>4552</v>
      </c>
      <c r="BA159">
        <v>1</v>
      </c>
      <c r="BB159" t="str">
        <f t="shared" si="8"/>
        <v xml:space="preserve">N607SR  </v>
      </c>
      <c r="BC159">
        <v>1</v>
      </c>
      <c r="BE159">
        <v>0</v>
      </c>
      <c r="BF159">
        <v>0</v>
      </c>
      <c r="BG159">
        <v>0</v>
      </c>
      <c r="BH159">
        <v>1125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"06:12:10.841"</f>
        <v>06:12:10.841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6</v>
      </c>
      <c r="CP159" t="s">
        <v>119</v>
      </c>
      <c r="CQ159">
        <v>457</v>
      </c>
      <c r="CR159">
        <v>0</v>
      </c>
      <c r="CW159">
        <v>15509558</v>
      </c>
      <c r="CY159">
        <v>1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"08/29/2020 06:12:07.612"</f>
        <v>08/29/2020 06:12:07.612</v>
      </c>
      <c r="C160" t="str">
        <f t="shared" si="6"/>
        <v>FFDFD3C0</v>
      </c>
      <c r="D160" t="s">
        <v>121</v>
      </c>
      <c r="E160">
        <v>13</v>
      </c>
      <c r="F160">
        <v>1013</v>
      </c>
      <c r="G160" t="s">
        <v>122</v>
      </c>
      <c r="J160" t="s">
        <v>123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"06:12:10.836"</f>
        <v>06:12:10.836</v>
      </c>
      <c r="T160" t="str">
        <f>"06:12:10.336"</f>
        <v>06:12:10.336</v>
      </c>
      <c r="U160" t="str">
        <f t="shared" si="7"/>
        <v>A7E2E0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0</v>
      </c>
      <c r="AI160" t="s">
        <v>204</v>
      </c>
      <c r="AJ160">
        <v>39.129117000000001</v>
      </c>
      <c r="AK160" t="s">
        <v>205</v>
      </c>
      <c r="AL160">
        <v>-87.448490000000007</v>
      </c>
      <c r="AM160">
        <v>100</v>
      </c>
      <c r="AN160">
        <v>1400</v>
      </c>
      <c r="AO160" t="s">
        <v>118</v>
      </c>
      <c r="AP160">
        <v>-15</v>
      </c>
      <c r="AQ160">
        <v>90</v>
      </c>
      <c r="AR160">
        <v>704</v>
      </c>
      <c r="AZ160">
        <v>4552</v>
      </c>
      <c r="BA160">
        <v>1</v>
      </c>
      <c r="BB160" t="str">
        <f t="shared" si="8"/>
        <v xml:space="preserve">N607SR  </v>
      </c>
      <c r="BC160">
        <v>1</v>
      </c>
      <c r="BE160">
        <v>0</v>
      </c>
      <c r="BF160">
        <v>0</v>
      </c>
      <c r="BG160">
        <v>0</v>
      </c>
      <c r="BH160">
        <v>1125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"06:12:10.841"</f>
        <v>06:12:10.841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6</v>
      </c>
      <c r="CP160" t="s">
        <v>119</v>
      </c>
      <c r="CQ160">
        <v>457</v>
      </c>
      <c r="CR160">
        <v>0</v>
      </c>
      <c r="CW160">
        <v>15509558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"08/29/2020 06:12:07.612"</f>
        <v>08/29/2020 06:12:07.612</v>
      </c>
      <c r="C161" t="str">
        <f t="shared" si="6"/>
        <v>FFDFD3C0</v>
      </c>
      <c r="D161" t="s">
        <v>121</v>
      </c>
      <c r="E161">
        <v>11</v>
      </c>
      <c r="F161">
        <v>1011</v>
      </c>
      <c r="G161" t="s">
        <v>125</v>
      </c>
      <c r="J161" t="s">
        <v>123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"06:12:10.836"</f>
        <v>06:12:10.836</v>
      </c>
      <c r="T161" t="str">
        <f>"06:12:10.336"</f>
        <v>06:12:10.336</v>
      </c>
      <c r="U161" t="str">
        <f t="shared" si="7"/>
        <v>A7E2E0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0</v>
      </c>
      <c r="AI161" t="s">
        <v>204</v>
      </c>
      <c r="AJ161">
        <v>39.129117000000001</v>
      </c>
      <c r="AK161" t="s">
        <v>205</v>
      </c>
      <c r="AL161">
        <v>-87.448490000000007</v>
      </c>
      <c r="AM161">
        <v>100</v>
      </c>
      <c r="AN161">
        <v>1400</v>
      </c>
      <c r="AO161" t="s">
        <v>118</v>
      </c>
      <c r="AP161">
        <v>-15</v>
      </c>
      <c r="AQ161">
        <v>90</v>
      </c>
      <c r="AR161">
        <v>704</v>
      </c>
      <c r="AZ161">
        <v>4552</v>
      </c>
      <c r="BA161">
        <v>1</v>
      </c>
      <c r="BB161" t="str">
        <f t="shared" si="8"/>
        <v xml:space="preserve">N607SR  </v>
      </c>
      <c r="BC161">
        <v>1</v>
      </c>
      <c r="BE161">
        <v>0</v>
      </c>
      <c r="BF161">
        <v>0</v>
      </c>
      <c r="BG161">
        <v>0</v>
      </c>
      <c r="BH161">
        <v>1125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"06:12:10.841"</f>
        <v>06:12:10.841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6</v>
      </c>
      <c r="CP161" t="s">
        <v>119</v>
      </c>
      <c r="CQ161">
        <v>457</v>
      </c>
      <c r="CR161">
        <v>0</v>
      </c>
      <c r="CW161">
        <v>15509558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"08/29/2020 06:12:08.165"</f>
        <v>08/29/2020 06:12:08.165</v>
      </c>
      <c r="C162" t="str">
        <f t="shared" si="6"/>
        <v>FFDFD3C0</v>
      </c>
      <c r="D162" t="s">
        <v>113</v>
      </c>
      <c r="E162">
        <v>5</v>
      </c>
      <c r="H162">
        <v>163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"06:12:11.383"</f>
        <v>06:12:11.383</v>
      </c>
      <c r="T162" t="str">
        <f>"06:12:10.883"</f>
        <v>06:12:10.883</v>
      </c>
      <c r="U162" t="str">
        <f t="shared" si="7"/>
        <v>A7E2E0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206</v>
      </c>
      <c r="AJ162">
        <v>39.129309999999997</v>
      </c>
      <c r="AK162" t="s">
        <v>205</v>
      </c>
      <c r="AL162">
        <v>-87.448490000000007</v>
      </c>
      <c r="AM162">
        <v>100</v>
      </c>
      <c r="AN162">
        <v>1400</v>
      </c>
      <c r="AO162" t="s">
        <v>118</v>
      </c>
      <c r="AP162">
        <v>-16</v>
      </c>
      <c r="AQ162">
        <v>90</v>
      </c>
      <c r="AR162">
        <v>768</v>
      </c>
      <c r="AZ162">
        <v>4552</v>
      </c>
      <c r="BA162">
        <v>1</v>
      </c>
      <c r="BB162" t="str">
        <f t="shared" si="8"/>
        <v xml:space="preserve">N607SR  </v>
      </c>
      <c r="BC162">
        <v>1</v>
      </c>
      <c r="BE162">
        <v>0</v>
      </c>
      <c r="BF162">
        <v>0</v>
      </c>
      <c r="BG162">
        <v>0</v>
      </c>
      <c r="BH162">
        <v>1125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"06:12:11.390"</f>
        <v>06:12:11.390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457</v>
      </c>
      <c r="CR162">
        <v>0</v>
      </c>
      <c r="CW162">
        <v>15509576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"08/29/2020 06:12:08.165"</f>
        <v>08/29/2020 06:12:08.165</v>
      </c>
      <c r="C163" t="str">
        <f t="shared" si="6"/>
        <v>FFDFD3C0</v>
      </c>
      <c r="D163" t="s">
        <v>128</v>
      </c>
      <c r="E163">
        <v>5</v>
      </c>
      <c r="H163">
        <v>241</v>
      </c>
      <c r="I163" t="s">
        <v>129</v>
      </c>
      <c r="J163" t="s">
        <v>130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"06:12:11.383"</f>
        <v>06:12:11.383</v>
      </c>
      <c r="T163" t="str">
        <f>"06:12:10.883"</f>
        <v>06:12:10.883</v>
      </c>
      <c r="U163" t="str">
        <f t="shared" si="7"/>
        <v>A7E2E0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206</v>
      </c>
      <c r="AJ163">
        <v>39.129309999999997</v>
      </c>
      <c r="AK163" t="s">
        <v>205</v>
      </c>
      <c r="AL163">
        <v>-87.448490000000007</v>
      </c>
      <c r="AM163">
        <v>100</v>
      </c>
      <c r="AN163">
        <v>1400</v>
      </c>
      <c r="AO163" t="s">
        <v>118</v>
      </c>
      <c r="AP163">
        <v>-16</v>
      </c>
      <c r="AQ163">
        <v>90</v>
      </c>
      <c r="AR163">
        <v>768</v>
      </c>
      <c r="AZ163">
        <v>4552</v>
      </c>
      <c r="BA163">
        <v>1</v>
      </c>
      <c r="BB163" t="str">
        <f t="shared" si="8"/>
        <v xml:space="preserve">N607SR  </v>
      </c>
      <c r="BC163">
        <v>1</v>
      </c>
      <c r="BE163">
        <v>0</v>
      </c>
      <c r="BF163">
        <v>0</v>
      </c>
      <c r="BG163">
        <v>0</v>
      </c>
      <c r="BH163">
        <v>1125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"06:12:11.390"</f>
        <v>06:12:11.390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457</v>
      </c>
      <c r="CR163">
        <v>0</v>
      </c>
      <c r="CW163">
        <v>15509576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"08/29/2020 06:12:08.724"</f>
        <v>08/29/2020 06:12:08.724</v>
      </c>
      <c r="C164" t="str">
        <f t="shared" si="6"/>
        <v>FFDFD3C0</v>
      </c>
      <c r="D164" t="s">
        <v>121</v>
      </c>
      <c r="E164">
        <v>10</v>
      </c>
      <c r="F164">
        <v>1010</v>
      </c>
      <c r="G164" t="s">
        <v>114</v>
      </c>
      <c r="J164" t="s">
        <v>123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"06:12:11.969"</f>
        <v>06:12:11.969</v>
      </c>
      <c r="U164" t="str">
        <f t="shared" si="7"/>
        <v>A7E2E0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207</v>
      </c>
      <c r="AJ164">
        <v>39.129589000000003</v>
      </c>
      <c r="AK164" t="s">
        <v>208</v>
      </c>
      <c r="AL164">
        <v>-87.448554000000001</v>
      </c>
      <c r="AM164">
        <v>100</v>
      </c>
      <c r="AN164">
        <v>1400</v>
      </c>
      <c r="AO164" t="s">
        <v>118</v>
      </c>
      <c r="AP164">
        <v>-17</v>
      </c>
      <c r="AQ164">
        <v>91</v>
      </c>
      <c r="AR164">
        <v>832</v>
      </c>
      <c r="AZ164">
        <v>4552</v>
      </c>
      <c r="BA164">
        <v>1</v>
      </c>
      <c r="BB164" t="str">
        <f t="shared" si="8"/>
        <v xml:space="preserve">N607SR  </v>
      </c>
      <c r="BC164">
        <v>1</v>
      </c>
      <c r="BE164">
        <v>0</v>
      </c>
      <c r="BF164">
        <v>0</v>
      </c>
      <c r="BG164">
        <v>0</v>
      </c>
      <c r="BH164">
        <v>1150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"06:12:11.976"</f>
        <v>06:12:11.976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457</v>
      </c>
      <c r="CR164">
        <v>0</v>
      </c>
      <c r="CW164">
        <v>15509593</v>
      </c>
      <c r="CY164">
        <v>1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"08/29/2020 06:12:08.724"</f>
        <v>08/29/2020 06:12:08.724</v>
      </c>
      <c r="C165" t="str">
        <f t="shared" si="6"/>
        <v>FFDFD3C0</v>
      </c>
      <c r="D165" t="s">
        <v>121</v>
      </c>
      <c r="E165">
        <v>13</v>
      </c>
      <c r="F165">
        <v>1013</v>
      </c>
      <c r="G165" t="s">
        <v>122</v>
      </c>
      <c r="J165" t="s">
        <v>123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"06:12:11.969"</f>
        <v>06:12:11.969</v>
      </c>
      <c r="U165" t="str">
        <f t="shared" si="7"/>
        <v>A7E2E0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207</v>
      </c>
      <c r="AJ165">
        <v>39.129589000000003</v>
      </c>
      <c r="AK165" t="s">
        <v>208</v>
      </c>
      <c r="AL165">
        <v>-87.448554000000001</v>
      </c>
      <c r="AM165">
        <v>100</v>
      </c>
      <c r="AN165">
        <v>1400</v>
      </c>
      <c r="AO165" t="s">
        <v>118</v>
      </c>
      <c r="AP165">
        <v>-17</v>
      </c>
      <c r="AQ165">
        <v>91</v>
      </c>
      <c r="AR165">
        <v>832</v>
      </c>
      <c r="AZ165">
        <v>4552</v>
      </c>
      <c r="BA165">
        <v>1</v>
      </c>
      <c r="BB165" t="str">
        <f t="shared" si="8"/>
        <v xml:space="preserve">N607SR  </v>
      </c>
      <c r="BC165">
        <v>1</v>
      </c>
      <c r="BE165">
        <v>0</v>
      </c>
      <c r="BF165">
        <v>0</v>
      </c>
      <c r="BG165">
        <v>0</v>
      </c>
      <c r="BH165">
        <v>1150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"06:12:11.976"</f>
        <v>06:12:11.976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457</v>
      </c>
      <c r="CR165">
        <v>0</v>
      </c>
      <c r="CW165">
        <v>15509593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"08/29/2020 06:12:08.724"</f>
        <v>08/29/2020 06:12:08.724</v>
      </c>
      <c r="C166" t="str">
        <f t="shared" si="6"/>
        <v>FFDFD3C0</v>
      </c>
      <c r="D166" t="s">
        <v>121</v>
      </c>
      <c r="E166">
        <v>11</v>
      </c>
      <c r="F166">
        <v>1011</v>
      </c>
      <c r="G166" t="s">
        <v>125</v>
      </c>
      <c r="J166" t="s">
        <v>123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"06:12:11.969"</f>
        <v>06:12:11.969</v>
      </c>
      <c r="U166" t="str">
        <f t="shared" si="7"/>
        <v>A7E2E0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207</v>
      </c>
      <c r="AJ166">
        <v>39.129589000000003</v>
      </c>
      <c r="AK166" t="s">
        <v>208</v>
      </c>
      <c r="AL166">
        <v>-87.448554000000001</v>
      </c>
      <c r="AM166">
        <v>100</v>
      </c>
      <c r="AN166">
        <v>1400</v>
      </c>
      <c r="AO166" t="s">
        <v>118</v>
      </c>
      <c r="AP166">
        <v>-17</v>
      </c>
      <c r="AQ166">
        <v>91</v>
      </c>
      <c r="AR166">
        <v>832</v>
      </c>
      <c r="AZ166">
        <v>4552</v>
      </c>
      <c r="BA166">
        <v>1</v>
      </c>
      <c r="BB166" t="str">
        <f t="shared" si="8"/>
        <v xml:space="preserve">N607SR  </v>
      </c>
      <c r="BC166">
        <v>1</v>
      </c>
      <c r="BE166">
        <v>0</v>
      </c>
      <c r="BF166">
        <v>0</v>
      </c>
      <c r="BG166">
        <v>0</v>
      </c>
      <c r="BH166">
        <v>1150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"06:12:11.976"</f>
        <v>06:12:11.976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457</v>
      </c>
      <c r="CR166">
        <v>0</v>
      </c>
      <c r="CW166">
        <v>15509593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"08/29/2020 06:12:09.224"</f>
        <v>08/29/2020 06:12:09.224</v>
      </c>
      <c r="C167" t="str">
        <f t="shared" si="6"/>
        <v>FFDFD3C0</v>
      </c>
      <c r="D167" t="s">
        <v>128</v>
      </c>
      <c r="E167">
        <v>5</v>
      </c>
      <c r="H167">
        <v>241</v>
      </c>
      <c r="I167" t="s">
        <v>129</v>
      </c>
      <c r="J167" t="s">
        <v>130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"06:12:12.414"</f>
        <v>06:12:12.414</v>
      </c>
      <c r="T167" t="str">
        <f>"06:12:12.014"</f>
        <v>06:12:12.014</v>
      </c>
      <c r="U167" t="str">
        <f t="shared" si="7"/>
        <v>A7E2E0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0</v>
      </c>
      <c r="AI167" t="s">
        <v>209</v>
      </c>
      <c r="AJ167">
        <v>39.129803000000003</v>
      </c>
      <c r="AK167" t="s">
        <v>210</v>
      </c>
      <c r="AL167">
        <v>-87.448617999999996</v>
      </c>
      <c r="AM167">
        <v>100</v>
      </c>
      <c r="AN167">
        <v>1400</v>
      </c>
      <c r="AO167" t="s">
        <v>118</v>
      </c>
      <c r="AP167">
        <v>-17</v>
      </c>
      <c r="AQ167">
        <v>91</v>
      </c>
      <c r="AR167">
        <v>832</v>
      </c>
      <c r="AZ167">
        <v>4552</v>
      </c>
      <c r="BA167">
        <v>1</v>
      </c>
      <c r="BB167" t="str">
        <f t="shared" si="8"/>
        <v xml:space="preserve">N607SR  </v>
      </c>
      <c r="BC167">
        <v>1</v>
      </c>
      <c r="BE167">
        <v>0</v>
      </c>
      <c r="BF167">
        <v>0</v>
      </c>
      <c r="BG167">
        <v>0</v>
      </c>
      <c r="BH167">
        <v>1150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"06:12:12.420"</f>
        <v>06:12:12.420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6</v>
      </c>
      <c r="CP167" t="s">
        <v>119</v>
      </c>
      <c r="CQ167">
        <v>457</v>
      </c>
      <c r="CR167">
        <v>0</v>
      </c>
      <c r="CW167">
        <v>15509611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"08/29/2020 06:12:09.224"</f>
        <v>08/29/2020 06:12:09.224</v>
      </c>
      <c r="C168" t="str">
        <f t="shared" si="6"/>
        <v>FFDFD3C0</v>
      </c>
      <c r="D168" t="s">
        <v>113</v>
      </c>
      <c r="E168">
        <v>5</v>
      </c>
      <c r="H168">
        <v>163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"06:12:12.414"</f>
        <v>06:12:12.414</v>
      </c>
      <c r="T168" t="str">
        <f>"06:12:12.014"</f>
        <v>06:12:12.014</v>
      </c>
      <c r="U168" t="str">
        <f t="shared" si="7"/>
        <v>A7E2E0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209</v>
      </c>
      <c r="AJ168">
        <v>39.129803000000003</v>
      </c>
      <c r="AK168" t="s">
        <v>210</v>
      </c>
      <c r="AL168">
        <v>-87.448617999999996</v>
      </c>
      <c r="AM168">
        <v>100</v>
      </c>
      <c r="AN168">
        <v>1400</v>
      </c>
      <c r="AO168" t="s">
        <v>118</v>
      </c>
      <c r="AP168">
        <v>-17</v>
      </c>
      <c r="AQ168">
        <v>91</v>
      </c>
      <c r="AR168">
        <v>832</v>
      </c>
      <c r="AZ168">
        <v>4552</v>
      </c>
      <c r="BA168">
        <v>1</v>
      </c>
      <c r="BB168" t="str">
        <f t="shared" si="8"/>
        <v xml:space="preserve">N607SR  </v>
      </c>
      <c r="BC168">
        <v>1</v>
      </c>
      <c r="BE168">
        <v>0</v>
      </c>
      <c r="BF168">
        <v>0</v>
      </c>
      <c r="BG168">
        <v>0</v>
      </c>
      <c r="BH168">
        <v>1150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"06:12:12.420"</f>
        <v>06:12:12.420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457</v>
      </c>
      <c r="CR168">
        <v>0</v>
      </c>
      <c r="CW168">
        <v>15509611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"08/29/2020 06:12:09.635"</f>
        <v>08/29/2020 06:12:09.635</v>
      </c>
      <c r="C169" t="str">
        <f t="shared" si="6"/>
        <v>FFDFD3C0</v>
      </c>
      <c r="D169" t="s">
        <v>121</v>
      </c>
      <c r="E169">
        <v>10</v>
      </c>
      <c r="F169">
        <v>1010</v>
      </c>
      <c r="G169" t="s">
        <v>114</v>
      </c>
      <c r="J169" t="s">
        <v>123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"06:12:12.859"</f>
        <v>06:12:12.859</v>
      </c>
      <c r="T169" t="str">
        <f>"06:12:12.459"</f>
        <v>06:12:12.459</v>
      </c>
      <c r="U169" t="str">
        <f t="shared" si="7"/>
        <v>A7E2E0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211</v>
      </c>
      <c r="AJ169">
        <v>39.129953</v>
      </c>
      <c r="AK169" t="s">
        <v>212</v>
      </c>
      <c r="AL169">
        <v>-87.448661000000001</v>
      </c>
      <c r="AM169">
        <v>100</v>
      </c>
      <c r="AN169">
        <v>1400</v>
      </c>
      <c r="AO169" t="s">
        <v>118</v>
      </c>
      <c r="AP169">
        <v>-18</v>
      </c>
      <c r="AQ169">
        <v>91</v>
      </c>
      <c r="AR169">
        <v>832</v>
      </c>
      <c r="AZ169">
        <v>4552</v>
      </c>
      <c r="BA169">
        <v>1</v>
      </c>
      <c r="BB169" t="str">
        <f t="shared" si="8"/>
        <v xml:space="preserve">N607SR  </v>
      </c>
      <c r="BC169">
        <v>1</v>
      </c>
      <c r="BE169">
        <v>0</v>
      </c>
      <c r="BF169">
        <v>0</v>
      </c>
      <c r="BG169">
        <v>0</v>
      </c>
      <c r="BH169">
        <v>1150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"06:12:12.863"</f>
        <v>06:12:12.863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6</v>
      </c>
      <c r="CP169" t="s">
        <v>119</v>
      </c>
      <c r="CQ169">
        <v>457</v>
      </c>
      <c r="CR169">
        <v>0</v>
      </c>
      <c r="CW169">
        <v>15509623</v>
      </c>
      <c r="CY169">
        <v>1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"08/29/2020 06:12:09.635"</f>
        <v>08/29/2020 06:12:09.635</v>
      </c>
      <c r="C170" t="str">
        <f t="shared" si="6"/>
        <v>FFDFD3C0</v>
      </c>
      <c r="D170" t="s">
        <v>121</v>
      </c>
      <c r="E170">
        <v>13</v>
      </c>
      <c r="F170">
        <v>1013</v>
      </c>
      <c r="G170" t="s">
        <v>122</v>
      </c>
      <c r="J170" t="s">
        <v>123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"06:12:12.859"</f>
        <v>06:12:12.859</v>
      </c>
      <c r="T170" t="str">
        <f>"06:12:12.459"</f>
        <v>06:12:12.459</v>
      </c>
      <c r="U170" t="str">
        <f t="shared" si="7"/>
        <v>A7E2E0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211</v>
      </c>
      <c r="AJ170">
        <v>39.129953</v>
      </c>
      <c r="AK170" t="s">
        <v>212</v>
      </c>
      <c r="AL170">
        <v>-87.448661000000001</v>
      </c>
      <c r="AM170">
        <v>100</v>
      </c>
      <c r="AN170">
        <v>1400</v>
      </c>
      <c r="AO170" t="s">
        <v>118</v>
      </c>
      <c r="AP170">
        <v>-18</v>
      </c>
      <c r="AQ170">
        <v>91</v>
      </c>
      <c r="AR170">
        <v>832</v>
      </c>
      <c r="AZ170">
        <v>4552</v>
      </c>
      <c r="BA170">
        <v>1</v>
      </c>
      <c r="BB170" t="str">
        <f t="shared" si="8"/>
        <v xml:space="preserve">N607SR  </v>
      </c>
      <c r="BC170">
        <v>1</v>
      </c>
      <c r="BE170">
        <v>0</v>
      </c>
      <c r="BF170">
        <v>0</v>
      </c>
      <c r="BG170">
        <v>0</v>
      </c>
      <c r="BH170">
        <v>1150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"06:12:12.863"</f>
        <v>06:12:12.863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6</v>
      </c>
      <c r="CP170" t="s">
        <v>119</v>
      </c>
      <c r="CQ170">
        <v>457</v>
      </c>
      <c r="CR170">
        <v>0</v>
      </c>
      <c r="CW170">
        <v>15509623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"08/29/2020 06:12:09.635"</f>
        <v>08/29/2020 06:12:09.635</v>
      </c>
      <c r="C171" t="str">
        <f t="shared" si="6"/>
        <v>FFDFD3C0</v>
      </c>
      <c r="D171" t="s">
        <v>121</v>
      </c>
      <c r="E171">
        <v>11</v>
      </c>
      <c r="F171">
        <v>1011</v>
      </c>
      <c r="G171" t="s">
        <v>125</v>
      </c>
      <c r="J171" t="s">
        <v>123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"06:12:12.859"</f>
        <v>06:12:12.859</v>
      </c>
      <c r="T171" t="str">
        <f>"06:12:12.459"</f>
        <v>06:12:12.459</v>
      </c>
      <c r="U171" t="str">
        <f t="shared" si="7"/>
        <v>A7E2E0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0</v>
      </c>
      <c r="AI171" t="s">
        <v>211</v>
      </c>
      <c r="AJ171">
        <v>39.129953</v>
      </c>
      <c r="AK171" t="s">
        <v>212</v>
      </c>
      <c r="AL171">
        <v>-87.448661000000001</v>
      </c>
      <c r="AM171">
        <v>100</v>
      </c>
      <c r="AN171">
        <v>1400</v>
      </c>
      <c r="AO171" t="s">
        <v>118</v>
      </c>
      <c r="AP171">
        <v>-18</v>
      </c>
      <c r="AQ171">
        <v>91</v>
      </c>
      <c r="AR171">
        <v>832</v>
      </c>
      <c r="AZ171">
        <v>4552</v>
      </c>
      <c r="BA171">
        <v>1</v>
      </c>
      <c r="BB171" t="str">
        <f t="shared" si="8"/>
        <v xml:space="preserve">N607SR  </v>
      </c>
      <c r="BC171">
        <v>1</v>
      </c>
      <c r="BE171">
        <v>0</v>
      </c>
      <c r="BF171">
        <v>0</v>
      </c>
      <c r="BG171">
        <v>0</v>
      </c>
      <c r="BH171">
        <v>1150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"06:12:12.863"</f>
        <v>06:12:12.863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6</v>
      </c>
      <c r="CP171" t="s">
        <v>119</v>
      </c>
      <c r="CQ171">
        <v>457</v>
      </c>
      <c r="CR171">
        <v>0</v>
      </c>
      <c r="CW171">
        <v>15509623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"08/29/2020 06:12:10.090"</f>
        <v>08/29/2020 06:12:10.090</v>
      </c>
      <c r="C172" t="str">
        <f t="shared" si="6"/>
        <v>FFDFD3C0</v>
      </c>
      <c r="D172" t="s">
        <v>113</v>
      </c>
      <c r="E172">
        <v>5</v>
      </c>
      <c r="H172">
        <v>163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"06:12:13.344"</f>
        <v>06:12:13.344</v>
      </c>
      <c r="T172" t="str">
        <f>"06:12:12.944"</f>
        <v>06:12:12.944</v>
      </c>
      <c r="U172" t="str">
        <f t="shared" si="7"/>
        <v>A7E2E0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213</v>
      </c>
      <c r="AJ172">
        <v>39.130189000000001</v>
      </c>
      <c r="AK172" t="s">
        <v>214</v>
      </c>
      <c r="AL172">
        <v>-87.448725999999994</v>
      </c>
      <c r="AM172">
        <v>100</v>
      </c>
      <c r="AN172">
        <v>1400</v>
      </c>
      <c r="AO172" t="s">
        <v>118</v>
      </c>
      <c r="AP172">
        <v>-18</v>
      </c>
      <c r="AQ172">
        <v>91</v>
      </c>
      <c r="AR172">
        <v>896</v>
      </c>
      <c r="AZ172">
        <v>4552</v>
      </c>
      <c r="BA172">
        <v>1</v>
      </c>
      <c r="BB172" t="str">
        <f t="shared" si="8"/>
        <v xml:space="preserve">N607SR  </v>
      </c>
      <c r="BC172">
        <v>1</v>
      </c>
      <c r="BE172">
        <v>0</v>
      </c>
      <c r="BF172">
        <v>0</v>
      </c>
      <c r="BG172">
        <v>0</v>
      </c>
      <c r="BH172">
        <v>1150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"06:12:13.344"</f>
        <v>06:12:13.344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6</v>
      </c>
      <c r="CP172" t="s">
        <v>119</v>
      </c>
      <c r="CQ172">
        <v>457</v>
      </c>
      <c r="CR172">
        <v>0</v>
      </c>
      <c r="CW172">
        <v>15509633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"08/29/2020 06:12:10.090"</f>
        <v>08/29/2020 06:12:10.090</v>
      </c>
      <c r="C173" t="str">
        <f t="shared" si="6"/>
        <v>FFDFD3C0</v>
      </c>
      <c r="D173" t="s">
        <v>128</v>
      </c>
      <c r="E173">
        <v>5</v>
      </c>
      <c r="H173">
        <v>241</v>
      </c>
      <c r="I173" t="s">
        <v>129</v>
      </c>
      <c r="J173" t="s">
        <v>130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"06:12:13.344"</f>
        <v>06:12:13.344</v>
      </c>
      <c r="T173" t="str">
        <f>"06:12:12.944"</f>
        <v>06:12:12.944</v>
      </c>
      <c r="U173" t="str">
        <f t="shared" si="7"/>
        <v>A7E2E0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213</v>
      </c>
      <c r="AJ173">
        <v>39.130189000000001</v>
      </c>
      <c r="AK173" t="s">
        <v>214</v>
      </c>
      <c r="AL173">
        <v>-87.448725999999994</v>
      </c>
      <c r="AM173">
        <v>100</v>
      </c>
      <c r="AN173">
        <v>1400</v>
      </c>
      <c r="AO173" t="s">
        <v>118</v>
      </c>
      <c r="AP173">
        <v>-18</v>
      </c>
      <c r="AQ173">
        <v>91</v>
      </c>
      <c r="AR173">
        <v>896</v>
      </c>
      <c r="AZ173">
        <v>4552</v>
      </c>
      <c r="BA173">
        <v>1</v>
      </c>
      <c r="BB173" t="str">
        <f t="shared" si="8"/>
        <v xml:space="preserve">N607SR  </v>
      </c>
      <c r="BC173">
        <v>1</v>
      </c>
      <c r="BE173">
        <v>0</v>
      </c>
      <c r="BF173">
        <v>0</v>
      </c>
      <c r="BG173">
        <v>0</v>
      </c>
      <c r="BH173">
        <v>1150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"06:12:13.344"</f>
        <v>06:12:13.344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6</v>
      </c>
      <c r="CP173" t="s">
        <v>119</v>
      </c>
      <c r="CQ173">
        <v>457</v>
      </c>
      <c r="CR173">
        <v>0</v>
      </c>
      <c r="CW173">
        <v>15509633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"08/29/2020 06:12:10.596"</f>
        <v>08/29/2020 06:12:10.596</v>
      </c>
      <c r="C174" t="str">
        <f t="shared" si="6"/>
        <v>FFDFD3C0</v>
      </c>
      <c r="D174" t="s">
        <v>121</v>
      </c>
      <c r="E174">
        <v>10</v>
      </c>
      <c r="F174">
        <v>1010</v>
      </c>
      <c r="G174" t="s">
        <v>114</v>
      </c>
      <c r="J174" t="s">
        <v>123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"06:12:13.836"</f>
        <v>06:12:13.836</v>
      </c>
      <c r="T174" t="str">
        <f>"06:12:13.436"</f>
        <v>06:12:13.436</v>
      </c>
      <c r="U174" t="str">
        <f t="shared" si="7"/>
        <v>A7E2E0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0</v>
      </c>
      <c r="AI174" t="s">
        <v>215</v>
      </c>
      <c r="AJ174">
        <v>39.130361000000001</v>
      </c>
      <c r="AK174" t="s">
        <v>216</v>
      </c>
      <c r="AL174">
        <v>-87.448790000000002</v>
      </c>
      <c r="AM174">
        <v>100</v>
      </c>
      <c r="AN174">
        <v>1400</v>
      </c>
      <c r="AO174" t="s">
        <v>118</v>
      </c>
      <c r="AP174">
        <v>-18</v>
      </c>
      <c r="AQ174">
        <v>91</v>
      </c>
      <c r="AR174">
        <v>896</v>
      </c>
      <c r="AZ174">
        <v>4552</v>
      </c>
      <c r="BA174">
        <v>1</v>
      </c>
      <c r="BB174" t="str">
        <f t="shared" si="8"/>
        <v xml:space="preserve">N607SR  </v>
      </c>
      <c r="BC174">
        <v>1</v>
      </c>
      <c r="BE174">
        <v>0</v>
      </c>
      <c r="BF174">
        <v>0</v>
      </c>
      <c r="BG174">
        <v>0</v>
      </c>
      <c r="BH174">
        <v>1150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"06:12:13.841"</f>
        <v>06:12:13.841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6</v>
      </c>
      <c r="CP174" t="s">
        <v>119</v>
      </c>
      <c r="CQ174">
        <v>457</v>
      </c>
      <c r="CR174">
        <v>0</v>
      </c>
      <c r="CW174">
        <v>15509650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"08/29/2020 06:12:10.596"</f>
        <v>08/29/2020 06:12:10.596</v>
      </c>
      <c r="C175" t="str">
        <f t="shared" si="6"/>
        <v>FFDFD3C0</v>
      </c>
      <c r="D175" t="s">
        <v>121</v>
      </c>
      <c r="E175">
        <v>13</v>
      </c>
      <c r="F175">
        <v>1013</v>
      </c>
      <c r="G175" t="s">
        <v>122</v>
      </c>
      <c r="J175" t="s">
        <v>123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"06:12:13.836"</f>
        <v>06:12:13.836</v>
      </c>
      <c r="U175" t="str">
        <f t="shared" si="7"/>
        <v>A7E2E0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215</v>
      </c>
      <c r="AJ175">
        <v>39.130361000000001</v>
      </c>
      <c r="AK175" t="s">
        <v>216</v>
      </c>
      <c r="AL175">
        <v>-87.448790000000002</v>
      </c>
      <c r="AM175">
        <v>100</v>
      </c>
      <c r="AN175">
        <v>1400</v>
      </c>
      <c r="AO175" t="s">
        <v>118</v>
      </c>
      <c r="AP175">
        <v>-18</v>
      </c>
      <c r="AQ175">
        <v>92</v>
      </c>
      <c r="AR175">
        <v>896</v>
      </c>
      <c r="AZ175">
        <v>4552</v>
      </c>
      <c r="BA175">
        <v>1</v>
      </c>
      <c r="BB175" t="str">
        <f t="shared" si="8"/>
        <v xml:space="preserve">N607SR  </v>
      </c>
      <c r="BC175">
        <v>1</v>
      </c>
      <c r="BE175">
        <v>0</v>
      </c>
      <c r="BF175">
        <v>0</v>
      </c>
      <c r="BG175">
        <v>0</v>
      </c>
      <c r="BH175">
        <v>1175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"06:12:13.841"</f>
        <v>06:12:13.841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5</v>
      </c>
      <c r="CP175" t="s">
        <v>119</v>
      </c>
      <c r="CQ175">
        <v>533</v>
      </c>
      <c r="CR175">
        <v>0</v>
      </c>
      <c r="CW175">
        <v>12009084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"08/29/2020 06:12:10.596"</f>
        <v>08/29/2020 06:12:10.596</v>
      </c>
      <c r="C176" t="str">
        <f t="shared" si="6"/>
        <v>FFDFD3C0</v>
      </c>
      <c r="D176" t="s">
        <v>121</v>
      </c>
      <c r="E176">
        <v>11</v>
      </c>
      <c r="F176">
        <v>1011</v>
      </c>
      <c r="G176" t="s">
        <v>125</v>
      </c>
      <c r="J176" t="s">
        <v>123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"06:12:13.836"</f>
        <v>06:12:13.836</v>
      </c>
      <c r="T176" t="str">
        <f>"06:12:13.436"</f>
        <v>06:12:13.436</v>
      </c>
      <c r="U176" t="str">
        <f t="shared" si="7"/>
        <v>A7E2E0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215</v>
      </c>
      <c r="AJ176">
        <v>39.130361000000001</v>
      </c>
      <c r="AK176" t="s">
        <v>216</v>
      </c>
      <c r="AL176">
        <v>-87.448790000000002</v>
      </c>
      <c r="AM176">
        <v>100</v>
      </c>
      <c r="AN176">
        <v>1400</v>
      </c>
      <c r="AO176" t="s">
        <v>118</v>
      </c>
      <c r="AP176">
        <v>-18</v>
      </c>
      <c r="AQ176">
        <v>91</v>
      </c>
      <c r="AR176">
        <v>896</v>
      </c>
      <c r="AZ176">
        <v>4552</v>
      </c>
      <c r="BA176">
        <v>1</v>
      </c>
      <c r="BB176" t="str">
        <f t="shared" si="8"/>
        <v xml:space="preserve">N607SR  </v>
      </c>
      <c r="BC176">
        <v>1</v>
      </c>
      <c r="BE176">
        <v>0</v>
      </c>
      <c r="BF176">
        <v>0</v>
      </c>
      <c r="BG176">
        <v>0</v>
      </c>
      <c r="BH176">
        <v>1150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"06:12:13.841"</f>
        <v>06:12:13.841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6</v>
      </c>
      <c r="CP176" t="s">
        <v>119</v>
      </c>
      <c r="CQ176">
        <v>177</v>
      </c>
      <c r="CR176">
        <v>2</v>
      </c>
      <c r="CW176">
        <v>1604221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"08/29/2020 06:12:11.101"</f>
        <v>08/29/2020 06:12:11.101</v>
      </c>
      <c r="C177" t="str">
        <f t="shared" si="6"/>
        <v>FFDFD3C0</v>
      </c>
      <c r="D177" t="s">
        <v>128</v>
      </c>
      <c r="E177">
        <v>5</v>
      </c>
      <c r="H177">
        <v>241</v>
      </c>
      <c r="I177" t="s">
        <v>129</v>
      </c>
      <c r="J177" t="s">
        <v>130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"06:12:14.289"</f>
        <v>06:12:14.289</v>
      </c>
      <c r="T177" t="str">
        <f>"06:12:13.889"</f>
        <v>06:12:13.889</v>
      </c>
      <c r="U177" t="str">
        <f t="shared" si="7"/>
        <v>A7E2E0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0</v>
      </c>
      <c r="AI177" t="s">
        <v>217</v>
      </c>
      <c r="AJ177">
        <v>39.130597000000002</v>
      </c>
      <c r="AK177" t="s">
        <v>218</v>
      </c>
      <c r="AL177">
        <v>-87.448832999999993</v>
      </c>
      <c r="AM177">
        <v>100</v>
      </c>
      <c r="AN177">
        <v>1400</v>
      </c>
      <c r="AO177" t="s">
        <v>118</v>
      </c>
      <c r="AP177">
        <v>-18</v>
      </c>
      <c r="AQ177">
        <v>92</v>
      </c>
      <c r="AR177">
        <v>896</v>
      </c>
      <c r="AZ177">
        <v>4552</v>
      </c>
      <c r="BA177">
        <v>1</v>
      </c>
      <c r="BB177" t="str">
        <f t="shared" si="8"/>
        <v xml:space="preserve">N607SR  </v>
      </c>
      <c r="BC177">
        <v>1</v>
      </c>
      <c r="BE177">
        <v>0</v>
      </c>
      <c r="BF177">
        <v>0</v>
      </c>
      <c r="BG177">
        <v>0</v>
      </c>
      <c r="BH177">
        <v>1175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"06:12:14.296"</f>
        <v>06:12:14.296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457</v>
      </c>
      <c r="CR177">
        <v>0</v>
      </c>
      <c r="CW177">
        <v>15509664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"08/29/2020 06:12:11.101"</f>
        <v>08/29/2020 06:12:11.101</v>
      </c>
      <c r="C178" t="str">
        <f t="shared" si="6"/>
        <v>FFDFD3C0</v>
      </c>
      <c r="D178" t="s">
        <v>113</v>
      </c>
      <c r="E178">
        <v>5</v>
      </c>
      <c r="H178">
        <v>163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"06:12:14.289"</f>
        <v>06:12:14.289</v>
      </c>
      <c r="T178" t="str">
        <f>"06:12:13.889"</f>
        <v>06:12:13.889</v>
      </c>
      <c r="U178" t="str">
        <f t="shared" si="7"/>
        <v>A7E2E0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217</v>
      </c>
      <c r="AJ178">
        <v>39.130597000000002</v>
      </c>
      <c r="AK178" t="s">
        <v>218</v>
      </c>
      <c r="AL178">
        <v>-87.448832999999993</v>
      </c>
      <c r="AM178">
        <v>100</v>
      </c>
      <c r="AN178">
        <v>1400</v>
      </c>
      <c r="AO178" t="s">
        <v>118</v>
      </c>
      <c r="AP178">
        <v>-18</v>
      </c>
      <c r="AQ178">
        <v>92</v>
      </c>
      <c r="AR178">
        <v>896</v>
      </c>
      <c r="AZ178">
        <v>4552</v>
      </c>
      <c r="BA178">
        <v>1</v>
      </c>
      <c r="BB178" t="str">
        <f t="shared" si="8"/>
        <v xml:space="preserve">N607SR  </v>
      </c>
      <c r="BC178">
        <v>1</v>
      </c>
      <c r="BE178">
        <v>0</v>
      </c>
      <c r="BF178">
        <v>0</v>
      </c>
      <c r="BG178">
        <v>0</v>
      </c>
      <c r="BH178">
        <v>1175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"06:12:14.296"</f>
        <v>06:12:14.296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457</v>
      </c>
      <c r="CR178">
        <v>0</v>
      </c>
      <c r="CW178">
        <v>15509664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"08/29/2020 06:12:11.505"</f>
        <v>08/29/2020 06:12:11.505</v>
      </c>
      <c r="C179" t="str">
        <f t="shared" si="6"/>
        <v>FFDFD3C0</v>
      </c>
      <c r="D179" t="s">
        <v>121</v>
      </c>
      <c r="E179">
        <v>10</v>
      </c>
      <c r="F179">
        <v>1010</v>
      </c>
      <c r="G179" t="s">
        <v>114</v>
      </c>
      <c r="J179" t="s">
        <v>123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"06:12:14.719"</f>
        <v>06:12:14.719</v>
      </c>
      <c r="T179" t="str">
        <f>"06:12:14.319"</f>
        <v>06:12:14.319</v>
      </c>
      <c r="U179" t="str">
        <f t="shared" si="7"/>
        <v>A7E2E0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219</v>
      </c>
      <c r="AJ179">
        <v>39.130789999999998</v>
      </c>
      <c r="AK179" t="s">
        <v>218</v>
      </c>
      <c r="AL179">
        <v>-87.448832999999993</v>
      </c>
      <c r="AM179">
        <v>100</v>
      </c>
      <c r="AN179">
        <v>1400</v>
      </c>
      <c r="AO179" t="s">
        <v>118</v>
      </c>
      <c r="AP179">
        <v>-18</v>
      </c>
      <c r="AQ179">
        <v>92</v>
      </c>
      <c r="AR179">
        <v>960</v>
      </c>
      <c r="AZ179">
        <v>4552</v>
      </c>
      <c r="BA179">
        <v>1</v>
      </c>
      <c r="BB179" t="str">
        <f t="shared" si="8"/>
        <v xml:space="preserve">N607SR  </v>
      </c>
      <c r="BC179">
        <v>1</v>
      </c>
      <c r="BE179">
        <v>0</v>
      </c>
      <c r="BF179">
        <v>0</v>
      </c>
      <c r="BG179">
        <v>0</v>
      </c>
      <c r="BH179">
        <v>1175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"06:12:14.721"</f>
        <v>06:12:14.721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457</v>
      </c>
      <c r="CR179">
        <v>0</v>
      </c>
      <c r="CW179">
        <v>15509675</v>
      </c>
      <c r="CY179">
        <v>1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"08/29/2020 06:12:11.505"</f>
        <v>08/29/2020 06:12:11.505</v>
      </c>
      <c r="C180" t="str">
        <f t="shared" si="6"/>
        <v>FFDFD3C0</v>
      </c>
      <c r="D180" t="s">
        <v>121</v>
      </c>
      <c r="E180">
        <v>13</v>
      </c>
      <c r="F180">
        <v>1013</v>
      </c>
      <c r="G180" t="s">
        <v>122</v>
      </c>
      <c r="J180" t="s">
        <v>123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"06:12:14.719"</f>
        <v>06:12:14.719</v>
      </c>
      <c r="T180" t="str">
        <f>"06:12:14.319"</f>
        <v>06:12:14.319</v>
      </c>
      <c r="U180" t="str">
        <f t="shared" si="7"/>
        <v>A7E2E0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219</v>
      </c>
      <c r="AJ180">
        <v>39.130789999999998</v>
      </c>
      <c r="AK180" t="s">
        <v>218</v>
      </c>
      <c r="AL180">
        <v>-87.448832999999993</v>
      </c>
      <c r="AM180">
        <v>100</v>
      </c>
      <c r="AN180">
        <v>1400</v>
      </c>
      <c r="AO180" t="s">
        <v>118</v>
      </c>
      <c r="AP180">
        <v>-18</v>
      </c>
      <c r="AQ180">
        <v>92</v>
      </c>
      <c r="AR180">
        <v>960</v>
      </c>
      <c r="AZ180">
        <v>4552</v>
      </c>
      <c r="BA180">
        <v>1</v>
      </c>
      <c r="BB180" t="str">
        <f t="shared" si="8"/>
        <v xml:space="preserve">N607SR  </v>
      </c>
      <c r="BC180">
        <v>1</v>
      </c>
      <c r="BE180">
        <v>0</v>
      </c>
      <c r="BF180">
        <v>0</v>
      </c>
      <c r="BG180">
        <v>0</v>
      </c>
      <c r="BH180">
        <v>1175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"06:12:14.721"</f>
        <v>06:12:14.721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457</v>
      </c>
      <c r="CR180">
        <v>0</v>
      </c>
      <c r="CW180">
        <v>15509675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"08/29/2020 06:12:11.505"</f>
        <v>08/29/2020 06:12:11.505</v>
      </c>
      <c r="C181" t="str">
        <f t="shared" si="6"/>
        <v>FFDFD3C0</v>
      </c>
      <c r="D181" t="s">
        <v>121</v>
      </c>
      <c r="E181">
        <v>11</v>
      </c>
      <c r="F181">
        <v>1011</v>
      </c>
      <c r="G181" t="s">
        <v>125</v>
      </c>
      <c r="J181" t="s">
        <v>123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"06:12:14.719"</f>
        <v>06:12:14.719</v>
      </c>
      <c r="T181" t="str">
        <f>"06:12:14.319"</f>
        <v>06:12:14.319</v>
      </c>
      <c r="U181" t="str">
        <f t="shared" si="7"/>
        <v>A7E2E0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219</v>
      </c>
      <c r="AJ181">
        <v>39.130789999999998</v>
      </c>
      <c r="AK181" t="s">
        <v>218</v>
      </c>
      <c r="AL181">
        <v>-87.448832999999993</v>
      </c>
      <c r="AM181">
        <v>100</v>
      </c>
      <c r="AN181">
        <v>1400</v>
      </c>
      <c r="AO181" t="s">
        <v>118</v>
      </c>
      <c r="AP181">
        <v>-18</v>
      </c>
      <c r="AQ181">
        <v>92</v>
      </c>
      <c r="AR181">
        <v>960</v>
      </c>
      <c r="AZ181">
        <v>4552</v>
      </c>
      <c r="BA181">
        <v>1</v>
      </c>
      <c r="BB181" t="str">
        <f t="shared" si="8"/>
        <v xml:space="preserve">N607SR  </v>
      </c>
      <c r="BC181">
        <v>1</v>
      </c>
      <c r="BE181">
        <v>0</v>
      </c>
      <c r="BF181">
        <v>0</v>
      </c>
      <c r="BG181">
        <v>0</v>
      </c>
      <c r="BH181">
        <v>1175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"06:12:14.721"</f>
        <v>06:12:14.721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457</v>
      </c>
      <c r="CR181">
        <v>0</v>
      </c>
      <c r="CW181">
        <v>15509675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"08/29/2020 06:12:11.960"</f>
        <v>08/29/2020 06:12:11.960</v>
      </c>
      <c r="C182" t="str">
        <f t="shared" si="6"/>
        <v>FFDFD3C0</v>
      </c>
      <c r="D182" t="s">
        <v>128</v>
      </c>
      <c r="E182">
        <v>5</v>
      </c>
      <c r="H182">
        <v>241</v>
      </c>
      <c r="I182" t="s">
        <v>129</v>
      </c>
      <c r="J182" t="s">
        <v>130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"06:12:15.172"</f>
        <v>06:12:15.172</v>
      </c>
      <c r="U182" t="str">
        <f t="shared" si="7"/>
        <v>A7E2E0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220</v>
      </c>
      <c r="AJ182">
        <v>39.130961999999997</v>
      </c>
      <c r="AK182" t="s">
        <v>221</v>
      </c>
      <c r="AL182">
        <v>-87.448897000000002</v>
      </c>
      <c r="AM182">
        <v>100</v>
      </c>
      <c r="AN182">
        <v>1400</v>
      </c>
      <c r="AO182" t="s">
        <v>118</v>
      </c>
      <c r="AP182">
        <v>-17</v>
      </c>
      <c r="AQ182">
        <v>92</v>
      </c>
      <c r="AR182">
        <v>960</v>
      </c>
      <c r="AZ182">
        <v>4552</v>
      </c>
      <c r="BA182">
        <v>1</v>
      </c>
      <c r="BB182" t="str">
        <f t="shared" si="8"/>
        <v xml:space="preserve">N607SR  </v>
      </c>
      <c r="BC182">
        <v>1</v>
      </c>
      <c r="BE182">
        <v>0</v>
      </c>
      <c r="BF182">
        <v>0</v>
      </c>
      <c r="BG182">
        <v>0</v>
      </c>
      <c r="BH182">
        <v>1200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"06:12:15.176"</f>
        <v>06:12:15.176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457</v>
      </c>
      <c r="CR182">
        <v>0</v>
      </c>
      <c r="CW182">
        <v>15509690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"08/29/2020 06:12:11.960"</f>
        <v>08/29/2020 06:12:11.960</v>
      </c>
      <c r="C183" t="str">
        <f t="shared" si="6"/>
        <v>FFDFD3C0</v>
      </c>
      <c r="D183" t="s">
        <v>113</v>
      </c>
      <c r="E183">
        <v>5</v>
      </c>
      <c r="H183">
        <v>163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"06:12:15.172"</f>
        <v>06:12:15.172</v>
      </c>
      <c r="U183" t="str">
        <f t="shared" si="7"/>
        <v>A7E2E0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0</v>
      </c>
      <c r="AI183" t="s">
        <v>220</v>
      </c>
      <c r="AJ183">
        <v>39.130961999999997</v>
      </c>
      <c r="AK183" t="s">
        <v>221</v>
      </c>
      <c r="AL183">
        <v>-87.448897000000002</v>
      </c>
      <c r="AM183">
        <v>100</v>
      </c>
      <c r="AN183">
        <v>1400</v>
      </c>
      <c r="AO183" t="s">
        <v>118</v>
      </c>
      <c r="AP183">
        <v>-17</v>
      </c>
      <c r="AQ183">
        <v>92</v>
      </c>
      <c r="AR183">
        <v>960</v>
      </c>
      <c r="AZ183">
        <v>4552</v>
      </c>
      <c r="BA183">
        <v>1</v>
      </c>
      <c r="BB183" t="str">
        <f t="shared" si="8"/>
        <v xml:space="preserve">N607SR  </v>
      </c>
      <c r="BC183">
        <v>1</v>
      </c>
      <c r="BE183">
        <v>0</v>
      </c>
      <c r="BF183">
        <v>0</v>
      </c>
      <c r="BG183">
        <v>0</v>
      </c>
      <c r="BH183">
        <v>1200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"06:12:15.176"</f>
        <v>06:12:15.176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457</v>
      </c>
      <c r="CR183">
        <v>0</v>
      </c>
      <c r="CW183">
        <v>15509690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"08/29/2020 06:12:12.517"</f>
        <v>08/29/2020 06:12:12.517</v>
      </c>
      <c r="C184" t="str">
        <f t="shared" si="6"/>
        <v>FFDFD3C0</v>
      </c>
      <c r="D184" t="s">
        <v>121</v>
      </c>
      <c r="E184">
        <v>10</v>
      </c>
      <c r="F184">
        <v>1010</v>
      </c>
      <c r="G184" t="s">
        <v>114</v>
      </c>
      <c r="J184" t="s">
        <v>123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"06:12:15.734"</f>
        <v>06:12:15.734</v>
      </c>
      <c r="T184" t="str">
        <f>"06:12:15.234"</f>
        <v>06:12:15.234</v>
      </c>
      <c r="U184" t="str">
        <f t="shared" si="7"/>
        <v>A7E2E0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222</v>
      </c>
      <c r="AJ184">
        <v>39.131197999999998</v>
      </c>
      <c r="AK184" t="s">
        <v>223</v>
      </c>
      <c r="AL184">
        <v>-87.448961999999995</v>
      </c>
      <c r="AM184">
        <v>100</v>
      </c>
      <c r="AN184">
        <v>1500</v>
      </c>
      <c r="AO184" t="s">
        <v>118</v>
      </c>
      <c r="AP184">
        <v>-17</v>
      </c>
      <c r="AQ184">
        <v>92</v>
      </c>
      <c r="AR184">
        <v>960</v>
      </c>
      <c r="AZ184">
        <v>4552</v>
      </c>
      <c r="BA184">
        <v>1</v>
      </c>
      <c r="BB184" t="str">
        <f t="shared" si="8"/>
        <v xml:space="preserve">N607SR  </v>
      </c>
      <c r="BC184">
        <v>1</v>
      </c>
      <c r="BE184">
        <v>0</v>
      </c>
      <c r="BF184">
        <v>0</v>
      </c>
      <c r="BG184">
        <v>0</v>
      </c>
      <c r="BH184">
        <v>1300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"06:12:15.741"</f>
        <v>06:12:15.741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457</v>
      </c>
      <c r="CR184">
        <v>0</v>
      </c>
      <c r="CW184">
        <v>15509708</v>
      </c>
      <c r="CY184">
        <v>1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"08/29/2020 06:12:12.517"</f>
        <v>08/29/2020 06:12:12.517</v>
      </c>
      <c r="C185" t="str">
        <f t="shared" si="6"/>
        <v>FFDFD3C0</v>
      </c>
      <c r="D185" t="s">
        <v>121</v>
      </c>
      <c r="E185">
        <v>13</v>
      </c>
      <c r="F185">
        <v>1013</v>
      </c>
      <c r="G185" t="s">
        <v>122</v>
      </c>
      <c r="J185" t="s">
        <v>123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"06:12:15.734"</f>
        <v>06:12:15.734</v>
      </c>
      <c r="T185" t="str">
        <f>"06:12:15.234"</f>
        <v>06:12:15.234</v>
      </c>
      <c r="U185" t="str">
        <f t="shared" si="7"/>
        <v>A7E2E0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222</v>
      </c>
      <c r="AJ185">
        <v>39.131197999999998</v>
      </c>
      <c r="AK185" t="s">
        <v>223</v>
      </c>
      <c r="AL185">
        <v>-87.448961999999995</v>
      </c>
      <c r="AM185">
        <v>100</v>
      </c>
      <c r="AN185">
        <v>1500</v>
      </c>
      <c r="AO185" t="s">
        <v>118</v>
      </c>
      <c r="AP185">
        <v>-17</v>
      </c>
      <c r="AQ185">
        <v>92</v>
      </c>
      <c r="AR185">
        <v>960</v>
      </c>
      <c r="AZ185">
        <v>4552</v>
      </c>
      <c r="BA185">
        <v>1</v>
      </c>
      <c r="BB185" t="str">
        <f t="shared" si="8"/>
        <v xml:space="preserve">N607SR  </v>
      </c>
      <c r="BC185">
        <v>1</v>
      </c>
      <c r="BE185">
        <v>0</v>
      </c>
      <c r="BF185">
        <v>0</v>
      </c>
      <c r="BG185">
        <v>0</v>
      </c>
      <c r="BH185">
        <v>1300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"06:12:15.741"</f>
        <v>06:12:15.741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457</v>
      </c>
      <c r="CR185">
        <v>0</v>
      </c>
      <c r="CW185">
        <v>15509708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"08/29/2020 06:12:12.517"</f>
        <v>08/29/2020 06:12:12.517</v>
      </c>
      <c r="C186" t="str">
        <f t="shared" si="6"/>
        <v>FFDFD3C0</v>
      </c>
      <c r="D186" t="s">
        <v>121</v>
      </c>
      <c r="E186">
        <v>11</v>
      </c>
      <c r="F186">
        <v>1011</v>
      </c>
      <c r="G186" t="s">
        <v>125</v>
      </c>
      <c r="J186" t="s">
        <v>123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"06:12:15.734"</f>
        <v>06:12:15.734</v>
      </c>
      <c r="T186" t="str">
        <f>"06:12:15.234"</f>
        <v>06:12:15.234</v>
      </c>
      <c r="U186" t="str">
        <f t="shared" si="7"/>
        <v>A7E2E0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222</v>
      </c>
      <c r="AJ186">
        <v>39.131197999999998</v>
      </c>
      <c r="AK186" t="s">
        <v>223</v>
      </c>
      <c r="AL186">
        <v>-87.448961999999995</v>
      </c>
      <c r="AM186">
        <v>100</v>
      </c>
      <c r="AN186">
        <v>1500</v>
      </c>
      <c r="AO186" t="s">
        <v>118</v>
      </c>
      <c r="AP186">
        <v>-17</v>
      </c>
      <c r="AQ186">
        <v>92</v>
      </c>
      <c r="AR186">
        <v>960</v>
      </c>
      <c r="AZ186">
        <v>4552</v>
      </c>
      <c r="BA186">
        <v>1</v>
      </c>
      <c r="BB186" t="str">
        <f t="shared" si="8"/>
        <v xml:space="preserve">N607SR  </v>
      </c>
      <c r="BC186">
        <v>1</v>
      </c>
      <c r="BE186">
        <v>0</v>
      </c>
      <c r="BF186">
        <v>0</v>
      </c>
      <c r="BG186">
        <v>0</v>
      </c>
      <c r="BH186">
        <v>1300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"06:12:15.741"</f>
        <v>06:12:15.741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457</v>
      </c>
      <c r="CR186">
        <v>0</v>
      </c>
      <c r="CW186">
        <v>15509708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"08/29/2020 06:12:13.072"</f>
        <v>08/29/2020 06:12:13.072</v>
      </c>
      <c r="C187" t="str">
        <f t="shared" si="6"/>
        <v>FFDFD3C0</v>
      </c>
      <c r="D187" t="s">
        <v>128</v>
      </c>
      <c r="E187">
        <v>5</v>
      </c>
      <c r="H187">
        <v>241</v>
      </c>
      <c r="I187" t="s">
        <v>129</v>
      </c>
      <c r="J187" t="s">
        <v>130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"06:12:16.266"</f>
        <v>06:12:16.266</v>
      </c>
      <c r="T187" t="str">
        <f>"06:12:15.766"</f>
        <v>06:12:15.766</v>
      </c>
      <c r="U187" t="str">
        <f t="shared" si="7"/>
        <v>A7E2E0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224</v>
      </c>
      <c r="AJ187">
        <v>39.131433999999999</v>
      </c>
      <c r="AK187" t="s">
        <v>225</v>
      </c>
      <c r="AL187">
        <v>-87.449026000000003</v>
      </c>
      <c r="AM187">
        <v>100</v>
      </c>
      <c r="AN187">
        <v>1500</v>
      </c>
      <c r="AO187" t="s">
        <v>118</v>
      </c>
      <c r="AP187">
        <v>-17</v>
      </c>
      <c r="AQ187">
        <v>93</v>
      </c>
      <c r="AR187">
        <v>1024</v>
      </c>
      <c r="AZ187">
        <v>4552</v>
      </c>
      <c r="BA187">
        <v>1</v>
      </c>
      <c r="BB187" t="str">
        <f t="shared" si="8"/>
        <v xml:space="preserve">N607SR  </v>
      </c>
      <c r="BC187">
        <v>1</v>
      </c>
      <c r="BE187">
        <v>0</v>
      </c>
      <c r="BF187">
        <v>0</v>
      </c>
      <c r="BG187">
        <v>0</v>
      </c>
      <c r="BH187">
        <v>1200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"06:12:16.267"</f>
        <v>06:12:16.267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457</v>
      </c>
      <c r="CR187">
        <v>0</v>
      </c>
      <c r="CW187">
        <v>15509728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"08/29/2020 06:12:13.072"</f>
        <v>08/29/2020 06:12:13.072</v>
      </c>
      <c r="C188" t="str">
        <f t="shared" si="6"/>
        <v>FFDFD3C0</v>
      </c>
      <c r="D188" t="s">
        <v>113</v>
      </c>
      <c r="E188">
        <v>5</v>
      </c>
      <c r="H188">
        <v>163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"06:12:16.266"</f>
        <v>06:12:16.266</v>
      </c>
      <c r="T188" t="str">
        <f>"06:12:15.766"</f>
        <v>06:12:15.766</v>
      </c>
      <c r="U188" t="str">
        <f t="shared" si="7"/>
        <v>A7E2E0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0</v>
      </c>
      <c r="AI188" t="s">
        <v>224</v>
      </c>
      <c r="AJ188">
        <v>39.131433999999999</v>
      </c>
      <c r="AK188" t="s">
        <v>225</v>
      </c>
      <c r="AL188">
        <v>-87.449026000000003</v>
      </c>
      <c r="AM188">
        <v>100</v>
      </c>
      <c r="AN188">
        <v>1500</v>
      </c>
      <c r="AO188" t="s">
        <v>118</v>
      </c>
      <c r="AP188">
        <v>-17</v>
      </c>
      <c r="AQ188">
        <v>93</v>
      </c>
      <c r="AR188">
        <v>1024</v>
      </c>
      <c r="AZ188">
        <v>4552</v>
      </c>
      <c r="BA188">
        <v>1</v>
      </c>
      <c r="BB188" t="str">
        <f t="shared" si="8"/>
        <v xml:space="preserve">N607SR  </v>
      </c>
      <c r="BC188">
        <v>1</v>
      </c>
      <c r="BE188">
        <v>0</v>
      </c>
      <c r="BF188">
        <v>0</v>
      </c>
      <c r="BG188">
        <v>0</v>
      </c>
      <c r="BH188">
        <v>1200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"06:12:16.267"</f>
        <v>06:12:16.267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457</v>
      </c>
      <c r="CR188">
        <v>0</v>
      </c>
      <c r="CW188">
        <v>15509728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"08/29/2020 06:12:13.477"</f>
        <v>08/29/2020 06:12:13.477</v>
      </c>
      <c r="C189" t="str">
        <f t="shared" si="6"/>
        <v>FFDFD3C0</v>
      </c>
      <c r="D189" t="s">
        <v>121</v>
      </c>
      <c r="E189">
        <v>10</v>
      </c>
      <c r="F189">
        <v>1010</v>
      </c>
      <c r="G189" t="s">
        <v>114</v>
      </c>
      <c r="J189" t="s">
        <v>123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"06:12:16.703"</f>
        <v>06:12:16.703</v>
      </c>
      <c r="T189" t="str">
        <f>"06:12:16.303"</f>
        <v>06:12:16.303</v>
      </c>
      <c r="U189" t="str">
        <f t="shared" si="7"/>
        <v>A7E2E0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0</v>
      </c>
      <c r="AI189" t="s">
        <v>226</v>
      </c>
      <c r="AJ189">
        <v>39.131649000000003</v>
      </c>
      <c r="AK189" t="s">
        <v>227</v>
      </c>
      <c r="AL189">
        <v>-87.449089999999998</v>
      </c>
      <c r="AM189">
        <v>100</v>
      </c>
      <c r="AN189">
        <v>1500</v>
      </c>
      <c r="AO189" t="s">
        <v>118</v>
      </c>
      <c r="AP189">
        <v>-17</v>
      </c>
      <c r="AQ189">
        <v>93</v>
      </c>
      <c r="AR189">
        <v>1152</v>
      </c>
      <c r="AZ189">
        <v>4552</v>
      </c>
      <c r="BA189">
        <v>1</v>
      </c>
      <c r="BB189" t="str">
        <f t="shared" si="8"/>
        <v xml:space="preserve">N607SR  </v>
      </c>
      <c r="BC189">
        <v>1</v>
      </c>
      <c r="BE189">
        <v>0</v>
      </c>
      <c r="BF189">
        <v>0</v>
      </c>
      <c r="BG189">
        <v>0</v>
      </c>
      <c r="BH189">
        <v>1200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"06:12:16.708"</f>
        <v>06:12:16.708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119</v>
      </c>
      <c r="CQ189">
        <v>457</v>
      </c>
      <c r="CR189">
        <v>0</v>
      </c>
      <c r="CW189">
        <v>15509744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"08/29/2020 06:12:13.477"</f>
        <v>08/29/2020 06:12:13.477</v>
      </c>
      <c r="C190" t="str">
        <f t="shared" si="6"/>
        <v>FFDFD3C0</v>
      </c>
      <c r="D190" t="s">
        <v>121</v>
      </c>
      <c r="E190">
        <v>13</v>
      </c>
      <c r="F190">
        <v>1013</v>
      </c>
      <c r="G190" t="s">
        <v>122</v>
      </c>
      <c r="J190" t="s">
        <v>123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"06:12:16.703"</f>
        <v>06:12:16.703</v>
      </c>
      <c r="T190" t="str">
        <f>"06:12:16.303"</f>
        <v>06:12:16.303</v>
      </c>
      <c r="U190" t="str">
        <f t="shared" si="7"/>
        <v>A7E2E0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226</v>
      </c>
      <c r="AJ190">
        <v>39.131649000000003</v>
      </c>
      <c r="AK190" t="s">
        <v>227</v>
      </c>
      <c r="AL190">
        <v>-87.449089999999998</v>
      </c>
      <c r="AM190">
        <v>100</v>
      </c>
      <c r="AN190">
        <v>1500</v>
      </c>
      <c r="AO190" t="s">
        <v>118</v>
      </c>
      <c r="AP190">
        <v>-17</v>
      </c>
      <c r="AQ190">
        <v>93</v>
      </c>
      <c r="AR190">
        <v>1152</v>
      </c>
      <c r="AZ190">
        <v>4552</v>
      </c>
      <c r="BA190">
        <v>1</v>
      </c>
      <c r="BB190" t="str">
        <f t="shared" si="8"/>
        <v xml:space="preserve">N607SR  </v>
      </c>
      <c r="BC190">
        <v>1</v>
      </c>
      <c r="BE190">
        <v>0</v>
      </c>
      <c r="BF190">
        <v>0</v>
      </c>
      <c r="BG190">
        <v>0</v>
      </c>
      <c r="BH190">
        <v>1200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"06:12:16.708"</f>
        <v>06:12:16.708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457</v>
      </c>
      <c r="CR190">
        <v>0</v>
      </c>
      <c r="CW190">
        <v>15509744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"08/29/2020 06:12:13.477"</f>
        <v>08/29/2020 06:12:13.477</v>
      </c>
      <c r="C191" t="str">
        <f t="shared" si="6"/>
        <v>FFDFD3C0</v>
      </c>
      <c r="D191" t="s">
        <v>121</v>
      </c>
      <c r="E191">
        <v>11</v>
      </c>
      <c r="F191">
        <v>1011</v>
      </c>
      <c r="G191" t="s">
        <v>125</v>
      </c>
      <c r="J191" t="s">
        <v>123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"06:12:16.703"</f>
        <v>06:12:16.703</v>
      </c>
      <c r="T191" t="str">
        <f>"06:12:16.303"</f>
        <v>06:12:16.303</v>
      </c>
      <c r="U191" t="str">
        <f t="shared" si="7"/>
        <v>A7E2E0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226</v>
      </c>
      <c r="AJ191">
        <v>39.131649000000003</v>
      </c>
      <c r="AK191" t="s">
        <v>227</v>
      </c>
      <c r="AL191">
        <v>-87.449089999999998</v>
      </c>
      <c r="AM191">
        <v>100</v>
      </c>
      <c r="AN191">
        <v>1500</v>
      </c>
      <c r="AO191" t="s">
        <v>118</v>
      </c>
      <c r="AP191">
        <v>-17</v>
      </c>
      <c r="AQ191">
        <v>93</v>
      </c>
      <c r="AR191">
        <v>1152</v>
      </c>
      <c r="AZ191">
        <v>4552</v>
      </c>
      <c r="BA191">
        <v>1</v>
      </c>
      <c r="BB191" t="str">
        <f t="shared" si="8"/>
        <v xml:space="preserve">N607SR  </v>
      </c>
      <c r="BC191">
        <v>1</v>
      </c>
      <c r="BE191">
        <v>0</v>
      </c>
      <c r="BF191">
        <v>0</v>
      </c>
      <c r="BG191">
        <v>0</v>
      </c>
      <c r="BH191">
        <v>1200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"06:12:16.708"</f>
        <v>06:12:16.708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119</v>
      </c>
      <c r="CQ191">
        <v>457</v>
      </c>
      <c r="CR191">
        <v>0</v>
      </c>
      <c r="CW191">
        <v>15509744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"08/29/2020 06:12:14.088"</f>
        <v>08/29/2020 06:12:14.088</v>
      </c>
      <c r="C192" t="str">
        <f t="shared" si="6"/>
        <v>FFDFD3C0</v>
      </c>
      <c r="D192" t="s">
        <v>128</v>
      </c>
      <c r="E192">
        <v>5</v>
      </c>
      <c r="H192">
        <v>241</v>
      </c>
      <c r="I192" t="s">
        <v>129</v>
      </c>
      <c r="J192" t="s">
        <v>130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"06:12:17.281"</f>
        <v>06:12:17.281</v>
      </c>
      <c r="T192" t="str">
        <f>"06:12:16.781"</f>
        <v>06:12:16.781</v>
      </c>
      <c r="U192" t="str">
        <f t="shared" si="7"/>
        <v>A7E2E0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228</v>
      </c>
      <c r="AJ192">
        <v>39.131863000000003</v>
      </c>
      <c r="AK192" t="s">
        <v>227</v>
      </c>
      <c r="AL192">
        <v>-87.449089999999998</v>
      </c>
      <c r="AM192">
        <v>100</v>
      </c>
      <c r="AN192">
        <v>1500</v>
      </c>
      <c r="AO192" t="s">
        <v>118</v>
      </c>
      <c r="AP192">
        <v>-17</v>
      </c>
      <c r="AQ192">
        <v>93</v>
      </c>
      <c r="AR192">
        <v>1152</v>
      </c>
      <c r="AZ192">
        <v>4552</v>
      </c>
      <c r="BA192">
        <v>1</v>
      </c>
      <c r="BB192" t="str">
        <f t="shared" si="8"/>
        <v xml:space="preserve">N607SR  </v>
      </c>
      <c r="BC192">
        <v>1</v>
      </c>
      <c r="BE192">
        <v>0</v>
      </c>
      <c r="BF192">
        <v>0</v>
      </c>
      <c r="BG192">
        <v>0</v>
      </c>
      <c r="BH192">
        <v>1225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"06:12:17.282"</f>
        <v>06:12:17.282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119</v>
      </c>
      <c r="CQ192">
        <v>457</v>
      </c>
      <c r="CR192">
        <v>0</v>
      </c>
      <c r="CW192">
        <v>15509764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"08/29/2020 06:12:14.088"</f>
        <v>08/29/2020 06:12:14.088</v>
      </c>
      <c r="C193" t="str">
        <f t="shared" si="6"/>
        <v>FFDFD3C0</v>
      </c>
      <c r="D193" t="s">
        <v>113</v>
      </c>
      <c r="E193">
        <v>5</v>
      </c>
      <c r="H193">
        <v>163</v>
      </c>
      <c r="I193" t="s">
        <v>114</v>
      </c>
      <c r="J193" t="s">
        <v>115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"06:12:17.281"</f>
        <v>06:12:17.281</v>
      </c>
      <c r="T193" t="str">
        <f>"06:12:16.781"</f>
        <v>06:12:16.781</v>
      </c>
      <c r="U193" t="str">
        <f t="shared" si="7"/>
        <v>A7E2E0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228</v>
      </c>
      <c r="AJ193">
        <v>39.131863000000003</v>
      </c>
      <c r="AK193" t="s">
        <v>227</v>
      </c>
      <c r="AL193">
        <v>-87.449089999999998</v>
      </c>
      <c r="AM193">
        <v>100</v>
      </c>
      <c r="AN193">
        <v>1500</v>
      </c>
      <c r="AO193" t="s">
        <v>118</v>
      </c>
      <c r="AP193">
        <v>-17</v>
      </c>
      <c r="AQ193">
        <v>93</v>
      </c>
      <c r="AR193">
        <v>1152</v>
      </c>
      <c r="AZ193">
        <v>4552</v>
      </c>
      <c r="BA193">
        <v>1</v>
      </c>
      <c r="BB193" t="str">
        <f t="shared" si="8"/>
        <v xml:space="preserve">N607SR  </v>
      </c>
      <c r="BC193">
        <v>1</v>
      </c>
      <c r="BE193">
        <v>0</v>
      </c>
      <c r="BF193">
        <v>0</v>
      </c>
      <c r="BG193">
        <v>0</v>
      </c>
      <c r="BH193">
        <v>1225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"06:12:17.282"</f>
        <v>06:12:17.282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119</v>
      </c>
      <c r="CQ193">
        <v>457</v>
      </c>
      <c r="CR193">
        <v>0</v>
      </c>
      <c r="CW193">
        <v>15509764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"08/29/2020 06:12:14.539"</f>
        <v>08/29/2020 06:12:14.539</v>
      </c>
      <c r="C194" t="str">
        <f t="shared" ref="C194:C257" si="9">"FFDFD3C0"</f>
        <v>FFDFD3C0</v>
      </c>
      <c r="D194" t="s">
        <v>121</v>
      </c>
      <c r="E194">
        <v>10</v>
      </c>
      <c r="F194">
        <v>1010</v>
      </c>
      <c r="G194" t="s">
        <v>114</v>
      </c>
      <c r="J194" t="s">
        <v>123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"06:12:17.727"</f>
        <v>06:12:17.727</v>
      </c>
      <c r="T194" t="str">
        <f>"06:12:17.327"</f>
        <v>06:12:17.327</v>
      </c>
      <c r="U194" t="str">
        <f t="shared" ref="U194:U257" si="10">"A7E2E0"</f>
        <v>A7E2E0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229</v>
      </c>
      <c r="AJ194">
        <v>39.132055999999999</v>
      </c>
      <c r="AK194" t="s">
        <v>230</v>
      </c>
      <c r="AL194">
        <v>-87.449197999999996</v>
      </c>
      <c r="AM194">
        <v>100</v>
      </c>
      <c r="AN194">
        <v>1500</v>
      </c>
      <c r="AO194" t="s">
        <v>118</v>
      </c>
      <c r="AP194">
        <v>-17</v>
      </c>
      <c r="AQ194">
        <v>93</v>
      </c>
      <c r="AR194">
        <v>1216</v>
      </c>
      <c r="AZ194">
        <v>4552</v>
      </c>
      <c r="BA194">
        <v>1</v>
      </c>
      <c r="BB194" t="str">
        <f t="shared" ref="BB194:BB257" si="11">"N607SR  "</f>
        <v xml:space="preserve">N607SR  </v>
      </c>
      <c r="BC194">
        <v>1</v>
      </c>
      <c r="BE194">
        <v>0</v>
      </c>
      <c r="BF194">
        <v>0</v>
      </c>
      <c r="BG194">
        <v>0</v>
      </c>
      <c r="BH194">
        <v>1225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"06:12:17.732"</f>
        <v>06:12:17.732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457</v>
      </c>
      <c r="CR194">
        <v>0</v>
      </c>
      <c r="CW194">
        <v>15509775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"08/29/2020 06:12:14.539"</f>
        <v>08/29/2020 06:12:14.539</v>
      </c>
      <c r="C195" t="str">
        <f t="shared" si="9"/>
        <v>FFDFD3C0</v>
      </c>
      <c r="D195" t="s">
        <v>121</v>
      </c>
      <c r="E195">
        <v>13</v>
      </c>
      <c r="F195">
        <v>1013</v>
      </c>
      <c r="G195" t="s">
        <v>122</v>
      </c>
      <c r="J195" t="s">
        <v>123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"06:12:17.727"</f>
        <v>06:12:17.727</v>
      </c>
      <c r="T195" t="str">
        <f>"06:12:17.327"</f>
        <v>06:12:17.327</v>
      </c>
      <c r="U195" t="str">
        <f t="shared" si="10"/>
        <v>A7E2E0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229</v>
      </c>
      <c r="AJ195">
        <v>39.132055999999999</v>
      </c>
      <c r="AK195" t="s">
        <v>230</v>
      </c>
      <c r="AL195">
        <v>-87.449197999999996</v>
      </c>
      <c r="AM195">
        <v>100</v>
      </c>
      <c r="AN195">
        <v>1500</v>
      </c>
      <c r="AO195" t="s">
        <v>118</v>
      </c>
      <c r="AP195">
        <v>-17</v>
      </c>
      <c r="AQ195">
        <v>93</v>
      </c>
      <c r="AR195">
        <v>1216</v>
      </c>
      <c r="AZ195">
        <v>4552</v>
      </c>
      <c r="BA195">
        <v>1</v>
      </c>
      <c r="BB195" t="str">
        <f t="shared" si="11"/>
        <v xml:space="preserve">N607SR  </v>
      </c>
      <c r="BC195">
        <v>1</v>
      </c>
      <c r="BE195">
        <v>0</v>
      </c>
      <c r="BF195">
        <v>0</v>
      </c>
      <c r="BG195">
        <v>0</v>
      </c>
      <c r="BH195">
        <v>1225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"06:12:17.732"</f>
        <v>06:12:17.732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457</v>
      </c>
      <c r="CR195">
        <v>0</v>
      </c>
      <c r="CW195">
        <v>15509775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"08/29/2020 06:12:14.539"</f>
        <v>08/29/2020 06:12:14.539</v>
      </c>
      <c r="C196" t="str">
        <f t="shared" si="9"/>
        <v>FFDFD3C0</v>
      </c>
      <c r="D196" t="s">
        <v>121</v>
      </c>
      <c r="E196">
        <v>11</v>
      </c>
      <c r="F196">
        <v>1011</v>
      </c>
      <c r="G196" t="s">
        <v>125</v>
      </c>
      <c r="J196" t="s">
        <v>123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"06:12:17.727"</f>
        <v>06:12:17.727</v>
      </c>
      <c r="T196" t="str">
        <f>"06:12:17.327"</f>
        <v>06:12:17.327</v>
      </c>
      <c r="U196" t="str">
        <f t="shared" si="10"/>
        <v>A7E2E0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0</v>
      </c>
      <c r="AI196" t="s">
        <v>229</v>
      </c>
      <c r="AJ196">
        <v>39.132055999999999</v>
      </c>
      <c r="AK196" t="s">
        <v>230</v>
      </c>
      <c r="AL196">
        <v>-87.449197999999996</v>
      </c>
      <c r="AM196">
        <v>100</v>
      </c>
      <c r="AN196">
        <v>1500</v>
      </c>
      <c r="AO196" t="s">
        <v>118</v>
      </c>
      <c r="AP196">
        <v>-17</v>
      </c>
      <c r="AQ196">
        <v>93</v>
      </c>
      <c r="AR196">
        <v>1216</v>
      </c>
      <c r="AZ196">
        <v>4552</v>
      </c>
      <c r="BA196">
        <v>1</v>
      </c>
      <c r="BB196" t="str">
        <f t="shared" si="11"/>
        <v xml:space="preserve">N607SR  </v>
      </c>
      <c r="BC196">
        <v>1</v>
      </c>
      <c r="BE196">
        <v>0</v>
      </c>
      <c r="BF196">
        <v>0</v>
      </c>
      <c r="BG196">
        <v>0</v>
      </c>
      <c r="BH196">
        <v>1225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"06:12:17.732"</f>
        <v>06:12:17.732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457</v>
      </c>
      <c r="CR196">
        <v>0</v>
      </c>
      <c r="CW196">
        <v>15509775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"08/29/2020 06:12:15.048"</f>
        <v>08/29/2020 06:12:15.048</v>
      </c>
      <c r="C197" t="str">
        <f t="shared" si="9"/>
        <v>FFDFD3C0</v>
      </c>
      <c r="D197" t="s">
        <v>128</v>
      </c>
      <c r="E197">
        <v>5</v>
      </c>
      <c r="H197">
        <v>241</v>
      </c>
      <c r="I197" t="s">
        <v>129</v>
      </c>
      <c r="J197" t="s">
        <v>130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"06:12:18.258"</f>
        <v>06:12:18.258</v>
      </c>
      <c r="U197" t="str">
        <f t="shared" si="10"/>
        <v>A7E2E0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0</v>
      </c>
      <c r="AI197" t="s">
        <v>231</v>
      </c>
      <c r="AJ197">
        <v>39.132271000000003</v>
      </c>
      <c r="AK197" t="s">
        <v>232</v>
      </c>
      <c r="AL197">
        <v>-87.449218999999999</v>
      </c>
      <c r="AM197">
        <v>100</v>
      </c>
      <c r="AN197">
        <v>1500</v>
      </c>
      <c r="AO197" t="s">
        <v>118</v>
      </c>
      <c r="AP197">
        <v>-18</v>
      </c>
      <c r="AQ197">
        <v>92</v>
      </c>
      <c r="AR197">
        <v>1216</v>
      </c>
      <c r="AZ197">
        <v>4552</v>
      </c>
      <c r="BA197">
        <v>1</v>
      </c>
      <c r="BB197" t="str">
        <f t="shared" si="11"/>
        <v xml:space="preserve">N607SR  </v>
      </c>
      <c r="BC197">
        <v>1</v>
      </c>
      <c r="BE197">
        <v>0</v>
      </c>
      <c r="BF197">
        <v>0</v>
      </c>
      <c r="BG197">
        <v>0</v>
      </c>
      <c r="BH197">
        <v>1250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"06:12:18.265"</f>
        <v>06:12:18.265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5</v>
      </c>
      <c r="CP197" t="s">
        <v>119</v>
      </c>
      <c r="CQ197">
        <v>517</v>
      </c>
      <c r="CR197">
        <v>1</v>
      </c>
      <c r="CW197">
        <v>2474640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"08/29/2020 06:12:15.048"</f>
        <v>08/29/2020 06:12:15.048</v>
      </c>
      <c r="C198" t="str">
        <f t="shared" si="9"/>
        <v>FFDFD3C0</v>
      </c>
      <c r="D198" t="s">
        <v>113</v>
      </c>
      <c r="E198">
        <v>5</v>
      </c>
      <c r="H198">
        <v>163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"06:12:18.258"</f>
        <v>06:12:18.258</v>
      </c>
      <c r="U198" t="str">
        <f t="shared" si="10"/>
        <v>A7E2E0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231</v>
      </c>
      <c r="AJ198">
        <v>39.132271000000003</v>
      </c>
      <c r="AK198" t="s">
        <v>232</v>
      </c>
      <c r="AL198">
        <v>-87.449218999999999</v>
      </c>
      <c r="AM198">
        <v>100</v>
      </c>
      <c r="AN198">
        <v>1500</v>
      </c>
      <c r="AO198" t="s">
        <v>118</v>
      </c>
      <c r="AP198">
        <v>-18</v>
      </c>
      <c r="AQ198">
        <v>92</v>
      </c>
      <c r="AR198">
        <v>1216</v>
      </c>
      <c r="AZ198">
        <v>4552</v>
      </c>
      <c r="BA198">
        <v>1</v>
      </c>
      <c r="BB198" t="str">
        <f t="shared" si="11"/>
        <v xml:space="preserve">N607SR  </v>
      </c>
      <c r="BC198">
        <v>1</v>
      </c>
      <c r="BE198">
        <v>0</v>
      </c>
      <c r="BF198">
        <v>0</v>
      </c>
      <c r="BG198">
        <v>0</v>
      </c>
      <c r="BH198">
        <v>1250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"06:12:18.265"</f>
        <v>06:12:18.265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5</v>
      </c>
      <c r="CP198" t="s">
        <v>119</v>
      </c>
      <c r="CQ198">
        <v>517</v>
      </c>
      <c r="CR198">
        <v>1</v>
      </c>
      <c r="CW198">
        <v>2474640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"08/29/2020 06:12:15.551"</f>
        <v>08/29/2020 06:12:15.551</v>
      </c>
      <c r="C199" t="str">
        <f t="shared" si="9"/>
        <v>FFDFD3C0</v>
      </c>
      <c r="D199" t="s">
        <v>121</v>
      </c>
      <c r="E199">
        <v>10</v>
      </c>
      <c r="F199">
        <v>1010</v>
      </c>
      <c r="G199" t="s">
        <v>114</v>
      </c>
      <c r="J199" t="s">
        <v>123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"06:12:18.797"</f>
        <v>06:12:18.797</v>
      </c>
      <c r="T199" t="str">
        <f>"06:12:18.297"</f>
        <v>06:12:18.297</v>
      </c>
      <c r="U199" t="str">
        <f t="shared" si="10"/>
        <v>A7E2E0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233</v>
      </c>
      <c r="AJ199">
        <v>39.132506999999997</v>
      </c>
      <c r="AK199" t="s">
        <v>234</v>
      </c>
      <c r="AL199">
        <v>-87.449284000000006</v>
      </c>
      <c r="AM199">
        <v>100</v>
      </c>
      <c r="AN199">
        <v>1500</v>
      </c>
      <c r="AO199" t="s">
        <v>118</v>
      </c>
      <c r="AP199">
        <v>-18</v>
      </c>
      <c r="AQ199">
        <v>92</v>
      </c>
      <c r="AR199">
        <v>1216</v>
      </c>
      <c r="AZ199">
        <v>4552</v>
      </c>
      <c r="BA199">
        <v>1</v>
      </c>
      <c r="BB199" t="str">
        <f t="shared" si="11"/>
        <v xml:space="preserve">N607SR  </v>
      </c>
      <c r="BC199">
        <v>1</v>
      </c>
      <c r="BE199">
        <v>0</v>
      </c>
      <c r="BF199">
        <v>0</v>
      </c>
      <c r="BG199">
        <v>0</v>
      </c>
      <c r="BH199">
        <v>1250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"06:12:18.799"</f>
        <v>06:12:18.799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6</v>
      </c>
      <c r="CP199" t="s">
        <v>119</v>
      </c>
      <c r="CQ199">
        <v>457</v>
      </c>
      <c r="CR199">
        <v>0</v>
      </c>
      <c r="CW199">
        <v>15509811</v>
      </c>
      <c r="CY199">
        <v>1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"08/29/2020 06:12:15.551"</f>
        <v>08/29/2020 06:12:15.551</v>
      </c>
      <c r="C200" t="str">
        <f t="shared" si="9"/>
        <v>FFDFD3C0</v>
      </c>
      <c r="D200" t="s">
        <v>121</v>
      </c>
      <c r="E200">
        <v>13</v>
      </c>
      <c r="F200">
        <v>1013</v>
      </c>
      <c r="G200" t="s">
        <v>122</v>
      </c>
      <c r="J200" t="s">
        <v>123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"06:12:18.797"</f>
        <v>06:12:18.797</v>
      </c>
      <c r="T200" t="str">
        <f>"06:12:18.297"</f>
        <v>06:12:18.297</v>
      </c>
      <c r="U200" t="str">
        <f t="shared" si="10"/>
        <v>A7E2E0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233</v>
      </c>
      <c r="AJ200">
        <v>39.132506999999997</v>
      </c>
      <c r="AK200" t="s">
        <v>234</v>
      </c>
      <c r="AL200">
        <v>-87.449284000000006</v>
      </c>
      <c r="AM200">
        <v>100</v>
      </c>
      <c r="AN200">
        <v>1500</v>
      </c>
      <c r="AO200" t="s">
        <v>118</v>
      </c>
      <c r="AP200">
        <v>-18</v>
      </c>
      <c r="AQ200">
        <v>92</v>
      </c>
      <c r="AR200">
        <v>1216</v>
      </c>
      <c r="AZ200">
        <v>4552</v>
      </c>
      <c r="BA200">
        <v>1</v>
      </c>
      <c r="BB200" t="str">
        <f t="shared" si="11"/>
        <v xml:space="preserve">N607SR  </v>
      </c>
      <c r="BC200">
        <v>1</v>
      </c>
      <c r="BE200">
        <v>0</v>
      </c>
      <c r="BF200">
        <v>0</v>
      </c>
      <c r="BG200">
        <v>0</v>
      </c>
      <c r="BH200">
        <v>1250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"06:12:18.799"</f>
        <v>06:12:18.799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6</v>
      </c>
      <c r="CP200" t="s">
        <v>119</v>
      </c>
      <c r="CQ200">
        <v>457</v>
      </c>
      <c r="CR200">
        <v>0</v>
      </c>
      <c r="CW200">
        <v>15509811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"08/29/2020 06:12:15.551"</f>
        <v>08/29/2020 06:12:15.551</v>
      </c>
      <c r="C201" t="str">
        <f t="shared" si="9"/>
        <v>FFDFD3C0</v>
      </c>
      <c r="D201" t="s">
        <v>121</v>
      </c>
      <c r="E201">
        <v>11</v>
      </c>
      <c r="F201">
        <v>1011</v>
      </c>
      <c r="G201" t="s">
        <v>125</v>
      </c>
      <c r="J201" t="s">
        <v>123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"06:12:18.797"</f>
        <v>06:12:18.797</v>
      </c>
      <c r="T201" t="str">
        <f>"06:12:18.297"</f>
        <v>06:12:18.297</v>
      </c>
      <c r="U201" t="str">
        <f t="shared" si="10"/>
        <v>A7E2E0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233</v>
      </c>
      <c r="AJ201">
        <v>39.132506999999997</v>
      </c>
      <c r="AK201" t="s">
        <v>234</v>
      </c>
      <c r="AL201">
        <v>-87.449284000000006</v>
      </c>
      <c r="AM201">
        <v>100</v>
      </c>
      <c r="AN201">
        <v>1500</v>
      </c>
      <c r="AO201" t="s">
        <v>118</v>
      </c>
      <c r="AP201">
        <v>-18</v>
      </c>
      <c r="AQ201">
        <v>92</v>
      </c>
      <c r="AR201">
        <v>1216</v>
      </c>
      <c r="AZ201">
        <v>4552</v>
      </c>
      <c r="BA201">
        <v>1</v>
      </c>
      <c r="BB201" t="str">
        <f t="shared" si="11"/>
        <v xml:space="preserve">N607SR  </v>
      </c>
      <c r="BC201">
        <v>1</v>
      </c>
      <c r="BE201">
        <v>0</v>
      </c>
      <c r="BF201">
        <v>0</v>
      </c>
      <c r="BG201">
        <v>0</v>
      </c>
      <c r="BH201">
        <v>1250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"06:12:18.799"</f>
        <v>06:12:18.799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6</v>
      </c>
      <c r="CP201" t="s">
        <v>119</v>
      </c>
      <c r="CQ201">
        <v>457</v>
      </c>
      <c r="CR201">
        <v>0</v>
      </c>
      <c r="CW201">
        <v>15509811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"08/29/2020 06:12:16.163"</f>
        <v>08/29/2020 06:12:16.163</v>
      </c>
      <c r="C202" t="str">
        <f t="shared" si="9"/>
        <v>FFDFD3C0</v>
      </c>
      <c r="D202" t="s">
        <v>128</v>
      </c>
      <c r="E202">
        <v>5</v>
      </c>
      <c r="H202">
        <v>241</v>
      </c>
      <c r="I202" t="s">
        <v>129</v>
      </c>
      <c r="J202" t="s">
        <v>130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"06:12:19.391"</f>
        <v>06:12:19.391</v>
      </c>
      <c r="U202" t="str">
        <f t="shared" si="10"/>
        <v>A7E2E0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235</v>
      </c>
      <c r="AJ202">
        <v>39.132742999999998</v>
      </c>
      <c r="AK202" t="s">
        <v>236</v>
      </c>
      <c r="AL202">
        <v>-87.449326999999997</v>
      </c>
      <c r="AM202">
        <v>100</v>
      </c>
      <c r="AN202">
        <v>1500</v>
      </c>
      <c r="AO202" t="s">
        <v>118</v>
      </c>
      <c r="AP202">
        <v>-19</v>
      </c>
      <c r="AQ202">
        <v>92</v>
      </c>
      <c r="AR202">
        <v>1152</v>
      </c>
      <c r="AZ202">
        <v>4552</v>
      </c>
      <c r="BA202">
        <v>1</v>
      </c>
      <c r="BB202" t="str">
        <f t="shared" si="11"/>
        <v xml:space="preserve">N607SR  </v>
      </c>
      <c r="BC202">
        <v>1</v>
      </c>
      <c r="BE202">
        <v>0</v>
      </c>
      <c r="BF202">
        <v>0</v>
      </c>
      <c r="BG202">
        <v>0</v>
      </c>
      <c r="BH202">
        <v>1275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"06:12:19.394"</f>
        <v>06:12:19.394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4</v>
      </c>
      <c r="CP202" t="s">
        <v>119</v>
      </c>
      <c r="CQ202">
        <v>517</v>
      </c>
      <c r="CR202">
        <v>1</v>
      </c>
      <c r="CW202">
        <v>2474670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"08/29/2020 06:12:16.163"</f>
        <v>08/29/2020 06:12:16.163</v>
      </c>
      <c r="C203" t="str">
        <f t="shared" si="9"/>
        <v>FFDFD3C0</v>
      </c>
      <c r="D203" t="s">
        <v>113</v>
      </c>
      <c r="E203">
        <v>5</v>
      </c>
      <c r="H203">
        <v>163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"06:12:19.391"</f>
        <v>06:12:19.391</v>
      </c>
      <c r="U203" t="str">
        <f t="shared" si="10"/>
        <v>A7E2E0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0</v>
      </c>
      <c r="AI203" t="s">
        <v>235</v>
      </c>
      <c r="AJ203">
        <v>39.132742999999998</v>
      </c>
      <c r="AK203" t="s">
        <v>236</v>
      </c>
      <c r="AL203">
        <v>-87.449326999999997</v>
      </c>
      <c r="AM203">
        <v>100</v>
      </c>
      <c r="AN203">
        <v>1500</v>
      </c>
      <c r="AO203" t="s">
        <v>118</v>
      </c>
      <c r="AP203">
        <v>-19</v>
      </c>
      <c r="AQ203">
        <v>92</v>
      </c>
      <c r="AR203">
        <v>1152</v>
      </c>
      <c r="AZ203">
        <v>4552</v>
      </c>
      <c r="BA203">
        <v>1</v>
      </c>
      <c r="BB203" t="str">
        <f t="shared" si="11"/>
        <v xml:space="preserve">N607SR  </v>
      </c>
      <c r="BC203">
        <v>1</v>
      </c>
      <c r="BE203">
        <v>0</v>
      </c>
      <c r="BF203">
        <v>0</v>
      </c>
      <c r="BG203">
        <v>0</v>
      </c>
      <c r="BH203">
        <v>1275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"06:12:19.394"</f>
        <v>06:12:19.394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4</v>
      </c>
      <c r="CP203" t="s">
        <v>119</v>
      </c>
      <c r="CQ203">
        <v>517</v>
      </c>
      <c r="CR203">
        <v>1</v>
      </c>
      <c r="CW203">
        <v>2474670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"08/29/2020 06:12:16.634"</f>
        <v>08/29/2020 06:12:16.634</v>
      </c>
      <c r="C204" t="str">
        <f t="shared" si="9"/>
        <v>FFDFD3C0</v>
      </c>
      <c r="D204" t="s">
        <v>121</v>
      </c>
      <c r="E204">
        <v>13</v>
      </c>
      <c r="F204">
        <v>1013</v>
      </c>
      <c r="G204" t="s">
        <v>122</v>
      </c>
      <c r="J204" t="s">
        <v>123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"06:12:19.828"</f>
        <v>06:12:19.828</v>
      </c>
      <c r="T204" t="str">
        <f>"06:12:19.428"</f>
        <v>06:12:19.428</v>
      </c>
      <c r="U204" t="str">
        <f t="shared" si="10"/>
        <v>A7E2E0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237</v>
      </c>
      <c r="AJ204">
        <v>39.132978999999999</v>
      </c>
      <c r="AK204" t="s">
        <v>238</v>
      </c>
      <c r="AL204">
        <v>-87.449411999999995</v>
      </c>
      <c r="AM204">
        <v>100</v>
      </c>
      <c r="AN204">
        <v>1500</v>
      </c>
      <c r="AO204" t="s">
        <v>118</v>
      </c>
      <c r="AP204">
        <v>-19</v>
      </c>
      <c r="AQ204">
        <v>92</v>
      </c>
      <c r="AR204">
        <v>1152</v>
      </c>
      <c r="AZ204">
        <v>4552</v>
      </c>
      <c r="BA204">
        <v>1</v>
      </c>
      <c r="BB204" t="str">
        <f t="shared" si="11"/>
        <v xml:space="preserve">N607SR  </v>
      </c>
      <c r="BC204">
        <v>1</v>
      </c>
      <c r="BE204">
        <v>0</v>
      </c>
      <c r="BF204">
        <v>0</v>
      </c>
      <c r="BG204">
        <v>0</v>
      </c>
      <c r="BH204">
        <v>1275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"06:12:19.836"</f>
        <v>06:12:19.836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6</v>
      </c>
      <c r="CP204" t="s">
        <v>119</v>
      </c>
      <c r="CQ204">
        <v>457</v>
      </c>
      <c r="CR204">
        <v>0</v>
      </c>
      <c r="CW204">
        <v>15509842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"08/29/2020 06:12:16.634"</f>
        <v>08/29/2020 06:12:16.634</v>
      </c>
      <c r="C205" t="str">
        <f t="shared" si="9"/>
        <v>FFDFD3C0</v>
      </c>
      <c r="D205" t="s">
        <v>121</v>
      </c>
      <c r="E205">
        <v>11</v>
      </c>
      <c r="F205">
        <v>1011</v>
      </c>
      <c r="G205" t="s">
        <v>125</v>
      </c>
      <c r="J205" t="s">
        <v>123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"06:12:19.828"</f>
        <v>06:12:19.828</v>
      </c>
      <c r="T205" t="str">
        <f>"06:12:19.428"</f>
        <v>06:12:19.428</v>
      </c>
      <c r="U205" t="str">
        <f t="shared" si="10"/>
        <v>A7E2E0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0</v>
      </c>
      <c r="AI205" t="s">
        <v>237</v>
      </c>
      <c r="AJ205">
        <v>39.132978999999999</v>
      </c>
      <c r="AK205" t="s">
        <v>238</v>
      </c>
      <c r="AL205">
        <v>-87.449411999999995</v>
      </c>
      <c r="AM205">
        <v>100</v>
      </c>
      <c r="AN205">
        <v>1500</v>
      </c>
      <c r="AO205" t="s">
        <v>118</v>
      </c>
      <c r="AP205">
        <v>-19</v>
      </c>
      <c r="AQ205">
        <v>92</v>
      </c>
      <c r="AR205">
        <v>1152</v>
      </c>
      <c r="AZ205">
        <v>4552</v>
      </c>
      <c r="BA205">
        <v>1</v>
      </c>
      <c r="BB205" t="str">
        <f t="shared" si="11"/>
        <v xml:space="preserve">N607SR  </v>
      </c>
      <c r="BC205">
        <v>1</v>
      </c>
      <c r="BE205">
        <v>0</v>
      </c>
      <c r="BF205">
        <v>0</v>
      </c>
      <c r="BG205">
        <v>0</v>
      </c>
      <c r="BH205">
        <v>1275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"06:12:19.836"</f>
        <v>06:12:19.836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6</v>
      </c>
      <c r="CP205" t="s">
        <v>119</v>
      </c>
      <c r="CQ205">
        <v>457</v>
      </c>
      <c r="CR205">
        <v>0</v>
      </c>
      <c r="CW205">
        <v>15509842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"08/29/2020 06:12:16.634"</f>
        <v>08/29/2020 06:12:16.634</v>
      </c>
      <c r="C206" t="str">
        <f t="shared" si="9"/>
        <v>FFDFD3C0</v>
      </c>
      <c r="D206" t="s">
        <v>121</v>
      </c>
      <c r="E206">
        <v>10</v>
      </c>
      <c r="F206">
        <v>1010</v>
      </c>
      <c r="G206" t="s">
        <v>114</v>
      </c>
      <c r="J206" t="s">
        <v>123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"06:12:19.828"</f>
        <v>06:12:19.828</v>
      </c>
      <c r="T206" t="str">
        <f>"06:12:19.428"</f>
        <v>06:12:19.428</v>
      </c>
      <c r="U206" t="str">
        <f t="shared" si="10"/>
        <v>A7E2E0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237</v>
      </c>
      <c r="AJ206">
        <v>39.132978999999999</v>
      </c>
      <c r="AK206" t="s">
        <v>238</v>
      </c>
      <c r="AL206">
        <v>-87.449411999999995</v>
      </c>
      <c r="AM206">
        <v>100</v>
      </c>
      <c r="AN206">
        <v>1500</v>
      </c>
      <c r="AO206" t="s">
        <v>118</v>
      </c>
      <c r="AP206">
        <v>-19</v>
      </c>
      <c r="AQ206">
        <v>92</v>
      </c>
      <c r="AR206">
        <v>1152</v>
      </c>
      <c r="AZ206">
        <v>4552</v>
      </c>
      <c r="BA206">
        <v>1</v>
      </c>
      <c r="BB206" t="str">
        <f t="shared" si="11"/>
        <v xml:space="preserve">N607SR  </v>
      </c>
      <c r="BC206">
        <v>1</v>
      </c>
      <c r="BE206">
        <v>0</v>
      </c>
      <c r="BF206">
        <v>0</v>
      </c>
      <c r="BG206">
        <v>0</v>
      </c>
      <c r="BH206">
        <v>1275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"06:12:19.836"</f>
        <v>06:12:19.836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457</v>
      </c>
      <c r="CR206">
        <v>0</v>
      </c>
      <c r="CW206">
        <v>15509842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"08/29/2020 06:12:17.030"</f>
        <v>08/29/2020 06:12:17.030</v>
      </c>
      <c r="C207" t="str">
        <f t="shared" si="9"/>
        <v>FFDFD3C0</v>
      </c>
      <c r="D207" t="s">
        <v>113</v>
      </c>
      <c r="E207">
        <v>5</v>
      </c>
      <c r="H207">
        <v>163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"06:12:20.234"</f>
        <v>06:12:20.234</v>
      </c>
      <c r="U207" t="str">
        <f t="shared" si="10"/>
        <v>A7E2E0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239</v>
      </c>
      <c r="AJ207">
        <v>39.133108</v>
      </c>
      <c r="AK207" t="s">
        <v>240</v>
      </c>
      <c r="AL207">
        <v>-87.449455</v>
      </c>
      <c r="AM207">
        <v>100</v>
      </c>
      <c r="AN207">
        <v>1500</v>
      </c>
      <c r="AO207" t="s">
        <v>118</v>
      </c>
      <c r="AP207">
        <v>-19</v>
      </c>
      <c r="AQ207">
        <v>92</v>
      </c>
      <c r="AR207">
        <v>1152</v>
      </c>
      <c r="AZ207">
        <v>4552</v>
      </c>
      <c r="BA207">
        <v>1</v>
      </c>
      <c r="BB207" t="str">
        <f t="shared" si="11"/>
        <v xml:space="preserve">N607SR  </v>
      </c>
      <c r="BC207">
        <v>1</v>
      </c>
      <c r="BE207">
        <v>0</v>
      </c>
      <c r="BF207">
        <v>0</v>
      </c>
      <c r="BG207">
        <v>0</v>
      </c>
      <c r="BH207">
        <v>1300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"06:12:20.241"</f>
        <v>06:12:20.241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457</v>
      </c>
      <c r="CR207">
        <v>0</v>
      </c>
      <c r="CW207">
        <v>15509854</v>
      </c>
      <c r="CY207">
        <v>1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"08/29/2020 06:12:17.030"</f>
        <v>08/29/2020 06:12:17.030</v>
      </c>
      <c r="C208" t="str">
        <f t="shared" si="9"/>
        <v>FFDFD3C0</v>
      </c>
      <c r="D208" t="s">
        <v>128</v>
      </c>
      <c r="E208">
        <v>5</v>
      </c>
      <c r="H208">
        <v>241</v>
      </c>
      <c r="I208" t="s">
        <v>129</v>
      </c>
      <c r="J208" t="s">
        <v>130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"06:12:20.234"</f>
        <v>06:12:20.234</v>
      </c>
      <c r="U208" t="str">
        <f t="shared" si="10"/>
        <v>A7E2E0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239</v>
      </c>
      <c r="AJ208">
        <v>39.133108</v>
      </c>
      <c r="AK208" t="s">
        <v>240</v>
      </c>
      <c r="AL208">
        <v>-87.449455</v>
      </c>
      <c r="AM208">
        <v>100</v>
      </c>
      <c r="AN208">
        <v>1500</v>
      </c>
      <c r="AO208" t="s">
        <v>118</v>
      </c>
      <c r="AP208">
        <v>-19</v>
      </c>
      <c r="AQ208">
        <v>92</v>
      </c>
      <c r="AR208">
        <v>1152</v>
      </c>
      <c r="AZ208">
        <v>4552</v>
      </c>
      <c r="BA208">
        <v>1</v>
      </c>
      <c r="BB208" t="str">
        <f t="shared" si="11"/>
        <v xml:space="preserve">N607SR  </v>
      </c>
      <c r="BC208">
        <v>1</v>
      </c>
      <c r="BE208">
        <v>0</v>
      </c>
      <c r="BF208">
        <v>0</v>
      </c>
      <c r="BG208">
        <v>0</v>
      </c>
      <c r="BH208">
        <v>1300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"06:12:20.241"</f>
        <v>06:12:20.241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457</v>
      </c>
      <c r="CR208">
        <v>0</v>
      </c>
      <c r="CW208">
        <v>15509854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"08/29/2020 06:12:17.562"</f>
        <v>08/29/2020 06:12:17.562</v>
      </c>
      <c r="C209" t="str">
        <f t="shared" si="9"/>
        <v>FFDFD3C0</v>
      </c>
      <c r="D209" t="s">
        <v>121</v>
      </c>
      <c r="E209">
        <v>11</v>
      </c>
      <c r="F209">
        <v>1011</v>
      </c>
      <c r="G209" t="s">
        <v>125</v>
      </c>
      <c r="J209" t="s">
        <v>123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"06:12:20.758"</f>
        <v>06:12:20.758</v>
      </c>
      <c r="T209" t="str">
        <f>"06:12:20.258"</f>
        <v>06:12:20.258</v>
      </c>
      <c r="U209" t="str">
        <f t="shared" si="10"/>
        <v>A7E2E0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241</v>
      </c>
      <c r="AJ209">
        <v>39.133344000000001</v>
      </c>
      <c r="AK209" t="s">
        <v>242</v>
      </c>
      <c r="AL209">
        <v>-87.449498000000006</v>
      </c>
      <c r="AM209">
        <v>100</v>
      </c>
      <c r="AN209">
        <v>1500</v>
      </c>
      <c r="AO209" t="s">
        <v>118</v>
      </c>
      <c r="AP209">
        <v>-19</v>
      </c>
      <c r="AQ209">
        <v>92</v>
      </c>
      <c r="AR209">
        <v>1152</v>
      </c>
      <c r="AZ209">
        <v>4552</v>
      </c>
      <c r="BA209">
        <v>1</v>
      </c>
      <c r="BB209" t="str">
        <f t="shared" si="11"/>
        <v xml:space="preserve">N607SR  </v>
      </c>
      <c r="BC209">
        <v>1</v>
      </c>
      <c r="BE209">
        <v>0</v>
      </c>
      <c r="BF209">
        <v>0</v>
      </c>
      <c r="BG209">
        <v>0</v>
      </c>
      <c r="BH209">
        <v>1300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"06:12:20.762"</f>
        <v>06:12:20.762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457</v>
      </c>
      <c r="CR209">
        <v>0</v>
      </c>
      <c r="CW209">
        <v>15509871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"08/29/2020 06:12:17.562"</f>
        <v>08/29/2020 06:12:17.562</v>
      </c>
      <c r="C210" t="str">
        <f t="shared" si="9"/>
        <v>FFDFD3C0</v>
      </c>
      <c r="D210" t="s">
        <v>121</v>
      </c>
      <c r="E210">
        <v>10</v>
      </c>
      <c r="F210">
        <v>1010</v>
      </c>
      <c r="G210" t="s">
        <v>114</v>
      </c>
      <c r="J210" t="s">
        <v>123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"06:12:20.758"</f>
        <v>06:12:20.758</v>
      </c>
      <c r="T210" t="str">
        <f>"06:12:20.258"</f>
        <v>06:12:20.258</v>
      </c>
      <c r="U210" t="str">
        <f t="shared" si="10"/>
        <v>A7E2E0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241</v>
      </c>
      <c r="AJ210">
        <v>39.133344000000001</v>
      </c>
      <c r="AK210" t="s">
        <v>242</v>
      </c>
      <c r="AL210">
        <v>-87.449498000000006</v>
      </c>
      <c r="AM210">
        <v>100</v>
      </c>
      <c r="AN210">
        <v>1500</v>
      </c>
      <c r="AO210" t="s">
        <v>118</v>
      </c>
      <c r="AP210">
        <v>-19</v>
      </c>
      <c r="AQ210">
        <v>92</v>
      </c>
      <c r="AR210">
        <v>1152</v>
      </c>
      <c r="AZ210">
        <v>4552</v>
      </c>
      <c r="BA210">
        <v>1</v>
      </c>
      <c r="BB210" t="str">
        <f t="shared" si="11"/>
        <v xml:space="preserve">N607SR  </v>
      </c>
      <c r="BC210">
        <v>1</v>
      </c>
      <c r="BE210">
        <v>0</v>
      </c>
      <c r="BF210">
        <v>0</v>
      </c>
      <c r="BG210">
        <v>0</v>
      </c>
      <c r="BH210">
        <v>1300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"06:12:20.762"</f>
        <v>06:12:20.762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457</v>
      </c>
      <c r="CR210">
        <v>0</v>
      </c>
      <c r="CW210">
        <v>15509871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"08/29/2020 06:12:17.562"</f>
        <v>08/29/2020 06:12:17.562</v>
      </c>
      <c r="C211" t="str">
        <f t="shared" si="9"/>
        <v>FFDFD3C0</v>
      </c>
      <c r="D211" t="s">
        <v>121</v>
      </c>
      <c r="E211">
        <v>13</v>
      </c>
      <c r="F211">
        <v>1013</v>
      </c>
      <c r="G211" t="s">
        <v>122</v>
      </c>
      <c r="J211" t="s">
        <v>123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"06:12:20.758"</f>
        <v>06:12:20.758</v>
      </c>
      <c r="T211" t="str">
        <f>"06:12:20.258"</f>
        <v>06:12:20.258</v>
      </c>
      <c r="U211" t="str">
        <f t="shared" si="10"/>
        <v>A7E2E0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241</v>
      </c>
      <c r="AJ211">
        <v>39.133344000000001</v>
      </c>
      <c r="AK211" t="s">
        <v>242</v>
      </c>
      <c r="AL211">
        <v>-87.449498000000006</v>
      </c>
      <c r="AM211">
        <v>100</v>
      </c>
      <c r="AN211">
        <v>1500</v>
      </c>
      <c r="AO211" t="s">
        <v>118</v>
      </c>
      <c r="AP211">
        <v>-19</v>
      </c>
      <c r="AQ211">
        <v>92</v>
      </c>
      <c r="AR211">
        <v>1152</v>
      </c>
      <c r="AZ211">
        <v>4552</v>
      </c>
      <c r="BA211">
        <v>1</v>
      </c>
      <c r="BB211" t="str">
        <f t="shared" si="11"/>
        <v xml:space="preserve">N607SR  </v>
      </c>
      <c r="BC211">
        <v>1</v>
      </c>
      <c r="BE211">
        <v>0</v>
      </c>
      <c r="BF211">
        <v>0</v>
      </c>
      <c r="BG211">
        <v>0</v>
      </c>
      <c r="BH211">
        <v>1300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"06:12:20.762"</f>
        <v>06:12:20.762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457</v>
      </c>
      <c r="CR211">
        <v>0</v>
      </c>
      <c r="CW211">
        <v>15509871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"08/29/2020 06:12:18.140"</f>
        <v>08/29/2020 06:12:18.140</v>
      </c>
      <c r="C212" t="str">
        <f t="shared" si="9"/>
        <v>FFDFD3C0</v>
      </c>
      <c r="D212" t="s">
        <v>128</v>
      </c>
      <c r="E212">
        <v>5</v>
      </c>
      <c r="H212">
        <v>241</v>
      </c>
      <c r="I212" t="s">
        <v>129</v>
      </c>
      <c r="J212" t="s">
        <v>130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"06:12:21.336"</f>
        <v>06:12:21.336</v>
      </c>
      <c r="U212" t="str">
        <f t="shared" si="10"/>
        <v>A7E2E0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243</v>
      </c>
      <c r="AJ212">
        <v>39.133623</v>
      </c>
      <c r="AK212" t="s">
        <v>244</v>
      </c>
      <c r="AL212">
        <v>-87.449562999999998</v>
      </c>
      <c r="AM212">
        <v>100</v>
      </c>
      <c r="AN212">
        <v>1600</v>
      </c>
      <c r="AO212" t="s">
        <v>118</v>
      </c>
      <c r="AP212">
        <v>-20</v>
      </c>
      <c r="AQ212">
        <v>92</v>
      </c>
      <c r="AR212">
        <v>1152</v>
      </c>
      <c r="AZ212">
        <v>4552</v>
      </c>
      <c r="BA212">
        <v>1</v>
      </c>
      <c r="BB212" t="str">
        <f t="shared" si="11"/>
        <v xml:space="preserve">N607SR  </v>
      </c>
      <c r="BC212">
        <v>1</v>
      </c>
      <c r="BE212">
        <v>0</v>
      </c>
      <c r="BF212">
        <v>0</v>
      </c>
      <c r="BG212">
        <v>0</v>
      </c>
      <c r="BH212">
        <v>1300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"06:12:21.337"</f>
        <v>06:12:21.337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119</v>
      </c>
      <c r="CQ212">
        <v>457</v>
      </c>
      <c r="CR212">
        <v>0</v>
      </c>
      <c r="CW212">
        <v>15509889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"08/29/2020 06:12:18.140"</f>
        <v>08/29/2020 06:12:18.140</v>
      </c>
      <c r="C213" t="str">
        <f t="shared" si="9"/>
        <v>FFDFD3C0</v>
      </c>
      <c r="D213" t="s">
        <v>113</v>
      </c>
      <c r="E213">
        <v>5</v>
      </c>
      <c r="H213">
        <v>163</v>
      </c>
      <c r="I213" t="s">
        <v>114</v>
      </c>
      <c r="J213" t="s">
        <v>115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"06:12:21.336"</f>
        <v>06:12:21.336</v>
      </c>
      <c r="U213" t="str">
        <f t="shared" si="10"/>
        <v>A7E2E0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243</v>
      </c>
      <c r="AJ213">
        <v>39.133623</v>
      </c>
      <c r="AK213" t="s">
        <v>244</v>
      </c>
      <c r="AL213">
        <v>-87.449562999999998</v>
      </c>
      <c r="AM213">
        <v>100</v>
      </c>
      <c r="AN213">
        <v>1600</v>
      </c>
      <c r="AO213" t="s">
        <v>118</v>
      </c>
      <c r="AP213">
        <v>-20</v>
      </c>
      <c r="AQ213">
        <v>92</v>
      </c>
      <c r="AR213">
        <v>1152</v>
      </c>
      <c r="AZ213">
        <v>4552</v>
      </c>
      <c r="BA213">
        <v>1</v>
      </c>
      <c r="BB213" t="str">
        <f t="shared" si="11"/>
        <v xml:space="preserve">N607SR  </v>
      </c>
      <c r="BC213">
        <v>1</v>
      </c>
      <c r="BE213">
        <v>0</v>
      </c>
      <c r="BF213">
        <v>0</v>
      </c>
      <c r="BG213">
        <v>0</v>
      </c>
      <c r="BH213">
        <v>1300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"06:12:21.337"</f>
        <v>06:12:21.337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457</v>
      </c>
      <c r="CR213">
        <v>0</v>
      </c>
      <c r="CW213">
        <v>15509889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"08/29/2020 06:12:18.661"</f>
        <v>08/29/2020 06:12:18.661</v>
      </c>
      <c r="C214" t="str">
        <f t="shared" si="9"/>
        <v>FFDFD3C0</v>
      </c>
      <c r="D214" t="s">
        <v>121</v>
      </c>
      <c r="E214">
        <v>13</v>
      </c>
      <c r="F214">
        <v>1013</v>
      </c>
      <c r="G214" t="s">
        <v>122</v>
      </c>
      <c r="J214" t="s">
        <v>123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"06:12:21.844"</f>
        <v>06:12:21.844</v>
      </c>
      <c r="U214" t="str">
        <f t="shared" si="10"/>
        <v>A7E2E0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245</v>
      </c>
      <c r="AJ214">
        <v>39.133816000000003</v>
      </c>
      <c r="AK214" t="s">
        <v>246</v>
      </c>
      <c r="AL214">
        <v>-87.449647999999996</v>
      </c>
      <c r="AM214">
        <v>100</v>
      </c>
      <c r="AN214">
        <v>1600</v>
      </c>
      <c r="AO214" t="s">
        <v>118</v>
      </c>
      <c r="AP214">
        <v>-20</v>
      </c>
      <c r="AQ214">
        <v>92</v>
      </c>
      <c r="AR214">
        <v>1216</v>
      </c>
      <c r="AZ214">
        <v>4552</v>
      </c>
      <c r="BA214">
        <v>1</v>
      </c>
      <c r="BB214" t="str">
        <f t="shared" si="11"/>
        <v xml:space="preserve">N607SR  </v>
      </c>
      <c r="BC214">
        <v>1</v>
      </c>
      <c r="BE214">
        <v>0</v>
      </c>
      <c r="BF214">
        <v>0</v>
      </c>
      <c r="BG214">
        <v>0</v>
      </c>
      <c r="BH214">
        <v>1325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"06:12:21.850"</f>
        <v>06:12:21.850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457</v>
      </c>
      <c r="CR214">
        <v>0</v>
      </c>
      <c r="CW214">
        <v>15509905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"08/29/2020 06:12:18.661"</f>
        <v>08/29/2020 06:12:18.661</v>
      </c>
      <c r="C215" t="str">
        <f t="shared" si="9"/>
        <v>FFDFD3C0</v>
      </c>
      <c r="D215" t="s">
        <v>121</v>
      </c>
      <c r="E215">
        <v>11</v>
      </c>
      <c r="F215">
        <v>1011</v>
      </c>
      <c r="G215" t="s">
        <v>125</v>
      </c>
      <c r="J215" t="s">
        <v>123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"06:12:21.844"</f>
        <v>06:12:21.844</v>
      </c>
      <c r="U215" t="str">
        <f t="shared" si="10"/>
        <v>A7E2E0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245</v>
      </c>
      <c r="AJ215">
        <v>39.133816000000003</v>
      </c>
      <c r="AK215" t="s">
        <v>246</v>
      </c>
      <c r="AL215">
        <v>-87.449647999999996</v>
      </c>
      <c r="AM215">
        <v>100</v>
      </c>
      <c r="AN215">
        <v>1600</v>
      </c>
      <c r="AO215" t="s">
        <v>118</v>
      </c>
      <c r="AP215">
        <v>-20</v>
      </c>
      <c r="AQ215">
        <v>92</v>
      </c>
      <c r="AR215">
        <v>1216</v>
      </c>
      <c r="AZ215">
        <v>4552</v>
      </c>
      <c r="BA215">
        <v>1</v>
      </c>
      <c r="BB215" t="str">
        <f t="shared" si="11"/>
        <v xml:space="preserve">N607SR  </v>
      </c>
      <c r="BC215">
        <v>1</v>
      </c>
      <c r="BE215">
        <v>0</v>
      </c>
      <c r="BF215">
        <v>0</v>
      </c>
      <c r="BG215">
        <v>0</v>
      </c>
      <c r="BH215">
        <v>1325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"06:12:21.850"</f>
        <v>06:12:21.850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457</v>
      </c>
      <c r="CR215">
        <v>0</v>
      </c>
      <c r="CW215">
        <v>15509905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"08/29/2020 06:12:18.661"</f>
        <v>08/29/2020 06:12:18.661</v>
      </c>
      <c r="C216" t="str">
        <f t="shared" si="9"/>
        <v>FFDFD3C0</v>
      </c>
      <c r="D216" t="s">
        <v>121</v>
      </c>
      <c r="E216">
        <v>10</v>
      </c>
      <c r="F216">
        <v>1010</v>
      </c>
      <c r="G216" t="s">
        <v>114</v>
      </c>
      <c r="J216" t="s">
        <v>123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"06:12:21.844"</f>
        <v>06:12:21.844</v>
      </c>
      <c r="U216" t="str">
        <f t="shared" si="10"/>
        <v>A7E2E0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245</v>
      </c>
      <c r="AJ216">
        <v>39.133816000000003</v>
      </c>
      <c r="AK216" t="s">
        <v>246</v>
      </c>
      <c r="AL216">
        <v>-87.449647999999996</v>
      </c>
      <c r="AM216">
        <v>100</v>
      </c>
      <c r="AN216">
        <v>1600</v>
      </c>
      <c r="AO216" t="s">
        <v>118</v>
      </c>
      <c r="AP216">
        <v>-20</v>
      </c>
      <c r="AQ216">
        <v>92</v>
      </c>
      <c r="AR216">
        <v>1216</v>
      </c>
      <c r="AZ216">
        <v>4552</v>
      </c>
      <c r="BA216">
        <v>1</v>
      </c>
      <c r="BB216" t="str">
        <f t="shared" si="11"/>
        <v xml:space="preserve">N607SR  </v>
      </c>
      <c r="BC216">
        <v>1</v>
      </c>
      <c r="BE216">
        <v>0</v>
      </c>
      <c r="BF216">
        <v>0</v>
      </c>
      <c r="BG216">
        <v>0</v>
      </c>
      <c r="BH216">
        <v>1325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"06:12:21.850"</f>
        <v>06:12:21.850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457</v>
      </c>
      <c r="CR216">
        <v>0</v>
      </c>
      <c r="CW216">
        <v>15509905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"08/29/2020 06:12:19.203"</f>
        <v>08/29/2020 06:12:19.203</v>
      </c>
      <c r="C217" t="str">
        <f t="shared" si="9"/>
        <v>FFDFD3C0</v>
      </c>
      <c r="D217" t="s">
        <v>128</v>
      </c>
      <c r="E217">
        <v>5</v>
      </c>
      <c r="H217">
        <v>241</v>
      </c>
      <c r="I217" t="s">
        <v>129</v>
      </c>
      <c r="J217" t="s">
        <v>130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"06:12:22.406"</f>
        <v>06:12:22.406</v>
      </c>
      <c r="T217" t="str">
        <f>"06:12:21.906"</f>
        <v>06:12:21.906</v>
      </c>
      <c r="U217" t="str">
        <f t="shared" si="10"/>
        <v>A7E2E0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247</v>
      </c>
      <c r="AJ217">
        <v>39.134095000000002</v>
      </c>
      <c r="AK217" t="s">
        <v>248</v>
      </c>
      <c r="AL217">
        <v>-87.449713000000003</v>
      </c>
      <c r="AM217">
        <v>100</v>
      </c>
      <c r="AN217">
        <v>1600</v>
      </c>
      <c r="AO217" t="s">
        <v>118</v>
      </c>
      <c r="AP217">
        <v>-20</v>
      </c>
      <c r="AQ217">
        <v>92</v>
      </c>
      <c r="AR217">
        <v>1216</v>
      </c>
      <c r="AZ217">
        <v>4552</v>
      </c>
      <c r="BA217">
        <v>1</v>
      </c>
      <c r="BB217" t="str">
        <f t="shared" si="11"/>
        <v xml:space="preserve">N607SR  </v>
      </c>
      <c r="BC217">
        <v>1</v>
      </c>
      <c r="BE217">
        <v>0</v>
      </c>
      <c r="BF217">
        <v>0</v>
      </c>
      <c r="BG217">
        <v>0</v>
      </c>
      <c r="BH217">
        <v>1325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"06:12:22.412"</f>
        <v>06:12:22.412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457</v>
      </c>
      <c r="CR217">
        <v>0</v>
      </c>
      <c r="CW217">
        <v>15509925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"08/29/2020 06:12:19.203"</f>
        <v>08/29/2020 06:12:19.203</v>
      </c>
      <c r="C218" t="str">
        <f t="shared" si="9"/>
        <v>FFDFD3C0</v>
      </c>
      <c r="D218" t="s">
        <v>113</v>
      </c>
      <c r="E218">
        <v>5</v>
      </c>
      <c r="H218">
        <v>163</v>
      </c>
      <c r="I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"06:12:22.406"</f>
        <v>06:12:22.406</v>
      </c>
      <c r="T218" t="str">
        <f>"06:12:21.906"</f>
        <v>06:12:21.906</v>
      </c>
      <c r="U218" t="str">
        <f t="shared" si="10"/>
        <v>A7E2E0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247</v>
      </c>
      <c r="AJ218">
        <v>39.134095000000002</v>
      </c>
      <c r="AK218" t="s">
        <v>248</v>
      </c>
      <c r="AL218">
        <v>-87.449713000000003</v>
      </c>
      <c r="AM218">
        <v>100</v>
      </c>
      <c r="AN218">
        <v>1600</v>
      </c>
      <c r="AO218" t="s">
        <v>118</v>
      </c>
      <c r="AP218">
        <v>-20</v>
      </c>
      <c r="AQ218">
        <v>92</v>
      </c>
      <c r="AR218">
        <v>1216</v>
      </c>
      <c r="AZ218">
        <v>4552</v>
      </c>
      <c r="BA218">
        <v>1</v>
      </c>
      <c r="BB218" t="str">
        <f t="shared" si="11"/>
        <v xml:space="preserve">N607SR  </v>
      </c>
      <c r="BC218">
        <v>1</v>
      </c>
      <c r="BE218">
        <v>0</v>
      </c>
      <c r="BF218">
        <v>0</v>
      </c>
      <c r="BG218">
        <v>0</v>
      </c>
      <c r="BH218">
        <v>1325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"06:12:22.412"</f>
        <v>06:12:22.412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457</v>
      </c>
      <c r="CR218">
        <v>0</v>
      </c>
      <c r="CW218">
        <v>15509925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"08/29/2020 06:12:19.746"</f>
        <v>08/29/2020 06:12:19.746</v>
      </c>
      <c r="C219" t="str">
        <f t="shared" si="9"/>
        <v>FFDFD3C0</v>
      </c>
      <c r="D219" t="s">
        <v>121</v>
      </c>
      <c r="E219">
        <v>11</v>
      </c>
      <c r="F219">
        <v>1011</v>
      </c>
      <c r="G219" t="s">
        <v>125</v>
      </c>
      <c r="J219" t="s">
        <v>123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"06:12:22.961"</f>
        <v>06:12:22.961</v>
      </c>
      <c r="T219" t="str">
        <f>"06:12:22.461"</f>
        <v>06:12:22.461</v>
      </c>
      <c r="U219" t="str">
        <f t="shared" si="10"/>
        <v>A7E2E0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249</v>
      </c>
      <c r="AJ219">
        <v>39.134265999999997</v>
      </c>
      <c r="AK219" t="s">
        <v>250</v>
      </c>
      <c r="AL219">
        <v>-87.449798999999999</v>
      </c>
      <c r="AM219">
        <v>100</v>
      </c>
      <c r="AN219">
        <v>1600</v>
      </c>
      <c r="AO219" t="s">
        <v>118</v>
      </c>
      <c r="AP219">
        <v>-21</v>
      </c>
      <c r="AQ219">
        <v>92</v>
      </c>
      <c r="AR219">
        <v>1216</v>
      </c>
      <c r="AZ219">
        <v>4552</v>
      </c>
      <c r="BA219">
        <v>1</v>
      </c>
      <c r="BB219" t="str">
        <f t="shared" si="11"/>
        <v xml:space="preserve">N607SR  </v>
      </c>
      <c r="BC219">
        <v>1</v>
      </c>
      <c r="BE219">
        <v>0</v>
      </c>
      <c r="BF219">
        <v>0</v>
      </c>
      <c r="BG219">
        <v>0</v>
      </c>
      <c r="BH219">
        <v>1325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"06:12:22.969"</f>
        <v>06:12:22.969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119</v>
      </c>
      <c r="CQ219">
        <v>457</v>
      </c>
      <c r="CR219">
        <v>0</v>
      </c>
      <c r="CW219">
        <v>15509941</v>
      </c>
      <c r="CY219">
        <v>1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"08/29/2020 06:12:19.746"</f>
        <v>08/29/2020 06:12:19.746</v>
      </c>
      <c r="C220" t="str">
        <f t="shared" si="9"/>
        <v>FFDFD3C0</v>
      </c>
      <c r="D220" t="s">
        <v>121</v>
      </c>
      <c r="E220">
        <v>10</v>
      </c>
      <c r="F220">
        <v>1010</v>
      </c>
      <c r="G220" t="s">
        <v>114</v>
      </c>
      <c r="J220" t="s">
        <v>123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"06:12:22.961"</f>
        <v>06:12:22.961</v>
      </c>
      <c r="T220" t="str">
        <f>"06:12:22.461"</f>
        <v>06:12:22.461</v>
      </c>
      <c r="U220" t="str">
        <f t="shared" si="10"/>
        <v>A7E2E0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249</v>
      </c>
      <c r="AJ220">
        <v>39.134265999999997</v>
      </c>
      <c r="AK220" t="s">
        <v>250</v>
      </c>
      <c r="AL220">
        <v>-87.449798999999999</v>
      </c>
      <c r="AM220">
        <v>100</v>
      </c>
      <c r="AN220">
        <v>1600</v>
      </c>
      <c r="AO220" t="s">
        <v>118</v>
      </c>
      <c r="AP220">
        <v>-21</v>
      </c>
      <c r="AQ220">
        <v>92</v>
      </c>
      <c r="AR220">
        <v>1216</v>
      </c>
      <c r="AZ220">
        <v>4552</v>
      </c>
      <c r="BA220">
        <v>1</v>
      </c>
      <c r="BB220" t="str">
        <f t="shared" si="11"/>
        <v xml:space="preserve">N607SR  </v>
      </c>
      <c r="BC220">
        <v>1</v>
      </c>
      <c r="BE220">
        <v>0</v>
      </c>
      <c r="BF220">
        <v>0</v>
      </c>
      <c r="BG220">
        <v>0</v>
      </c>
      <c r="BH220">
        <v>1325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"06:12:22.969"</f>
        <v>06:12:22.969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119</v>
      </c>
      <c r="CQ220">
        <v>457</v>
      </c>
      <c r="CR220">
        <v>0</v>
      </c>
      <c r="CW220">
        <v>15509941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"08/29/2020 06:12:19.746"</f>
        <v>08/29/2020 06:12:19.746</v>
      </c>
      <c r="C221" t="str">
        <f t="shared" si="9"/>
        <v>FFDFD3C0</v>
      </c>
      <c r="D221" t="s">
        <v>121</v>
      </c>
      <c r="E221">
        <v>13</v>
      </c>
      <c r="F221">
        <v>1013</v>
      </c>
      <c r="G221" t="s">
        <v>122</v>
      </c>
      <c r="J221" t="s">
        <v>123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"06:12:22.961"</f>
        <v>06:12:22.961</v>
      </c>
      <c r="T221" t="str">
        <f>"06:12:22.461"</f>
        <v>06:12:22.461</v>
      </c>
      <c r="U221" t="str">
        <f t="shared" si="10"/>
        <v>A7E2E0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249</v>
      </c>
      <c r="AJ221">
        <v>39.134265999999997</v>
      </c>
      <c r="AK221" t="s">
        <v>250</v>
      </c>
      <c r="AL221">
        <v>-87.449798999999999</v>
      </c>
      <c r="AM221">
        <v>100</v>
      </c>
      <c r="AN221">
        <v>1600</v>
      </c>
      <c r="AO221" t="s">
        <v>118</v>
      </c>
      <c r="AP221">
        <v>-21</v>
      </c>
      <c r="AQ221">
        <v>92</v>
      </c>
      <c r="AR221">
        <v>1216</v>
      </c>
      <c r="AZ221">
        <v>4552</v>
      </c>
      <c r="BA221">
        <v>1</v>
      </c>
      <c r="BB221" t="str">
        <f t="shared" si="11"/>
        <v xml:space="preserve">N607SR  </v>
      </c>
      <c r="BC221">
        <v>1</v>
      </c>
      <c r="BE221">
        <v>0</v>
      </c>
      <c r="BF221">
        <v>0</v>
      </c>
      <c r="BG221">
        <v>0</v>
      </c>
      <c r="BH221">
        <v>1325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"06:12:22.969"</f>
        <v>06:12:22.969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119</v>
      </c>
      <c r="CQ221">
        <v>457</v>
      </c>
      <c r="CR221">
        <v>0</v>
      </c>
      <c r="CW221">
        <v>15509941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"08/29/2020 06:12:20.268"</f>
        <v>08/29/2020 06:12:20.268</v>
      </c>
      <c r="C222" t="str">
        <f t="shared" si="9"/>
        <v>FFDFD3C0</v>
      </c>
      <c r="D222" t="s">
        <v>128</v>
      </c>
      <c r="E222">
        <v>5</v>
      </c>
      <c r="H222">
        <v>241</v>
      </c>
      <c r="I222" t="s">
        <v>129</v>
      </c>
      <c r="J222" t="s">
        <v>130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"06:12:23.453"</f>
        <v>06:12:23.453</v>
      </c>
      <c r="T222" t="str">
        <f>"06:12:23.053"</f>
        <v>06:12:23.053</v>
      </c>
      <c r="U222" t="str">
        <f t="shared" si="10"/>
        <v>A7E2E0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251</v>
      </c>
      <c r="AJ222">
        <v>39.134501999999998</v>
      </c>
      <c r="AK222" t="s">
        <v>252</v>
      </c>
      <c r="AL222">
        <v>-87.449820000000003</v>
      </c>
      <c r="AM222">
        <v>100</v>
      </c>
      <c r="AN222">
        <v>1600</v>
      </c>
      <c r="AO222" t="s">
        <v>118</v>
      </c>
      <c r="AP222">
        <v>-21</v>
      </c>
      <c r="AQ222">
        <v>92</v>
      </c>
      <c r="AR222">
        <v>1216</v>
      </c>
      <c r="AZ222">
        <v>4552</v>
      </c>
      <c r="BA222">
        <v>1</v>
      </c>
      <c r="BB222" t="str">
        <f t="shared" si="11"/>
        <v xml:space="preserve">N607SR  </v>
      </c>
      <c r="BC222">
        <v>1</v>
      </c>
      <c r="BE222">
        <v>0</v>
      </c>
      <c r="BF222">
        <v>0</v>
      </c>
      <c r="BG222">
        <v>0</v>
      </c>
      <c r="BH222">
        <v>1350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"06:12:23.455"</f>
        <v>06:12:23.455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119</v>
      </c>
      <c r="CQ222">
        <v>457</v>
      </c>
      <c r="CR222">
        <v>0</v>
      </c>
      <c r="CW222">
        <v>15509953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"08/29/2020 06:12:20.268"</f>
        <v>08/29/2020 06:12:20.268</v>
      </c>
      <c r="C223" t="str">
        <f t="shared" si="9"/>
        <v>FFDFD3C0</v>
      </c>
      <c r="D223" t="s">
        <v>113</v>
      </c>
      <c r="E223">
        <v>5</v>
      </c>
      <c r="H223">
        <v>163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"06:12:23.453"</f>
        <v>06:12:23.453</v>
      </c>
      <c r="T223" t="str">
        <f>"06:12:23.053"</f>
        <v>06:12:23.053</v>
      </c>
      <c r="U223" t="str">
        <f t="shared" si="10"/>
        <v>A7E2E0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251</v>
      </c>
      <c r="AJ223">
        <v>39.134501999999998</v>
      </c>
      <c r="AK223" t="s">
        <v>252</v>
      </c>
      <c r="AL223">
        <v>-87.449820000000003</v>
      </c>
      <c r="AM223">
        <v>100</v>
      </c>
      <c r="AN223">
        <v>1600</v>
      </c>
      <c r="AO223" t="s">
        <v>118</v>
      </c>
      <c r="AP223">
        <v>-21</v>
      </c>
      <c r="AQ223">
        <v>92</v>
      </c>
      <c r="AR223">
        <v>1216</v>
      </c>
      <c r="AZ223">
        <v>4552</v>
      </c>
      <c r="BA223">
        <v>1</v>
      </c>
      <c r="BB223" t="str">
        <f t="shared" si="11"/>
        <v xml:space="preserve">N607SR  </v>
      </c>
      <c r="BC223">
        <v>1</v>
      </c>
      <c r="BE223">
        <v>0</v>
      </c>
      <c r="BF223">
        <v>0</v>
      </c>
      <c r="BG223">
        <v>0</v>
      </c>
      <c r="BH223">
        <v>1350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"06:12:23.455"</f>
        <v>06:12:23.455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119</v>
      </c>
      <c r="CQ223">
        <v>457</v>
      </c>
      <c r="CR223">
        <v>0</v>
      </c>
      <c r="CW223">
        <v>15509953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"08/29/2020 06:12:20.740"</f>
        <v>08/29/2020 06:12:20.740</v>
      </c>
      <c r="C224" t="str">
        <f t="shared" si="9"/>
        <v>FFDFD3C0</v>
      </c>
      <c r="D224" t="s">
        <v>121</v>
      </c>
      <c r="E224">
        <v>13</v>
      </c>
      <c r="F224">
        <v>1013</v>
      </c>
      <c r="G224" t="s">
        <v>122</v>
      </c>
      <c r="J224" t="s">
        <v>123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"06:12:23.945"</f>
        <v>06:12:23.945</v>
      </c>
      <c r="T224" t="str">
        <f>"06:12:23.545"</f>
        <v>06:12:23.545</v>
      </c>
      <c r="U224" t="str">
        <f t="shared" si="10"/>
        <v>A7E2E0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253</v>
      </c>
      <c r="AJ224">
        <v>39.134717000000002</v>
      </c>
      <c r="AK224" t="s">
        <v>254</v>
      </c>
      <c r="AL224">
        <v>-87.449927000000002</v>
      </c>
      <c r="AM224">
        <v>100</v>
      </c>
      <c r="AN224">
        <v>1600</v>
      </c>
      <c r="AO224" t="s">
        <v>118</v>
      </c>
      <c r="AP224">
        <v>-22</v>
      </c>
      <c r="AQ224">
        <v>91</v>
      </c>
      <c r="AR224">
        <v>1216</v>
      </c>
      <c r="AZ224">
        <v>4552</v>
      </c>
      <c r="BA224">
        <v>1</v>
      </c>
      <c r="BB224" t="str">
        <f t="shared" si="11"/>
        <v xml:space="preserve">N607SR  </v>
      </c>
      <c r="BC224">
        <v>1</v>
      </c>
      <c r="BE224">
        <v>0</v>
      </c>
      <c r="BF224">
        <v>0</v>
      </c>
      <c r="BG224">
        <v>0</v>
      </c>
      <c r="BH224">
        <v>1350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"06:12:23.952"</f>
        <v>06:12:23.952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457</v>
      </c>
      <c r="CR224">
        <v>0</v>
      </c>
      <c r="CW224">
        <v>15509973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"08/29/2020 06:12:20.740"</f>
        <v>08/29/2020 06:12:20.740</v>
      </c>
      <c r="C225" t="str">
        <f t="shared" si="9"/>
        <v>FFDFD3C0</v>
      </c>
      <c r="D225" t="s">
        <v>121</v>
      </c>
      <c r="E225">
        <v>10</v>
      </c>
      <c r="F225">
        <v>1010</v>
      </c>
      <c r="G225" t="s">
        <v>114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"06:12:23.945"</f>
        <v>06:12:23.945</v>
      </c>
      <c r="T225" t="str">
        <f>"06:12:23.545"</f>
        <v>06:12:23.545</v>
      </c>
      <c r="U225" t="str">
        <f t="shared" si="10"/>
        <v>A7E2E0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253</v>
      </c>
      <c r="AJ225">
        <v>39.134717000000002</v>
      </c>
      <c r="AK225" t="s">
        <v>254</v>
      </c>
      <c r="AL225">
        <v>-87.449927000000002</v>
      </c>
      <c r="AM225">
        <v>100</v>
      </c>
      <c r="AN225">
        <v>1600</v>
      </c>
      <c r="AO225" t="s">
        <v>118</v>
      </c>
      <c r="AP225">
        <v>-22</v>
      </c>
      <c r="AQ225">
        <v>91</v>
      </c>
      <c r="AR225">
        <v>1216</v>
      </c>
      <c r="AZ225">
        <v>4552</v>
      </c>
      <c r="BA225">
        <v>1</v>
      </c>
      <c r="BB225" t="str">
        <f t="shared" si="11"/>
        <v xml:space="preserve">N607SR  </v>
      </c>
      <c r="BC225">
        <v>1</v>
      </c>
      <c r="BE225">
        <v>0</v>
      </c>
      <c r="BF225">
        <v>0</v>
      </c>
      <c r="BG225">
        <v>0</v>
      </c>
      <c r="BH225">
        <v>1350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"06:12:23.952"</f>
        <v>06:12:23.952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457</v>
      </c>
      <c r="CR225">
        <v>0</v>
      </c>
      <c r="CW225">
        <v>15509973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"08/29/2020 06:12:20.740"</f>
        <v>08/29/2020 06:12:20.740</v>
      </c>
      <c r="C226" t="str">
        <f t="shared" si="9"/>
        <v>FFDFD3C0</v>
      </c>
      <c r="D226" t="s">
        <v>121</v>
      </c>
      <c r="E226">
        <v>11</v>
      </c>
      <c r="F226">
        <v>1011</v>
      </c>
      <c r="G226" t="s">
        <v>125</v>
      </c>
      <c r="J226" t="s">
        <v>123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"06:12:23.945"</f>
        <v>06:12:23.945</v>
      </c>
      <c r="T226" t="str">
        <f>"06:12:23.545"</f>
        <v>06:12:23.545</v>
      </c>
      <c r="U226" t="str">
        <f t="shared" si="10"/>
        <v>A7E2E0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253</v>
      </c>
      <c r="AJ226">
        <v>39.134717000000002</v>
      </c>
      <c r="AK226" t="s">
        <v>254</v>
      </c>
      <c r="AL226">
        <v>-87.449927000000002</v>
      </c>
      <c r="AM226">
        <v>100</v>
      </c>
      <c r="AN226">
        <v>1600</v>
      </c>
      <c r="AO226" t="s">
        <v>118</v>
      </c>
      <c r="AP226">
        <v>-22</v>
      </c>
      <c r="AQ226">
        <v>91</v>
      </c>
      <c r="AR226">
        <v>1216</v>
      </c>
      <c r="AZ226">
        <v>4552</v>
      </c>
      <c r="BA226">
        <v>1</v>
      </c>
      <c r="BB226" t="str">
        <f t="shared" si="11"/>
        <v xml:space="preserve">N607SR  </v>
      </c>
      <c r="BC226">
        <v>1</v>
      </c>
      <c r="BE226">
        <v>0</v>
      </c>
      <c r="BF226">
        <v>0</v>
      </c>
      <c r="BG226">
        <v>0</v>
      </c>
      <c r="BH226">
        <v>1350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"06:12:23.952"</f>
        <v>06:12:23.952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457</v>
      </c>
      <c r="CR226">
        <v>0</v>
      </c>
      <c r="CW226">
        <v>15509973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"08/29/2020 06:12:21.332"</f>
        <v>08/29/2020 06:12:21.332</v>
      </c>
      <c r="C227" t="str">
        <f t="shared" si="9"/>
        <v>FFDFD3C0</v>
      </c>
      <c r="D227" t="s">
        <v>128</v>
      </c>
      <c r="E227">
        <v>5</v>
      </c>
      <c r="H227">
        <v>241</v>
      </c>
      <c r="I227" t="s">
        <v>129</v>
      </c>
      <c r="J227" t="s">
        <v>130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"06:12:24.547"</f>
        <v>06:12:24.547</v>
      </c>
      <c r="T227" t="str">
        <f>"06:12:24.047"</f>
        <v>06:12:24.047</v>
      </c>
      <c r="U227" t="str">
        <f t="shared" si="10"/>
        <v>A7E2E0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255</v>
      </c>
      <c r="AJ227">
        <v>39.134953000000003</v>
      </c>
      <c r="AK227" t="s">
        <v>256</v>
      </c>
      <c r="AL227">
        <v>-87.449969999999993</v>
      </c>
      <c r="AM227">
        <v>100</v>
      </c>
      <c r="AN227">
        <v>1600</v>
      </c>
      <c r="AO227" t="s">
        <v>118</v>
      </c>
      <c r="AP227">
        <v>-23</v>
      </c>
      <c r="AQ227">
        <v>91</v>
      </c>
      <c r="AR227">
        <v>1216</v>
      </c>
      <c r="AZ227">
        <v>4552</v>
      </c>
      <c r="BA227">
        <v>1</v>
      </c>
      <c r="BB227" t="str">
        <f t="shared" si="11"/>
        <v xml:space="preserve">N607SR  </v>
      </c>
      <c r="BC227">
        <v>1</v>
      </c>
      <c r="BE227">
        <v>0</v>
      </c>
      <c r="BF227">
        <v>0</v>
      </c>
      <c r="BG227">
        <v>0</v>
      </c>
      <c r="BH227">
        <v>1350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"06:12:24.548"</f>
        <v>06:12:24.548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457</v>
      </c>
      <c r="CR227">
        <v>0</v>
      </c>
      <c r="CW227">
        <v>15509993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"08/29/2020 06:12:21.332"</f>
        <v>08/29/2020 06:12:21.332</v>
      </c>
      <c r="C228" t="str">
        <f t="shared" si="9"/>
        <v>FFDFD3C0</v>
      </c>
      <c r="D228" t="s">
        <v>113</v>
      </c>
      <c r="E228">
        <v>5</v>
      </c>
      <c r="H228">
        <v>163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"06:12:24.547"</f>
        <v>06:12:24.547</v>
      </c>
      <c r="T228" t="str">
        <f>"06:12:24.047"</f>
        <v>06:12:24.047</v>
      </c>
      <c r="U228" t="str">
        <f t="shared" si="10"/>
        <v>A7E2E0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255</v>
      </c>
      <c r="AJ228">
        <v>39.134953000000003</v>
      </c>
      <c r="AK228" t="s">
        <v>256</v>
      </c>
      <c r="AL228">
        <v>-87.449969999999993</v>
      </c>
      <c r="AM228">
        <v>100</v>
      </c>
      <c r="AN228">
        <v>1600</v>
      </c>
      <c r="AO228" t="s">
        <v>118</v>
      </c>
      <c r="AP228">
        <v>-23</v>
      </c>
      <c r="AQ228">
        <v>91</v>
      </c>
      <c r="AR228">
        <v>1216</v>
      </c>
      <c r="AZ228">
        <v>4552</v>
      </c>
      <c r="BA228">
        <v>1</v>
      </c>
      <c r="BB228" t="str">
        <f t="shared" si="11"/>
        <v xml:space="preserve">N607SR  </v>
      </c>
      <c r="BC228">
        <v>1</v>
      </c>
      <c r="BE228">
        <v>0</v>
      </c>
      <c r="BF228">
        <v>0</v>
      </c>
      <c r="BG228">
        <v>0</v>
      </c>
      <c r="BH228">
        <v>1350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"06:12:24.548"</f>
        <v>06:12:24.548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457</v>
      </c>
      <c r="CR228">
        <v>0</v>
      </c>
      <c r="CW228">
        <v>15509993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"08/29/2020 06:12:21.906"</f>
        <v>08/29/2020 06:12:21.906</v>
      </c>
      <c r="C229" t="str">
        <f t="shared" si="9"/>
        <v>FFDFD3C0</v>
      </c>
      <c r="D229" t="s">
        <v>121</v>
      </c>
      <c r="E229">
        <v>13</v>
      </c>
      <c r="F229">
        <v>1013</v>
      </c>
      <c r="G229" t="s">
        <v>122</v>
      </c>
      <c r="J229" t="s">
        <v>123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"06:12:25.117"</f>
        <v>06:12:25.117</v>
      </c>
      <c r="T229" t="str">
        <f>"06:12:24.617"</f>
        <v>06:12:24.617</v>
      </c>
      <c r="U229" t="str">
        <f t="shared" si="10"/>
        <v>A7E2E0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257</v>
      </c>
      <c r="AJ229">
        <v>39.135232000000002</v>
      </c>
      <c r="AK229" t="s">
        <v>258</v>
      </c>
      <c r="AL229">
        <v>-87.450098999999994</v>
      </c>
      <c r="AM229">
        <v>100</v>
      </c>
      <c r="AN229">
        <v>1600</v>
      </c>
      <c r="AO229" t="s">
        <v>118</v>
      </c>
      <c r="AP229">
        <v>-23</v>
      </c>
      <c r="AQ229">
        <v>91</v>
      </c>
      <c r="AR229">
        <v>1216</v>
      </c>
      <c r="AZ229">
        <v>4552</v>
      </c>
      <c r="BA229">
        <v>1</v>
      </c>
      <c r="BB229" t="str">
        <f t="shared" si="11"/>
        <v xml:space="preserve">N607SR  </v>
      </c>
      <c r="BC229">
        <v>1</v>
      </c>
      <c r="BE229">
        <v>0</v>
      </c>
      <c r="BF229">
        <v>0</v>
      </c>
      <c r="BG229">
        <v>0</v>
      </c>
      <c r="BH229">
        <v>1375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"06:12:25.120"</f>
        <v>06:12:25.120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6</v>
      </c>
      <c r="CP229" t="s">
        <v>119</v>
      </c>
      <c r="CQ229">
        <v>177</v>
      </c>
      <c r="CR229">
        <v>2</v>
      </c>
      <c r="CW229">
        <v>1606291</v>
      </c>
      <c r="CY229">
        <v>1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"08/29/2020 06:12:21.906"</f>
        <v>08/29/2020 06:12:21.906</v>
      </c>
      <c r="C230" t="str">
        <f t="shared" si="9"/>
        <v>FFDFD3C0</v>
      </c>
      <c r="D230" t="s">
        <v>121</v>
      </c>
      <c r="E230">
        <v>10</v>
      </c>
      <c r="F230">
        <v>1010</v>
      </c>
      <c r="G230" t="s">
        <v>114</v>
      </c>
      <c r="J230" t="s">
        <v>123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"06:12:25.117"</f>
        <v>06:12:25.117</v>
      </c>
      <c r="T230" t="str">
        <f>"06:12:24.617"</f>
        <v>06:12:24.617</v>
      </c>
      <c r="U230" t="str">
        <f t="shared" si="10"/>
        <v>A7E2E0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257</v>
      </c>
      <c r="AJ230">
        <v>39.135232000000002</v>
      </c>
      <c r="AK230" t="s">
        <v>258</v>
      </c>
      <c r="AL230">
        <v>-87.450098999999994</v>
      </c>
      <c r="AM230">
        <v>100</v>
      </c>
      <c r="AN230">
        <v>1600</v>
      </c>
      <c r="AO230" t="s">
        <v>118</v>
      </c>
      <c r="AP230">
        <v>-23</v>
      </c>
      <c r="AQ230">
        <v>91</v>
      </c>
      <c r="AR230">
        <v>1216</v>
      </c>
      <c r="AZ230">
        <v>4552</v>
      </c>
      <c r="BA230">
        <v>1</v>
      </c>
      <c r="BB230" t="str">
        <f t="shared" si="11"/>
        <v xml:space="preserve">N607SR  </v>
      </c>
      <c r="BC230">
        <v>1</v>
      </c>
      <c r="BE230">
        <v>0</v>
      </c>
      <c r="BF230">
        <v>0</v>
      </c>
      <c r="BG230">
        <v>0</v>
      </c>
      <c r="BH230">
        <v>1375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"06:12:25.120"</f>
        <v>06:12:25.120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119</v>
      </c>
      <c r="CQ230">
        <v>177</v>
      </c>
      <c r="CR230">
        <v>2</v>
      </c>
      <c r="CW230">
        <v>1606291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"08/29/2020 06:12:21.906"</f>
        <v>08/29/2020 06:12:21.906</v>
      </c>
      <c r="C231" t="str">
        <f t="shared" si="9"/>
        <v>FFDFD3C0</v>
      </c>
      <c r="D231" t="s">
        <v>121</v>
      </c>
      <c r="E231">
        <v>11</v>
      </c>
      <c r="F231">
        <v>1011</v>
      </c>
      <c r="G231" t="s">
        <v>125</v>
      </c>
      <c r="J231" t="s">
        <v>123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"06:12:25.117"</f>
        <v>06:12:25.117</v>
      </c>
      <c r="T231" t="str">
        <f>"06:12:24.617"</f>
        <v>06:12:24.617</v>
      </c>
      <c r="U231" t="str">
        <f t="shared" si="10"/>
        <v>A7E2E0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257</v>
      </c>
      <c r="AJ231">
        <v>39.135232000000002</v>
      </c>
      <c r="AK231" t="s">
        <v>258</v>
      </c>
      <c r="AL231">
        <v>-87.450098999999994</v>
      </c>
      <c r="AM231">
        <v>100</v>
      </c>
      <c r="AN231">
        <v>1600</v>
      </c>
      <c r="AO231" t="s">
        <v>118</v>
      </c>
      <c r="AP231">
        <v>-23</v>
      </c>
      <c r="AQ231">
        <v>91</v>
      </c>
      <c r="AR231">
        <v>1216</v>
      </c>
      <c r="AZ231">
        <v>4552</v>
      </c>
      <c r="BA231">
        <v>1</v>
      </c>
      <c r="BB231" t="str">
        <f t="shared" si="11"/>
        <v xml:space="preserve">N607SR  </v>
      </c>
      <c r="BC231">
        <v>1</v>
      </c>
      <c r="BE231">
        <v>0</v>
      </c>
      <c r="BF231">
        <v>0</v>
      </c>
      <c r="BG231">
        <v>0</v>
      </c>
      <c r="BH231">
        <v>1375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"06:12:25.120"</f>
        <v>06:12:25.120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177</v>
      </c>
      <c r="CR231">
        <v>2</v>
      </c>
      <c r="CW231">
        <v>1606291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"08/29/2020 06:12:22.395"</f>
        <v>08/29/2020 06:12:22.395</v>
      </c>
      <c r="C232" t="str">
        <f t="shared" si="9"/>
        <v>FFDFD3C0</v>
      </c>
      <c r="D232" t="s">
        <v>128</v>
      </c>
      <c r="E232">
        <v>5</v>
      </c>
      <c r="H232">
        <v>241</v>
      </c>
      <c r="I232" t="s">
        <v>129</v>
      </c>
      <c r="J232" t="s">
        <v>130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"06:12:25.578"</f>
        <v>06:12:25.578</v>
      </c>
      <c r="T232" t="str">
        <f>"06:12:25.178"</f>
        <v>06:12:25.178</v>
      </c>
      <c r="U232" t="str">
        <f t="shared" si="10"/>
        <v>A7E2E0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259</v>
      </c>
      <c r="AJ232">
        <v>39.135361000000003</v>
      </c>
      <c r="AK232" t="s">
        <v>260</v>
      </c>
      <c r="AL232">
        <v>-87.450163000000003</v>
      </c>
      <c r="AM232">
        <v>100</v>
      </c>
      <c r="AN232">
        <v>1600</v>
      </c>
      <c r="AO232" t="s">
        <v>118</v>
      </c>
      <c r="AP232">
        <v>-24</v>
      </c>
      <c r="AQ232">
        <v>90</v>
      </c>
      <c r="AR232">
        <v>1280</v>
      </c>
      <c r="AZ232">
        <v>4552</v>
      </c>
      <c r="BA232">
        <v>1</v>
      </c>
      <c r="BB232" t="str">
        <f t="shared" si="11"/>
        <v xml:space="preserve">N607SR  </v>
      </c>
      <c r="BC232">
        <v>1</v>
      </c>
      <c r="BE232">
        <v>0</v>
      </c>
      <c r="BF232">
        <v>0</v>
      </c>
      <c r="BG232">
        <v>0</v>
      </c>
      <c r="BH232">
        <v>1375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"06:12:25.582"</f>
        <v>06:12:25.582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177</v>
      </c>
      <c r="CR232">
        <v>2</v>
      </c>
      <c r="CW232">
        <v>1606380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"08/29/2020 06:12:22.395"</f>
        <v>08/29/2020 06:12:22.395</v>
      </c>
      <c r="C233" t="str">
        <f t="shared" si="9"/>
        <v>FFDFD3C0</v>
      </c>
      <c r="D233" t="s">
        <v>113</v>
      </c>
      <c r="E233">
        <v>5</v>
      </c>
      <c r="H233">
        <v>163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"06:12:25.578"</f>
        <v>06:12:25.578</v>
      </c>
      <c r="T233" t="str">
        <f>"06:12:25.178"</f>
        <v>06:12:25.178</v>
      </c>
      <c r="U233" t="str">
        <f t="shared" si="10"/>
        <v>A7E2E0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259</v>
      </c>
      <c r="AJ233">
        <v>39.135361000000003</v>
      </c>
      <c r="AK233" t="s">
        <v>260</v>
      </c>
      <c r="AL233">
        <v>-87.450163000000003</v>
      </c>
      <c r="AM233">
        <v>100</v>
      </c>
      <c r="AN233">
        <v>1600</v>
      </c>
      <c r="AO233" t="s">
        <v>118</v>
      </c>
      <c r="AP233">
        <v>-24</v>
      </c>
      <c r="AQ233">
        <v>90</v>
      </c>
      <c r="AR233">
        <v>1280</v>
      </c>
      <c r="AZ233">
        <v>4552</v>
      </c>
      <c r="BA233">
        <v>1</v>
      </c>
      <c r="BB233" t="str">
        <f t="shared" si="11"/>
        <v xml:space="preserve">N607SR  </v>
      </c>
      <c r="BC233">
        <v>1</v>
      </c>
      <c r="BE233">
        <v>0</v>
      </c>
      <c r="BF233">
        <v>0</v>
      </c>
      <c r="BG233">
        <v>0</v>
      </c>
      <c r="BH233">
        <v>1375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"06:12:25.582"</f>
        <v>06:12:25.582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177</v>
      </c>
      <c r="CR233">
        <v>2</v>
      </c>
      <c r="CW233">
        <v>1606380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"08/29/2020 06:12:22.869"</f>
        <v>08/29/2020 06:12:22.869</v>
      </c>
      <c r="C234" t="str">
        <f t="shared" si="9"/>
        <v>FFDFD3C0</v>
      </c>
      <c r="D234" t="s">
        <v>121</v>
      </c>
      <c r="E234">
        <v>13</v>
      </c>
      <c r="F234">
        <v>1013</v>
      </c>
      <c r="G234" t="s">
        <v>122</v>
      </c>
      <c r="J234" t="s">
        <v>123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"06:12:26.070"</f>
        <v>06:12:26.070</v>
      </c>
      <c r="U234" t="str">
        <f t="shared" si="10"/>
        <v>A7E2E0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261</v>
      </c>
      <c r="AJ234">
        <v>39.135575000000003</v>
      </c>
      <c r="AK234" t="s">
        <v>262</v>
      </c>
      <c r="AL234">
        <v>-87.450185000000005</v>
      </c>
      <c r="AM234">
        <v>100</v>
      </c>
      <c r="AN234">
        <v>1700</v>
      </c>
      <c r="AO234" t="s">
        <v>118</v>
      </c>
      <c r="AP234">
        <v>-26</v>
      </c>
      <c r="AQ234">
        <v>90</v>
      </c>
      <c r="AR234">
        <v>1216</v>
      </c>
      <c r="AZ234">
        <v>4552</v>
      </c>
      <c r="BA234">
        <v>1</v>
      </c>
      <c r="BB234" t="str">
        <f t="shared" si="11"/>
        <v xml:space="preserve">N607SR  </v>
      </c>
      <c r="BC234">
        <v>1</v>
      </c>
      <c r="BE234">
        <v>0</v>
      </c>
      <c r="BF234">
        <v>0</v>
      </c>
      <c r="BG234">
        <v>0</v>
      </c>
      <c r="BH234">
        <v>1400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"06:12:26.073"</f>
        <v>06:12:26.073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457</v>
      </c>
      <c r="CR234">
        <v>0</v>
      </c>
      <c r="CW234">
        <v>15510040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"08/29/2020 06:12:22.869"</f>
        <v>08/29/2020 06:12:22.869</v>
      </c>
      <c r="C235" t="str">
        <f t="shared" si="9"/>
        <v>FFDFD3C0</v>
      </c>
      <c r="D235" t="s">
        <v>121</v>
      </c>
      <c r="E235">
        <v>10</v>
      </c>
      <c r="F235">
        <v>1010</v>
      </c>
      <c r="G235" t="s">
        <v>114</v>
      </c>
      <c r="J235" t="s">
        <v>123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"06:12:26.070"</f>
        <v>06:12:26.070</v>
      </c>
      <c r="U235" t="str">
        <f t="shared" si="10"/>
        <v>A7E2E0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261</v>
      </c>
      <c r="AJ235">
        <v>39.135575000000003</v>
      </c>
      <c r="AK235" t="s">
        <v>262</v>
      </c>
      <c r="AL235">
        <v>-87.450185000000005</v>
      </c>
      <c r="AM235">
        <v>100</v>
      </c>
      <c r="AN235">
        <v>1700</v>
      </c>
      <c r="AO235" t="s">
        <v>118</v>
      </c>
      <c r="AP235">
        <v>-26</v>
      </c>
      <c r="AQ235">
        <v>90</v>
      </c>
      <c r="AR235">
        <v>1216</v>
      </c>
      <c r="AZ235">
        <v>4552</v>
      </c>
      <c r="BA235">
        <v>1</v>
      </c>
      <c r="BB235" t="str">
        <f t="shared" si="11"/>
        <v xml:space="preserve">N607SR  </v>
      </c>
      <c r="BC235">
        <v>1</v>
      </c>
      <c r="BE235">
        <v>0</v>
      </c>
      <c r="BF235">
        <v>0</v>
      </c>
      <c r="BG235">
        <v>0</v>
      </c>
      <c r="BH235">
        <v>1400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"06:12:26.073"</f>
        <v>06:12:26.073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457</v>
      </c>
      <c r="CR235">
        <v>0</v>
      </c>
      <c r="CW235">
        <v>15510040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"08/29/2020 06:12:22.869"</f>
        <v>08/29/2020 06:12:22.869</v>
      </c>
      <c r="C236" t="str">
        <f t="shared" si="9"/>
        <v>FFDFD3C0</v>
      </c>
      <c r="D236" t="s">
        <v>121</v>
      </c>
      <c r="E236">
        <v>11</v>
      </c>
      <c r="F236">
        <v>1011</v>
      </c>
      <c r="G236" t="s">
        <v>125</v>
      </c>
      <c r="J236" t="s">
        <v>123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"06:12:26.070"</f>
        <v>06:12:26.070</v>
      </c>
      <c r="U236" t="str">
        <f t="shared" si="10"/>
        <v>A7E2E0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261</v>
      </c>
      <c r="AJ236">
        <v>39.135575000000003</v>
      </c>
      <c r="AK236" t="s">
        <v>262</v>
      </c>
      <c r="AL236">
        <v>-87.450185000000005</v>
      </c>
      <c r="AM236">
        <v>100</v>
      </c>
      <c r="AN236">
        <v>1700</v>
      </c>
      <c r="AO236" t="s">
        <v>118</v>
      </c>
      <c r="AP236">
        <v>-26</v>
      </c>
      <c r="AQ236">
        <v>90</v>
      </c>
      <c r="AR236">
        <v>1216</v>
      </c>
      <c r="AZ236">
        <v>4552</v>
      </c>
      <c r="BA236">
        <v>1</v>
      </c>
      <c r="BB236" t="str">
        <f t="shared" si="11"/>
        <v xml:space="preserve">N607SR  </v>
      </c>
      <c r="BC236">
        <v>1</v>
      </c>
      <c r="BE236">
        <v>0</v>
      </c>
      <c r="BF236">
        <v>0</v>
      </c>
      <c r="BG236">
        <v>0</v>
      </c>
      <c r="BH236">
        <v>1400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"06:12:26.073"</f>
        <v>06:12:26.073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457</v>
      </c>
      <c r="CR236">
        <v>0</v>
      </c>
      <c r="CW236">
        <v>15510040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"08/29/2020 06:12:23.254"</f>
        <v>08/29/2020 06:12:23.254</v>
      </c>
      <c r="C237" t="str">
        <f t="shared" si="9"/>
        <v>FFDFD3C0</v>
      </c>
      <c r="D237" t="s">
        <v>128</v>
      </c>
      <c r="E237">
        <v>5</v>
      </c>
      <c r="H237">
        <v>241</v>
      </c>
      <c r="I237" t="s">
        <v>129</v>
      </c>
      <c r="J237" t="s">
        <v>130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"06:12:26.469"</f>
        <v>06:12:26.469</v>
      </c>
      <c r="T237" t="str">
        <f>"06:12:26.169"</f>
        <v>06:12:26.169</v>
      </c>
      <c r="U237" t="str">
        <f t="shared" si="10"/>
        <v>A7E2E0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263</v>
      </c>
      <c r="AJ237">
        <v>39.135767999999999</v>
      </c>
      <c r="AK237" t="s">
        <v>264</v>
      </c>
      <c r="AL237">
        <v>-87.450248999999999</v>
      </c>
      <c r="AM237">
        <v>100</v>
      </c>
      <c r="AN237">
        <v>1700</v>
      </c>
      <c r="AO237" t="s">
        <v>118</v>
      </c>
      <c r="AP237">
        <v>-26</v>
      </c>
      <c r="AQ237">
        <v>90</v>
      </c>
      <c r="AR237">
        <v>1216</v>
      </c>
      <c r="AZ237">
        <v>4552</v>
      </c>
      <c r="BA237">
        <v>1</v>
      </c>
      <c r="BB237" t="str">
        <f t="shared" si="11"/>
        <v xml:space="preserve">N607SR  </v>
      </c>
      <c r="BC237">
        <v>1</v>
      </c>
      <c r="BE237">
        <v>0</v>
      </c>
      <c r="BF237">
        <v>0</v>
      </c>
      <c r="BG237">
        <v>0</v>
      </c>
      <c r="BH237">
        <v>1400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"06:12:26.475"</f>
        <v>06:12:26.475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6</v>
      </c>
      <c r="CP237" t="s">
        <v>119</v>
      </c>
      <c r="CQ237">
        <v>457</v>
      </c>
      <c r="CR237">
        <v>0</v>
      </c>
      <c r="CW237">
        <v>15510051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"08/29/2020 06:12:23.254"</f>
        <v>08/29/2020 06:12:23.254</v>
      </c>
      <c r="C238" t="str">
        <f t="shared" si="9"/>
        <v>FFDFD3C0</v>
      </c>
      <c r="D238" t="s">
        <v>113</v>
      </c>
      <c r="E238">
        <v>5</v>
      </c>
      <c r="H238">
        <v>163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"06:12:26.469"</f>
        <v>06:12:26.469</v>
      </c>
      <c r="T238" t="str">
        <f>"06:12:26.169"</f>
        <v>06:12:26.169</v>
      </c>
      <c r="U238" t="str">
        <f t="shared" si="10"/>
        <v>A7E2E0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263</v>
      </c>
      <c r="AJ238">
        <v>39.135767999999999</v>
      </c>
      <c r="AK238" t="s">
        <v>264</v>
      </c>
      <c r="AL238">
        <v>-87.450248999999999</v>
      </c>
      <c r="AM238">
        <v>100</v>
      </c>
      <c r="AN238">
        <v>1700</v>
      </c>
      <c r="AO238" t="s">
        <v>118</v>
      </c>
      <c r="AP238">
        <v>-26</v>
      </c>
      <c r="AQ238">
        <v>90</v>
      </c>
      <c r="AR238">
        <v>1216</v>
      </c>
      <c r="AZ238">
        <v>4552</v>
      </c>
      <c r="BA238">
        <v>1</v>
      </c>
      <c r="BB238" t="str">
        <f t="shared" si="11"/>
        <v xml:space="preserve">N607SR  </v>
      </c>
      <c r="BC238">
        <v>1</v>
      </c>
      <c r="BE238">
        <v>0</v>
      </c>
      <c r="BF238">
        <v>0</v>
      </c>
      <c r="BG238">
        <v>0</v>
      </c>
      <c r="BH238">
        <v>1400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"06:12:26.475"</f>
        <v>06:12:26.475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6</v>
      </c>
      <c r="CP238" t="s">
        <v>119</v>
      </c>
      <c r="CQ238">
        <v>457</v>
      </c>
      <c r="CR238">
        <v>0</v>
      </c>
      <c r="CW238">
        <v>15510051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"08/29/2020 06:12:23.679"</f>
        <v>08/29/2020 06:12:23.679</v>
      </c>
      <c r="C239" t="str">
        <f t="shared" si="9"/>
        <v>FFDFD3C0</v>
      </c>
      <c r="D239" t="s">
        <v>121</v>
      </c>
      <c r="E239">
        <v>13</v>
      </c>
      <c r="F239">
        <v>1013</v>
      </c>
      <c r="G239" t="s">
        <v>122</v>
      </c>
      <c r="J239" t="s">
        <v>123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"06:12:26.930"</f>
        <v>06:12:26.930</v>
      </c>
      <c r="U239" t="str">
        <f t="shared" si="10"/>
        <v>A7E2E0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265</v>
      </c>
      <c r="AJ239">
        <v>39.135961999999999</v>
      </c>
      <c r="AK239" t="s">
        <v>266</v>
      </c>
      <c r="AL239">
        <v>-87.450399000000004</v>
      </c>
      <c r="AM239">
        <v>100</v>
      </c>
      <c r="AN239">
        <v>1700</v>
      </c>
      <c r="AO239" t="s">
        <v>118</v>
      </c>
      <c r="AP239">
        <v>-28</v>
      </c>
      <c r="AQ239">
        <v>89</v>
      </c>
      <c r="AR239">
        <v>1024</v>
      </c>
      <c r="AZ239">
        <v>4552</v>
      </c>
      <c r="BA239">
        <v>1</v>
      </c>
      <c r="BB239" t="str">
        <f t="shared" si="11"/>
        <v xml:space="preserve">N607SR  </v>
      </c>
      <c r="BC239">
        <v>1</v>
      </c>
      <c r="BE239">
        <v>0</v>
      </c>
      <c r="BF239">
        <v>0</v>
      </c>
      <c r="BG239">
        <v>0</v>
      </c>
      <c r="BH239">
        <v>1425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"06:12:26.935"</f>
        <v>06:12:26.935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457</v>
      </c>
      <c r="CR239">
        <v>0</v>
      </c>
      <c r="CW239">
        <v>15510072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"08/29/2020 06:12:23.679"</f>
        <v>08/29/2020 06:12:23.679</v>
      </c>
      <c r="C240" t="str">
        <f t="shared" si="9"/>
        <v>FFDFD3C0</v>
      </c>
      <c r="D240" t="s">
        <v>121</v>
      </c>
      <c r="E240">
        <v>11</v>
      </c>
      <c r="F240">
        <v>1011</v>
      </c>
      <c r="G240" t="s">
        <v>125</v>
      </c>
      <c r="J240" t="s">
        <v>123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"06:12:26.930"</f>
        <v>06:12:26.930</v>
      </c>
      <c r="U240" t="str">
        <f t="shared" si="10"/>
        <v>A7E2E0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265</v>
      </c>
      <c r="AJ240">
        <v>39.135961999999999</v>
      </c>
      <c r="AK240" t="s">
        <v>266</v>
      </c>
      <c r="AL240">
        <v>-87.450399000000004</v>
      </c>
      <c r="AM240">
        <v>100</v>
      </c>
      <c r="AN240">
        <v>1700</v>
      </c>
      <c r="AO240" t="s">
        <v>118</v>
      </c>
      <c r="AP240">
        <v>-28</v>
      </c>
      <c r="AQ240">
        <v>89</v>
      </c>
      <c r="AR240">
        <v>1024</v>
      </c>
      <c r="AZ240">
        <v>4552</v>
      </c>
      <c r="BA240">
        <v>1</v>
      </c>
      <c r="BB240" t="str">
        <f t="shared" si="11"/>
        <v xml:space="preserve">N607SR  </v>
      </c>
      <c r="BC240">
        <v>1</v>
      </c>
      <c r="BE240">
        <v>0</v>
      </c>
      <c r="BF240">
        <v>0</v>
      </c>
      <c r="BG240">
        <v>0</v>
      </c>
      <c r="BH240">
        <v>1425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"06:12:26.935"</f>
        <v>06:12:26.935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457</v>
      </c>
      <c r="CR240">
        <v>0</v>
      </c>
      <c r="CW240">
        <v>15510072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"08/29/2020 06:12:23.679"</f>
        <v>08/29/2020 06:12:23.679</v>
      </c>
      <c r="C241" t="str">
        <f t="shared" si="9"/>
        <v>FFDFD3C0</v>
      </c>
      <c r="D241" t="s">
        <v>121</v>
      </c>
      <c r="E241">
        <v>10</v>
      </c>
      <c r="F241">
        <v>1010</v>
      </c>
      <c r="G241" t="s">
        <v>114</v>
      </c>
      <c r="J241" t="s">
        <v>123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"06:12:26.930"</f>
        <v>06:12:26.930</v>
      </c>
      <c r="U241" t="str">
        <f t="shared" si="10"/>
        <v>A7E2E0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265</v>
      </c>
      <c r="AJ241">
        <v>39.135961999999999</v>
      </c>
      <c r="AK241" t="s">
        <v>266</v>
      </c>
      <c r="AL241">
        <v>-87.450399000000004</v>
      </c>
      <c r="AM241">
        <v>100</v>
      </c>
      <c r="AN241">
        <v>1700</v>
      </c>
      <c r="AO241" t="s">
        <v>118</v>
      </c>
      <c r="AP241">
        <v>-28</v>
      </c>
      <c r="AQ241">
        <v>89</v>
      </c>
      <c r="AR241">
        <v>1024</v>
      </c>
      <c r="AZ241">
        <v>4552</v>
      </c>
      <c r="BA241">
        <v>1</v>
      </c>
      <c r="BB241" t="str">
        <f t="shared" si="11"/>
        <v xml:space="preserve">N607SR  </v>
      </c>
      <c r="BC241">
        <v>1</v>
      </c>
      <c r="BE241">
        <v>0</v>
      </c>
      <c r="BF241">
        <v>0</v>
      </c>
      <c r="BG241">
        <v>0</v>
      </c>
      <c r="BH241">
        <v>1425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"06:12:26.935"</f>
        <v>06:12:26.935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457</v>
      </c>
      <c r="CR241">
        <v>0</v>
      </c>
      <c r="CW241">
        <v>15510072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"08/29/2020 06:12:24.316"</f>
        <v>08/29/2020 06:12:24.316</v>
      </c>
      <c r="C242" t="str">
        <f t="shared" si="9"/>
        <v>FFDFD3C0</v>
      </c>
      <c r="D242" t="s">
        <v>128</v>
      </c>
      <c r="E242">
        <v>5</v>
      </c>
      <c r="H242">
        <v>241</v>
      </c>
      <c r="I242" t="s">
        <v>129</v>
      </c>
      <c r="J242" t="s">
        <v>130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"06:12:27.477"</f>
        <v>06:12:27.477</v>
      </c>
      <c r="T242" t="str">
        <f>"06:12:26.977"</f>
        <v>06:12:26.977</v>
      </c>
      <c r="U242" t="str">
        <f t="shared" si="10"/>
        <v>A7E2E0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267</v>
      </c>
      <c r="AJ242">
        <v>39.136133000000001</v>
      </c>
      <c r="AK242" t="s">
        <v>268</v>
      </c>
      <c r="AL242">
        <v>-87.450441999999995</v>
      </c>
      <c r="AM242">
        <v>100</v>
      </c>
      <c r="AN242">
        <v>1700</v>
      </c>
      <c r="AO242" t="s">
        <v>118</v>
      </c>
      <c r="AP242">
        <v>-28</v>
      </c>
      <c r="AQ242">
        <v>89</v>
      </c>
      <c r="AR242">
        <v>1024</v>
      </c>
      <c r="AZ242">
        <v>4552</v>
      </c>
      <c r="BA242">
        <v>1</v>
      </c>
      <c r="BB242" t="str">
        <f t="shared" si="11"/>
        <v xml:space="preserve">N607SR  </v>
      </c>
      <c r="BC242">
        <v>1</v>
      </c>
      <c r="BE242">
        <v>0</v>
      </c>
      <c r="BF242">
        <v>0</v>
      </c>
      <c r="BG242">
        <v>0</v>
      </c>
      <c r="BH242">
        <v>1425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"06:12:27.481"</f>
        <v>06:12:27.481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177</v>
      </c>
      <c r="CR242">
        <v>2</v>
      </c>
      <c r="CW242">
        <v>1606717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"08/29/2020 06:12:24.316"</f>
        <v>08/29/2020 06:12:24.316</v>
      </c>
      <c r="C243" t="str">
        <f t="shared" si="9"/>
        <v>FFDFD3C0</v>
      </c>
      <c r="D243" t="s">
        <v>113</v>
      </c>
      <c r="E243">
        <v>5</v>
      </c>
      <c r="H243">
        <v>163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"06:12:27.477"</f>
        <v>06:12:27.477</v>
      </c>
      <c r="T243" t="str">
        <f>"06:12:26.977"</f>
        <v>06:12:26.977</v>
      </c>
      <c r="U243" t="str">
        <f t="shared" si="10"/>
        <v>A7E2E0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267</v>
      </c>
      <c r="AJ243">
        <v>39.136133000000001</v>
      </c>
      <c r="AK243" t="s">
        <v>268</v>
      </c>
      <c r="AL243">
        <v>-87.450441999999995</v>
      </c>
      <c r="AM243">
        <v>100</v>
      </c>
      <c r="AN243">
        <v>1700</v>
      </c>
      <c r="AO243" t="s">
        <v>118</v>
      </c>
      <c r="AP243">
        <v>-28</v>
      </c>
      <c r="AQ243">
        <v>89</v>
      </c>
      <c r="AR243">
        <v>1024</v>
      </c>
      <c r="AZ243">
        <v>4552</v>
      </c>
      <c r="BA243">
        <v>1</v>
      </c>
      <c r="BB243" t="str">
        <f t="shared" si="11"/>
        <v xml:space="preserve">N607SR  </v>
      </c>
      <c r="BC243">
        <v>1</v>
      </c>
      <c r="BE243">
        <v>0</v>
      </c>
      <c r="BF243">
        <v>0</v>
      </c>
      <c r="BG243">
        <v>0</v>
      </c>
      <c r="BH243">
        <v>1425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"06:12:27.481"</f>
        <v>06:12:27.481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177</v>
      </c>
      <c r="CR243">
        <v>2</v>
      </c>
      <c r="CW243">
        <v>1606717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"08/29/2020 06:12:24.693"</f>
        <v>08/29/2020 06:12:24.693</v>
      </c>
      <c r="C244" t="str">
        <f t="shared" si="9"/>
        <v>FFDFD3C0</v>
      </c>
      <c r="D244" t="s">
        <v>121</v>
      </c>
      <c r="E244">
        <v>13</v>
      </c>
      <c r="F244">
        <v>1013</v>
      </c>
      <c r="G244" t="s">
        <v>122</v>
      </c>
      <c r="J244" t="s">
        <v>123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"06:12:27.914"</f>
        <v>06:12:27.914</v>
      </c>
      <c r="T244" t="str">
        <f>"06:12:27.514"</f>
        <v>06:12:27.514</v>
      </c>
      <c r="U244" t="str">
        <f t="shared" si="10"/>
        <v>A7E2E0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269</v>
      </c>
      <c r="AJ244">
        <v>39.136369000000002</v>
      </c>
      <c r="AK244" t="s">
        <v>270</v>
      </c>
      <c r="AL244">
        <v>-87.450570999999997</v>
      </c>
      <c r="AM244">
        <v>100</v>
      </c>
      <c r="AN244">
        <v>1700</v>
      </c>
      <c r="AO244" t="s">
        <v>118</v>
      </c>
      <c r="AP244">
        <v>-30</v>
      </c>
      <c r="AQ244">
        <v>89</v>
      </c>
      <c r="AR244">
        <v>896</v>
      </c>
      <c r="AZ244">
        <v>4552</v>
      </c>
      <c r="BA244">
        <v>1</v>
      </c>
      <c r="BB244" t="str">
        <f t="shared" si="11"/>
        <v xml:space="preserve">N607SR  </v>
      </c>
      <c r="BC244">
        <v>1</v>
      </c>
      <c r="BE244">
        <v>0</v>
      </c>
      <c r="BF244">
        <v>0</v>
      </c>
      <c r="BG244">
        <v>0</v>
      </c>
      <c r="BH244">
        <v>1425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"06:12:27.920"</f>
        <v>06:12:27.920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119</v>
      </c>
      <c r="CQ244">
        <v>457</v>
      </c>
      <c r="CR244">
        <v>0</v>
      </c>
      <c r="CW244">
        <v>15510102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"08/29/2020 06:12:24.693"</f>
        <v>08/29/2020 06:12:24.693</v>
      </c>
      <c r="C245" t="str">
        <f t="shared" si="9"/>
        <v>FFDFD3C0</v>
      </c>
      <c r="D245" t="s">
        <v>121</v>
      </c>
      <c r="E245">
        <v>10</v>
      </c>
      <c r="F245">
        <v>1010</v>
      </c>
      <c r="G245" t="s">
        <v>114</v>
      </c>
      <c r="J245" t="s">
        <v>123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"06:12:27.914"</f>
        <v>06:12:27.914</v>
      </c>
      <c r="T245" t="str">
        <f>"06:12:27.514"</f>
        <v>06:12:27.514</v>
      </c>
      <c r="U245" t="str">
        <f t="shared" si="10"/>
        <v>A7E2E0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269</v>
      </c>
      <c r="AJ245">
        <v>39.136369000000002</v>
      </c>
      <c r="AK245" t="s">
        <v>270</v>
      </c>
      <c r="AL245">
        <v>-87.450570999999997</v>
      </c>
      <c r="AM245">
        <v>100</v>
      </c>
      <c r="AN245">
        <v>1700</v>
      </c>
      <c r="AO245" t="s">
        <v>118</v>
      </c>
      <c r="AP245">
        <v>-30</v>
      </c>
      <c r="AQ245">
        <v>89</v>
      </c>
      <c r="AR245">
        <v>896</v>
      </c>
      <c r="AZ245">
        <v>4552</v>
      </c>
      <c r="BA245">
        <v>1</v>
      </c>
      <c r="BB245" t="str">
        <f t="shared" si="11"/>
        <v xml:space="preserve">N607SR  </v>
      </c>
      <c r="BC245">
        <v>1</v>
      </c>
      <c r="BE245">
        <v>0</v>
      </c>
      <c r="BF245">
        <v>0</v>
      </c>
      <c r="BG245">
        <v>0</v>
      </c>
      <c r="BH245">
        <v>1425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"06:12:27.920"</f>
        <v>06:12:27.920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6</v>
      </c>
      <c r="CP245" t="s">
        <v>119</v>
      </c>
      <c r="CQ245">
        <v>457</v>
      </c>
      <c r="CR245">
        <v>0</v>
      </c>
      <c r="CW245">
        <v>15510102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"08/29/2020 06:12:24.693"</f>
        <v>08/29/2020 06:12:24.693</v>
      </c>
      <c r="C246" t="str">
        <f t="shared" si="9"/>
        <v>FFDFD3C0</v>
      </c>
      <c r="D246" t="s">
        <v>121</v>
      </c>
      <c r="E246">
        <v>11</v>
      </c>
      <c r="F246">
        <v>1011</v>
      </c>
      <c r="G246" t="s">
        <v>125</v>
      </c>
      <c r="J246" t="s">
        <v>123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"06:12:27.914"</f>
        <v>06:12:27.914</v>
      </c>
      <c r="T246" t="str">
        <f>"06:12:27.514"</f>
        <v>06:12:27.514</v>
      </c>
      <c r="U246" t="str">
        <f t="shared" si="10"/>
        <v>A7E2E0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269</v>
      </c>
      <c r="AJ246">
        <v>39.136369000000002</v>
      </c>
      <c r="AK246" t="s">
        <v>270</v>
      </c>
      <c r="AL246">
        <v>-87.450570999999997</v>
      </c>
      <c r="AM246">
        <v>100</v>
      </c>
      <c r="AN246">
        <v>1700</v>
      </c>
      <c r="AO246" t="s">
        <v>118</v>
      </c>
      <c r="AP246">
        <v>-30</v>
      </c>
      <c r="AQ246">
        <v>89</v>
      </c>
      <c r="AR246">
        <v>896</v>
      </c>
      <c r="AZ246">
        <v>4552</v>
      </c>
      <c r="BA246">
        <v>1</v>
      </c>
      <c r="BB246" t="str">
        <f t="shared" si="11"/>
        <v xml:space="preserve">N607SR  </v>
      </c>
      <c r="BC246">
        <v>1</v>
      </c>
      <c r="BE246">
        <v>0</v>
      </c>
      <c r="BF246">
        <v>0</v>
      </c>
      <c r="BG246">
        <v>0</v>
      </c>
      <c r="BH246">
        <v>1425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"06:12:27.920"</f>
        <v>06:12:27.920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119</v>
      </c>
      <c r="CQ246">
        <v>457</v>
      </c>
      <c r="CR246">
        <v>0</v>
      </c>
      <c r="CW246">
        <v>15510102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"08/29/2020 06:12:25.226"</f>
        <v>08/29/2020 06:12:25.226</v>
      </c>
      <c r="C247" t="str">
        <f t="shared" si="9"/>
        <v>FFDFD3C0</v>
      </c>
      <c r="D247" t="s">
        <v>128</v>
      </c>
      <c r="E247">
        <v>5</v>
      </c>
      <c r="H247">
        <v>241</v>
      </c>
      <c r="I247" t="s">
        <v>129</v>
      </c>
      <c r="J247" t="s">
        <v>130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"06:12:28.406"</f>
        <v>06:12:28.406</v>
      </c>
      <c r="T247" t="str">
        <f>"06:12:28.006"</f>
        <v>06:12:28.006</v>
      </c>
      <c r="U247" t="str">
        <f t="shared" si="10"/>
        <v>A7E2E0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271</v>
      </c>
      <c r="AJ247">
        <v>39.136561999999998</v>
      </c>
      <c r="AK247" t="s">
        <v>272</v>
      </c>
      <c r="AL247">
        <v>-87.450614000000002</v>
      </c>
      <c r="AM247">
        <v>100</v>
      </c>
      <c r="AN247">
        <v>1700</v>
      </c>
      <c r="AO247" t="s">
        <v>118</v>
      </c>
      <c r="AP247">
        <v>-31</v>
      </c>
      <c r="AQ247">
        <v>89</v>
      </c>
      <c r="AR247">
        <v>832</v>
      </c>
      <c r="AZ247">
        <v>4552</v>
      </c>
      <c r="BA247">
        <v>1</v>
      </c>
      <c r="BB247" t="str">
        <f t="shared" si="11"/>
        <v xml:space="preserve">N607SR  </v>
      </c>
      <c r="BC247">
        <v>1</v>
      </c>
      <c r="BE247">
        <v>0</v>
      </c>
      <c r="BF247">
        <v>0</v>
      </c>
      <c r="BG247">
        <v>0</v>
      </c>
      <c r="BH247">
        <v>1450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"06:12:28.410"</f>
        <v>06:12:28.410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177</v>
      </c>
      <c r="CR247">
        <v>2</v>
      </c>
      <c r="CW247">
        <v>1606857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"08/29/2020 06:12:25.226"</f>
        <v>08/29/2020 06:12:25.226</v>
      </c>
      <c r="C248" t="str">
        <f t="shared" si="9"/>
        <v>FFDFD3C0</v>
      </c>
      <c r="D248" t="s">
        <v>113</v>
      </c>
      <c r="E248">
        <v>5</v>
      </c>
      <c r="H248">
        <v>163</v>
      </c>
      <c r="I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"06:12:28.406"</f>
        <v>06:12:28.406</v>
      </c>
      <c r="T248" t="str">
        <f>"06:12:28.006"</f>
        <v>06:12:28.006</v>
      </c>
      <c r="U248" t="str">
        <f t="shared" si="10"/>
        <v>A7E2E0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0</v>
      </c>
      <c r="AI248" t="s">
        <v>271</v>
      </c>
      <c r="AJ248">
        <v>39.136561999999998</v>
      </c>
      <c r="AK248" t="s">
        <v>272</v>
      </c>
      <c r="AL248">
        <v>-87.450614000000002</v>
      </c>
      <c r="AM248">
        <v>100</v>
      </c>
      <c r="AN248">
        <v>1700</v>
      </c>
      <c r="AO248" t="s">
        <v>118</v>
      </c>
      <c r="AP248">
        <v>-31</v>
      </c>
      <c r="AQ248">
        <v>89</v>
      </c>
      <c r="AR248">
        <v>832</v>
      </c>
      <c r="AZ248">
        <v>4552</v>
      </c>
      <c r="BA248">
        <v>1</v>
      </c>
      <c r="BB248" t="str">
        <f t="shared" si="11"/>
        <v xml:space="preserve">N607SR  </v>
      </c>
      <c r="BC248">
        <v>1</v>
      </c>
      <c r="BE248">
        <v>0</v>
      </c>
      <c r="BF248">
        <v>0</v>
      </c>
      <c r="BG248">
        <v>0</v>
      </c>
      <c r="BH248">
        <v>1450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"06:12:28.410"</f>
        <v>06:12:28.410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177</v>
      </c>
      <c r="CR248">
        <v>2</v>
      </c>
      <c r="CW248">
        <v>1606857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"08/29/2020 06:12:25.707"</f>
        <v>08/29/2020 06:12:25.707</v>
      </c>
      <c r="C249" t="str">
        <f t="shared" si="9"/>
        <v>FFDFD3C0</v>
      </c>
      <c r="D249" t="s">
        <v>121</v>
      </c>
      <c r="E249">
        <v>13</v>
      </c>
      <c r="F249">
        <v>1013</v>
      </c>
      <c r="G249" t="s">
        <v>122</v>
      </c>
      <c r="J249" t="s">
        <v>123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"06:12:28.906"</f>
        <v>06:12:28.906</v>
      </c>
      <c r="T249" t="str">
        <f>"06:12:28.506"</f>
        <v>06:12:28.506</v>
      </c>
      <c r="U249" t="str">
        <f t="shared" si="10"/>
        <v>A7E2E0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0</v>
      </c>
      <c r="AI249" t="s">
        <v>273</v>
      </c>
      <c r="AJ249">
        <v>39.136777000000002</v>
      </c>
      <c r="AK249" t="s">
        <v>274</v>
      </c>
      <c r="AL249">
        <v>-87.450764000000007</v>
      </c>
      <c r="AM249">
        <v>100</v>
      </c>
      <c r="AN249">
        <v>1700</v>
      </c>
      <c r="AO249" t="s">
        <v>118</v>
      </c>
      <c r="AP249">
        <v>-33</v>
      </c>
      <c r="AQ249">
        <v>89</v>
      </c>
      <c r="AR249">
        <v>640</v>
      </c>
      <c r="AZ249">
        <v>4552</v>
      </c>
      <c r="BA249">
        <v>1</v>
      </c>
      <c r="BB249" t="str">
        <f t="shared" si="11"/>
        <v xml:space="preserve">N607SR  </v>
      </c>
      <c r="BC249">
        <v>1</v>
      </c>
      <c r="BE249">
        <v>0</v>
      </c>
      <c r="BF249">
        <v>0</v>
      </c>
      <c r="BG249">
        <v>0</v>
      </c>
      <c r="BH249">
        <v>1450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"06:12:28.913"</f>
        <v>06:12:28.913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457</v>
      </c>
      <c r="CR249">
        <v>0</v>
      </c>
      <c r="CW249">
        <v>15510132</v>
      </c>
      <c r="CY249">
        <v>1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"08/29/2020 06:12:25.707"</f>
        <v>08/29/2020 06:12:25.707</v>
      </c>
      <c r="C250" t="str">
        <f t="shared" si="9"/>
        <v>FFDFD3C0</v>
      </c>
      <c r="D250" t="s">
        <v>121</v>
      </c>
      <c r="E250">
        <v>10</v>
      </c>
      <c r="F250">
        <v>1010</v>
      </c>
      <c r="G250" t="s">
        <v>114</v>
      </c>
      <c r="J250" t="s">
        <v>123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"06:12:28.906"</f>
        <v>06:12:28.906</v>
      </c>
      <c r="T250" t="str">
        <f>"06:12:28.506"</f>
        <v>06:12:28.506</v>
      </c>
      <c r="U250" t="str">
        <f t="shared" si="10"/>
        <v>A7E2E0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0</v>
      </c>
      <c r="AI250" t="s">
        <v>273</v>
      </c>
      <c r="AJ250">
        <v>39.136777000000002</v>
      </c>
      <c r="AK250" t="s">
        <v>274</v>
      </c>
      <c r="AL250">
        <v>-87.450764000000007</v>
      </c>
      <c r="AM250">
        <v>100</v>
      </c>
      <c r="AN250">
        <v>1700</v>
      </c>
      <c r="AO250" t="s">
        <v>118</v>
      </c>
      <c r="AP250">
        <v>-33</v>
      </c>
      <c r="AQ250">
        <v>89</v>
      </c>
      <c r="AR250">
        <v>640</v>
      </c>
      <c r="AZ250">
        <v>4552</v>
      </c>
      <c r="BA250">
        <v>1</v>
      </c>
      <c r="BB250" t="str">
        <f t="shared" si="11"/>
        <v xml:space="preserve">N607SR  </v>
      </c>
      <c r="BC250">
        <v>1</v>
      </c>
      <c r="BE250">
        <v>0</v>
      </c>
      <c r="BF250">
        <v>0</v>
      </c>
      <c r="BG250">
        <v>0</v>
      </c>
      <c r="BH250">
        <v>1450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"06:12:28.913"</f>
        <v>06:12:28.913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119</v>
      </c>
      <c r="CQ250">
        <v>457</v>
      </c>
      <c r="CR250">
        <v>0</v>
      </c>
      <c r="CW250">
        <v>15510132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"08/29/2020 06:12:25.707"</f>
        <v>08/29/2020 06:12:25.707</v>
      </c>
      <c r="C251" t="str">
        <f t="shared" si="9"/>
        <v>FFDFD3C0</v>
      </c>
      <c r="D251" t="s">
        <v>121</v>
      </c>
      <c r="E251">
        <v>11</v>
      </c>
      <c r="F251">
        <v>1011</v>
      </c>
      <c r="G251" t="s">
        <v>125</v>
      </c>
      <c r="J251" t="s">
        <v>123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"06:12:28.906"</f>
        <v>06:12:28.906</v>
      </c>
      <c r="T251" t="str">
        <f>"06:12:28.506"</f>
        <v>06:12:28.506</v>
      </c>
      <c r="U251" t="str">
        <f t="shared" si="10"/>
        <v>A7E2E0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0</v>
      </c>
      <c r="AI251" t="s">
        <v>273</v>
      </c>
      <c r="AJ251">
        <v>39.136777000000002</v>
      </c>
      <c r="AK251" t="s">
        <v>274</v>
      </c>
      <c r="AL251">
        <v>-87.450764000000007</v>
      </c>
      <c r="AM251">
        <v>100</v>
      </c>
      <c r="AN251">
        <v>1700</v>
      </c>
      <c r="AO251" t="s">
        <v>118</v>
      </c>
      <c r="AP251">
        <v>-33</v>
      </c>
      <c r="AQ251">
        <v>89</v>
      </c>
      <c r="AR251">
        <v>640</v>
      </c>
      <c r="AZ251">
        <v>4552</v>
      </c>
      <c r="BA251">
        <v>1</v>
      </c>
      <c r="BB251" t="str">
        <f t="shared" si="11"/>
        <v xml:space="preserve">N607SR  </v>
      </c>
      <c r="BC251">
        <v>1</v>
      </c>
      <c r="BE251">
        <v>0</v>
      </c>
      <c r="BF251">
        <v>0</v>
      </c>
      <c r="BG251">
        <v>0</v>
      </c>
      <c r="BH251">
        <v>1450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"06:12:28.913"</f>
        <v>06:12:28.913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6</v>
      </c>
      <c r="CP251" t="s">
        <v>119</v>
      </c>
      <c r="CQ251">
        <v>457</v>
      </c>
      <c r="CR251">
        <v>0</v>
      </c>
      <c r="CW251">
        <v>15510132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"08/29/2020 06:12:26.238"</f>
        <v>08/29/2020 06:12:26.238</v>
      </c>
      <c r="C252" t="str">
        <f t="shared" si="9"/>
        <v>FFDFD3C0</v>
      </c>
      <c r="D252" t="s">
        <v>128</v>
      </c>
      <c r="E252">
        <v>5</v>
      </c>
      <c r="H252">
        <v>241</v>
      </c>
      <c r="I252" t="s">
        <v>129</v>
      </c>
      <c r="J252" t="s">
        <v>130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"06:12:29.461"</f>
        <v>06:12:29.461</v>
      </c>
      <c r="T252" t="str">
        <f>"06:12:28.961"</f>
        <v>06:12:28.961</v>
      </c>
      <c r="U252" t="str">
        <f t="shared" si="10"/>
        <v>A7E2E0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0</v>
      </c>
      <c r="AI252" t="s">
        <v>275</v>
      </c>
      <c r="AJ252">
        <v>39.136969999999998</v>
      </c>
      <c r="AK252" t="s">
        <v>276</v>
      </c>
      <c r="AL252">
        <v>-87.450871000000006</v>
      </c>
      <c r="AM252">
        <v>100</v>
      </c>
      <c r="AN252">
        <v>1700</v>
      </c>
      <c r="AO252" t="s">
        <v>118</v>
      </c>
      <c r="AP252">
        <v>-34</v>
      </c>
      <c r="AQ252">
        <v>89</v>
      </c>
      <c r="AR252">
        <v>512</v>
      </c>
      <c r="AZ252">
        <v>4552</v>
      </c>
      <c r="BA252">
        <v>1</v>
      </c>
      <c r="BB252" t="str">
        <f t="shared" si="11"/>
        <v xml:space="preserve">N607SR  </v>
      </c>
      <c r="BC252">
        <v>1</v>
      </c>
      <c r="BE252">
        <v>0</v>
      </c>
      <c r="BF252">
        <v>0</v>
      </c>
      <c r="BG252">
        <v>0</v>
      </c>
      <c r="BH252">
        <v>1450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"06:12:29.462"</f>
        <v>06:12:29.462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177</v>
      </c>
      <c r="CR252">
        <v>2</v>
      </c>
      <c r="CW252">
        <v>1607064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"08/29/2020 06:12:26.238"</f>
        <v>08/29/2020 06:12:26.238</v>
      </c>
      <c r="C253" t="str">
        <f t="shared" si="9"/>
        <v>FFDFD3C0</v>
      </c>
      <c r="D253" t="s">
        <v>113</v>
      </c>
      <c r="E253">
        <v>5</v>
      </c>
      <c r="H253">
        <v>163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"06:12:29.461"</f>
        <v>06:12:29.461</v>
      </c>
      <c r="T253" t="str">
        <f>"06:12:28.961"</f>
        <v>06:12:28.961</v>
      </c>
      <c r="U253" t="str">
        <f t="shared" si="10"/>
        <v>A7E2E0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0</v>
      </c>
      <c r="AI253" t="s">
        <v>275</v>
      </c>
      <c r="AJ253">
        <v>39.136969999999998</v>
      </c>
      <c r="AK253" t="s">
        <v>276</v>
      </c>
      <c r="AL253">
        <v>-87.450871000000006</v>
      </c>
      <c r="AM253">
        <v>100</v>
      </c>
      <c r="AN253">
        <v>1700</v>
      </c>
      <c r="AO253" t="s">
        <v>118</v>
      </c>
      <c r="AP253">
        <v>-34</v>
      </c>
      <c r="AQ253">
        <v>89</v>
      </c>
      <c r="AR253">
        <v>512</v>
      </c>
      <c r="AZ253">
        <v>4552</v>
      </c>
      <c r="BA253">
        <v>1</v>
      </c>
      <c r="BB253" t="str">
        <f t="shared" si="11"/>
        <v xml:space="preserve">N607SR  </v>
      </c>
      <c r="BC253">
        <v>1</v>
      </c>
      <c r="BE253">
        <v>0</v>
      </c>
      <c r="BF253">
        <v>0</v>
      </c>
      <c r="BG253">
        <v>0</v>
      </c>
      <c r="BH253">
        <v>1450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"06:12:29.462"</f>
        <v>06:12:29.462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177</v>
      </c>
      <c r="CR253">
        <v>2</v>
      </c>
      <c r="CW253">
        <v>1607064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"08/29/2020 06:12:26.669"</f>
        <v>08/29/2020 06:12:26.669</v>
      </c>
      <c r="C254" t="str">
        <f t="shared" si="9"/>
        <v>FFDFD3C0</v>
      </c>
      <c r="D254" t="s">
        <v>121</v>
      </c>
      <c r="E254">
        <v>13</v>
      </c>
      <c r="F254">
        <v>1013</v>
      </c>
      <c r="G254" t="s">
        <v>122</v>
      </c>
      <c r="J254" t="s">
        <v>123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"06:12:29.906"</f>
        <v>06:12:29.906</v>
      </c>
      <c r="T254" t="str">
        <f>"06:12:29.506"</f>
        <v>06:12:29.506</v>
      </c>
      <c r="U254" t="str">
        <f t="shared" si="10"/>
        <v>A7E2E0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0</v>
      </c>
      <c r="AI254" t="s">
        <v>277</v>
      </c>
      <c r="AJ254">
        <v>39.137185000000002</v>
      </c>
      <c r="AK254" t="s">
        <v>278</v>
      </c>
      <c r="AL254">
        <v>-87.450999999999993</v>
      </c>
      <c r="AM254">
        <v>100</v>
      </c>
      <c r="AN254">
        <v>1700</v>
      </c>
      <c r="AO254" t="s">
        <v>118</v>
      </c>
      <c r="AP254">
        <v>-36</v>
      </c>
      <c r="AQ254">
        <v>89</v>
      </c>
      <c r="AR254">
        <v>256</v>
      </c>
      <c r="AZ254">
        <v>4552</v>
      </c>
      <c r="BA254">
        <v>1</v>
      </c>
      <c r="BB254" t="str">
        <f t="shared" si="11"/>
        <v xml:space="preserve">N607SR  </v>
      </c>
      <c r="BC254">
        <v>1</v>
      </c>
      <c r="BE254">
        <v>0</v>
      </c>
      <c r="BF254">
        <v>0</v>
      </c>
      <c r="BG254">
        <v>0</v>
      </c>
      <c r="BH254">
        <v>1450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"06:12:29.908"</f>
        <v>06:12:29.908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177</v>
      </c>
      <c r="CR254">
        <v>2</v>
      </c>
      <c r="CW254">
        <v>1607142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"08/29/2020 06:12:26.669"</f>
        <v>08/29/2020 06:12:26.669</v>
      </c>
      <c r="C255" t="str">
        <f t="shared" si="9"/>
        <v>FFDFD3C0</v>
      </c>
      <c r="D255" t="s">
        <v>121</v>
      </c>
      <c r="E255">
        <v>10</v>
      </c>
      <c r="F255">
        <v>1010</v>
      </c>
      <c r="G255" t="s">
        <v>114</v>
      </c>
      <c r="J255" t="s">
        <v>123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"06:12:29.906"</f>
        <v>06:12:29.906</v>
      </c>
      <c r="T255" t="str">
        <f>"06:12:29.506"</f>
        <v>06:12:29.506</v>
      </c>
      <c r="U255" t="str">
        <f t="shared" si="10"/>
        <v>A7E2E0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0</v>
      </c>
      <c r="AI255" t="s">
        <v>277</v>
      </c>
      <c r="AJ255">
        <v>39.137185000000002</v>
      </c>
      <c r="AK255" t="s">
        <v>278</v>
      </c>
      <c r="AL255">
        <v>-87.450999999999993</v>
      </c>
      <c r="AM255">
        <v>100</v>
      </c>
      <c r="AN255">
        <v>1700</v>
      </c>
      <c r="AO255" t="s">
        <v>118</v>
      </c>
      <c r="AP255">
        <v>-36</v>
      </c>
      <c r="AQ255">
        <v>89</v>
      </c>
      <c r="AR255">
        <v>256</v>
      </c>
      <c r="AZ255">
        <v>4552</v>
      </c>
      <c r="BA255">
        <v>1</v>
      </c>
      <c r="BB255" t="str">
        <f t="shared" si="11"/>
        <v xml:space="preserve">N607SR  </v>
      </c>
      <c r="BC255">
        <v>1</v>
      </c>
      <c r="BE255">
        <v>0</v>
      </c>
      <c r="BF255">
        <v>0</v>
      </c>
      <c r="BG255">
        <v>0</v>
      </c>
      <c r="BH255">
        <v>1450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"06:12:29.908"</f>
        <v>06:12:29.908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177</v>
      </c>
      <c r="CR255">
        <v>2</v>
      </c>
      <c r="CW255">
        <v>1607142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"08/29/2020 06:12:26.669"</f>
        <v>08/29/2020 06:12:26.669</v>
      </c>
      <c r="C256" t="str">
        <f t="shared" si="9"/>
        <v>FFDFD3C0</v>
      </c>
      <c r="D256" t="s">
        <v>121</v>
      </c>
      <c r="E256">
        <v>11</v>
      </c>
      <c r="F256">
        <v>1011</v>
      </c>
      <c r="G256" t="s">
        <v>125</v>
      </c>
      <c r="J256" t="s">
        <v>123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"06:12:29.906"</f>
        <v>06:12:29.906</v>
      </c>
      <c r="T256" t="str">
        <f>"06:12:29.506"</f>
        <v>06:12:29.506</v>
      </c>
      <c r="U256" t="str">
        <f t="shared" si="10"/>
        <v>A7E2E0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0</v>
      </c>
      <c r="AI256" t="s">
        <v>277</v>
      </c>
      <c r="AJ256">
        <v>39.137185000000002</v>
      </c>
      <c r="AK256" t="s">
        <v>278</v>
      </c>
      <c r="AL256">
        <v>-87.450999999999993</v>
      </c>
      <c r="AM256">
        <v>100</v>
      </c>
      <c r="AN256">
        <v>1700</v>
      </c>
      <c r="AO256" t="s">
        <v>118</v>
      </c>
      <c r="AP256">
        <v>-36</v>
      </c>
      <c r="AQ256">
        <v>89</v>
      </c>
      <c r="AR256">
        <v>256</v>
      </c>
      <c r="AZ256">
        <v>4552</v>
      </c>
      <c r="BA256">
        <v>1</v>
      </c>
      <c r="BB256" t="str">
        <f t="shared" si="11"/>
        <v xml:space="preserve">N607SR  </v>
      </c>
      <c r="BC256">
        <v>1</v>
      </c>
      <c r="BE256">
        <v>0</v>
      </c>
      <c r="BF256">
        <v>0</v>
      </c>
      <c r="BG256">
        <v>0</v>
      </c>
      <c r="BH256">
        <v>1450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"06:12:29.908"</f>
        <v>06:12:29.908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177</v>
      </c>
      <c r="CR256">
        <v>2</v>
      </c>
      <c r="CW256">
        <v>1607142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"08/29/2020 06:12:27.249"</f>
        <v>08/29/2020 06:12:27.249</v>
      </c>
      <c r="C257" t="str">
        <f t="shared" si="9"/>
        <v>FFDFD3C0</v>
      </c>
      <c r="D257" t="s">
        <v>128</v>
      </c>
      <c r="E257">
        <v>5</v>
      </c>
      <c r="H257">
        <v>241</v>
      </c>
      <c r="I257" t="s">
        <v>129</v>
      </c>
      <c r="J257" t="s">
        <v>130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"06:12:30.453"</f>
        <v>06:12:30.453</v>
      </c>
      <c r="T257" t="str">
        <f>"06:12:29.953"</f>
        <v>06:12:29.953</v>
      </c>
      <c r="U257" t="str">
        <f t="shared" si="10"/>
        <v>A7E2E0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0</v>
      </c>
      <c r="AI257" t="s">
        <v>279</v>
      </c>
      <c r="AJ257">
        <v>39.137399000000002</v>
      </c>
      <c r="AK257" t="s">
        <v>280</v>
      </c>
      <c r="AL257">
        <v>-87.451108000000005</v>
      </c>
      <c r="AM257">
        <v>100</v>
      </c>
      <c r="AN257">
        <v>1700</v>
      </c>
      <c r="AO257" t="s">
        <v>118</v>
      </c>
      <c r="AP257">
        <v>-38</v>
      </c>
      <c r="AQ257">
        <v>89</v>
      </c>
      <c r="AR257">
        <v>128</v>
      </c>
      <c r="AZ257">
        <v>4552</v>
      </c>
      <c r="BA257">
        <v>1</v>
      </c>
      <c r="BB257" t="str">
        <f t="shared" si="11"/>
        <v xml:space="preserve">N607SR  </v>
      </c>
      <c r="BC257">
        <v>1</v>
      </c>
      <c r="BE257">
        <v>0</v>
      </c>
      <c r="BF257">
        <v>0</v>
      </c>
      <c r="BG257">
        <v>0</v>
      </c>
      <c r="BH257">
        <v>1450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"06:12:30.460"</f>
        <v>06:12:30.460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177</v>
      </c>
      <c r="CR257">
        <v>2</v>
      </c>
      <c r="CW257">
        <v>1607220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"08/29/2020 06:12:27.249"</f>
        <v>08/29/2020 06:12:27.249</v>
      </c>
      <c r="C258" t="str">
        <f t="shared" ref="C258:C321" si="12">"FFDFD3C0"</f>
        <v>FFDFD3C0</v>
      </c>
      <c r="D258" t="s">
        <v>113</v>
      </c>
      <c r="E258">
        <v>5</v>
      </c>
      <c r="H258">
        <v>163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"06:12:30.453"</f>
        <v>06:12:30.453</v>
      </c>
      <c r="T258" t="str">
        <f>"06:12:29.953"</f>
        <v>06:12:29.953</v>
      </c>
      <c r="U258" t="str">
        <f t="shared" ref="U258:U321" si="13">"A7E2E0"</f>
        <v>A7E2E0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0</v>
      </c>
      <c r="AI258" t="s">
        <v>279</v>
      </c>
      <c r="AJ258">
        <v>39.137399000000002</v>
      </c>
      <c r="AK258" t="s">
        <v>280</v>
      </c>
      <c r="AL258">
        <v>-87.451108000000005</v>
      </c>
      <c r="AM258">
        <v>100</v>
      </c>
      <c r="AN258">
        <v>1700</v>
      </c>
      <c r="AO258" t="s">
        <v>118</v>
      </c>
      <c r="AP258">
        <v>-38</v>
      </c>
      <c r="AQ258">
        <v>89</v>
      </c>
      <c r="AR258">
        <v>128</v>
      </c>
      <c r="AZ258">
        <v>4552</v>
      </c>
      <c r="BA258">
        <v>1</v>
      </c>
      <c r="BB258" t="str">
        <f t="shared" ref="BB258:BB321" si="14">"N607SR  "</f>
        <v xml:space="preserve">N607SR  </v>
      </c>
      <c r="BC258">
        <v>1</v>
      </c>
      <c r="BE258">
        <v>0</v>
      </c>
      <c r="BF258">
        <v>0</v>
      </c>
      <c r="BG258">
        <v>0</v>
      </c>
      <c r="BH258">
        <v>1450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"06:12:30.460"</f>
        <v>06:12:30.460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177</v>
      </c>
      <c r="CR258">
        <v>2</v>
      </c>
      <c r="CW258">
        <v>1607220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"08/29/2020 06:12:27.682"</f>
        <v>08/29/2020 06:12:27.682</v>
      </c>
      <c r="C259" t="str">
        <f t="shared" si="12"/>
        <v>FFDFD3C0</v>
      </c>
      <c r="D259" t="s">
        <v>121</v>
      </c>
      <c r="E259">
        <v>13</v>
      </c>
      <c r="F259">
        <v>1013</v>
      </c>
      <c r="G259" t="s">
        <v>122</v>
      </c>
      <c r="J259" t="s">
        <v>123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"06:12:30.891"</f>
        <v>06:12:30.891</v>
      </c>
      <c r="T259" t="str">
        <f>"06:12:30.491"</f>
        <v>06:12:30.491</v>
      </c>
      <c r="U259" t="str">
        <f t="shared" si="13"/>
        <v>A7E2E0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0</v>
      </c>
      <c r="AI259" t="s">
        <v>281</v>
      </c>
      <c r="AJ259">
        <v>39.137591999999998</v>
      </c>
      <c r="AK259" t="s">
        <v>282</v>
      </c>
      <c r="AL259">
        <v>-87.451172</v>
      </c>
      <c r="AM259">
        <v>100</v>
      </c>
      <c r="AN259">
        <v>1700</v>
      </c>
      <c r="AO259" t="s">
        <v>118</v>
      </c>
      <c r="AP259">
        <v>-40</v>
      </c>
      <c r="AQ259">
        <v>89</v>
      </c>
      <c r="AR259">
        <v>-192</v>
      </c>
      <c r="AZ259">
        <v>4552</v>
      </c>
      <c r="BA259">
        <v>1</v>
      </c>
      <c r="BB259" t="str">
        <f t="shared" si="14"/>
        <v xml:space="preserve">N607SR  </v>
      </c>
      <c r="BC259">
        <v>1</v>
      </c>
      <c r="BE259">
        <v>0</v>
      </c>
      <c r="BF259">
        <v>0</v>
      </c>
      <c r="BG259">
        <v>0</v>
      </c>
      <c r="BH259">
        <v>1450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"06:12:30.896"</f>
        <v>06:12:30.896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177</v>
      </c>
      <c r="CR259">
        <v>2</v>
      </c>
      <c r="CW259">
        <v>1607298</v>
      </c>
      <c r="CY259">
        <v>1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"08/29/2020 06:12:27.682"</f>
        <v>08/29/2020 06:12:27.682</v>
      </c>
      <c r="C260" t="str">
        <f t="shared" si="12"/>
        <v>FFDFD3C0</v>
      </c>
      <c r="D260" t="s">
        <v>121</v>
      </c>
      <c r="E260">
        <v>10</v>
      </c>
      <c r="F260">
        <v>1010</v>
      </c>
      <c r="G260" t="s">
        <v>114</v>
      </c>
      <c r="J260" t="s">
        <v>123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"06:12:30.891"</f>
        <v>06:12:30.891</v>
      </c>
      <c r="T260" t="str">
        <f>"06:12:30.491"</f>
        <v>06:12:30.491</v>
      </c>
      <c r="U260" t="str">
        <f t="shared" si="13"/>
        <v>A7E2E0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0</v>
      </c>
      <c r="AI260" t="s">
        <v>281</v>
      </c>
      <c r="AJ260">
        <v>39.137591999999998</v>
      </c>
      <c r="AK260" t="s">
        <v>282</v>
      </c>
      <c r="AL260">
        <v>-87.451172</v>
      </c>
      <c r="AM260">
        <v>100</v>
      </c>
      <c r="AN260">
        <v>1700</v>
      </c>
      <c r="AO260" t="s">
        <v>118</v>
      </c>
      <c r="AP260">
        <v>-40</v>
      </c>
      <c r="AQ260">
        <v>89</v>
      </c>
      <c r="AR260">
        <v>-192</v>
      </c>
      <c r="AZ260">
        <v>4552</v>
      </c>
      <c r="BA260">
        <v>1</v>
      </c>
      <c r="BB260" t="str">
        <f t="shared" si="14"/>
        <v xml:space="preserve">N607SR  </v>
      </c>
      <c r="BC260">
        <v>1</v>
      </c>
      <c r="BE260">
        <v>0</v>
      </c>
      <c r="BF260">
        <v>0</v>
      </c>
      <c r="BG260">
        <v>0</v>
      </c>
      <c r="BH260">
        <v>1450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"06:12:30.896"</f>
        <v>06:12:30.896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177</v>
      </c>
      <c r="CR260">
        <v>2</v>
      </c>
      <c r="CW260">
        <v>1607298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"08/29/2020 06:12:27.682"</f>
        <v>08/29/2020 06:12:27.682</v>
      </c>
      <c r="C261" t="str">
        <f t="shared" si="12"/>
        <v>FFDFD3C0</v>
      </c>
      <c r="D261" t="s">
        <v>121</v>
      </c>
      <c r="E261">
        <v>11</v>
      </c>
      <c r="F261">
        <v>1011</v>
      </c>
      <c r="G261" t="s">
        <v>125</v>
      </c>
      <c r="J261" t="s">
        <v>123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"06:12:30.891"</f>
        <v>06:12:30.891</v>
      </c>
      <c r="T261" t="str">
        <f>"06:12:30.491"</f>
        <v>06:12:30.491</v>
      </c>
      <c r="U261" t="str">
        <f t="shared" si="13"/>
        <v>A7E2E0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281</v>
      </c>
      <c r="AJ261">
        <v>39.137591999999998</v>
      </c>
      <c r="AK261" t="s">
        <v>282</v>
      </c>
      <c r="AL261">
        <v>-87.451172</v>
      </c>
      <c r="AM261">
        <v>100</v>
      </c>
      <c r="AN261">
        <v>1700</v>
      </c>
      <c r="AO261" t="s">
        <v>118</v>
      </c>
      <c r="AP261">
        <v>-40</v>
      </c>
      <c r="AQ261">
        <v>89</v>
      </c>
      <c r="AR261">
        <v>-192</v>
      </c>
      <c r="AZ261">
        <v>4552</v>
      </c>
      <c r="BA261">
        <v>1</v>
      </c>
      <c r="BB261" t="str">
        <f t="shared" si="14"/>
        <v xml:space="preserve">N607SR  </v>
      </c>
      <c r="BC261">
        <v>1</v>
      </c>
      <c r="BE261">
        <v>0</v>
      </c>
      <c r="BF261">
        <v>0</v>
      </c>
      <c r="BG261">
        <v>0</v>
      </c>
      <c r="BH261">
        <v>1450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"06:12:30.896"</f>
        <v>06:12:30.896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177</v>
      </c>
      <c r="CR261">
        <v>2</v>
      </c>
      <c r="CW261">
        <v>1607298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"08/29/2020 06:12:28.163"</f>
        <v>08/29/2020 06:12:28.163</v>
      </c>
      <c r="C262" t="str">
        <f t="shared" si="12"/>
        <v>FFDFD3C0</v>
      </c>
      <c r="D262" t="s">
        <v>128</v>
      </c>
      <c r="E262">
        <v>5</v>
      </c>
      <c r="H262">
        <v>241</v>
      </c>
      <c r="I262" t="s">
        <v>129</v>
      </c>
      <c r="J262" t="s">
        <v>130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"06:12:31.344"</f>
        <v>06:12:31.344</v>
      </c>
      <c r="T262" t="str">
        <f>"06:12:30.944"</f>
        <v>06:12:30.944</v>
      </c>
      <c r="U262" t="str">
        <f t="shared" si="13"/>
        <v>A7E2E0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283</v>
      </c>
      <c r="AJ262">
        <v>39.137785000000001</v>
      </c>
      <c r="AK262" t="s">
        <v>284</v>
      </c>
      <c r="AL262">
        <v>-87.451344000000006</v>
      </c>
      <c r="AM262">
        <v>100</v>
      </c>
      <c r="AN262">
        <v>1700</v>
      </c>
      <c r="AO262" t="s">
        <v>118</v>
      </c>
      <c r="AP262">
        <v>-42</v>
      </c>
      <c r="AQ262">
        <v>90</v>
      </c>
      <c r="AR262">
        <v>-384</v>
      </c>
      <c r="AZ262">
        <v>4552</v>
      </c>
      <c r="BA262">
        <v>1</v>
      </c>
      <c r="BB262" t="str">
        <f t="shared" si="14"/>
        <v xml:space="preserve">N607SR  </v>
      </c>
      <c r="BC262">
        <v>1</v>
      </c>
      <c r="BE262">
        <v>0</v>
      </c>
      <c r="BF262">
        <v>0</v>
      </c>
      <c r="BG262">
        <v>0</v>
      </c>
      <c r="BH262">
        <v>1450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"06:12:31.348"</f>
        <v>06:12:31.348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457</v>
      </c>
      <c r="CR262">
        <v>0</v>
      </c>
      <c r="CW262">
        <v>15510209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"08/29/2020 06:12:28.163"</f>
        <v>08/29/2020 06:12:28.163</v>
      </c>
      <c r="C263" t="str">
        <f t="shared" si="12"/>
        <v>FFDFD3C0</v>
      </c>
      <c r="D263" t="s">
        <v>113</v>
      </c>
      <c r="E263">
        <v>5</v>
      </c>
      <c r="H263">
        <v>163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"06:12:31.344"</f>
        <v>06:12:31.344</v>
      </c>
      <c r="T263" t="str">
        <f>"06:12:30.944"</f>
        <v>06:12:30.944</v>
      </c>
      <c r="U263" t="str">
        <f t="shared" si="13"/>
        <v>A7E2E0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283</v>
      </c>
      <c r="AJ263">
        <v>39.137785000000001</v>
      </c>
      <c r="AK263" t="s">
        <v>284</v>
      </c>
      <c r="AL263">
        <v>-87.451344000000006</v>
      </c>
      <c r="AM263">
        <v>100</v>
      </c>
      <c r="AN263">
        <v>1700</v>
      </c>
      <c r="AO263" t="s">
        <v>118</v>
      </c>
      <c r="AP263">
        <v>-42</v>
      </c>
      <c r="AQ263">
        <v>90</v>
      </c>
      <c r="AR263">
        <v>-384</v>
      </c>
      <c r="AZ263">
        <v>4552</v>
      </c>
      <c r="BA263">
        <v>1</v>
      </c>
      <c r="BB263" t="str">
        <f t="shared" si="14"/>
        <v xml:space="preserve">N607SR  </v>
      </c>
      <c r="BC263">
        <v>1</v>
      </c>
      <c r="BE263">
        <v>0</v>
      </c>
      <c r="BF263">
        <v>0</v>
      </c>
      <c r="BG263">
        <v>0</v>
      </c>
      <c r="BH263">
        <v>1450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"06:12:31.348"</f>
        <v>06:12:31.348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457</v>
      </c>
      <c r="CR263">
        <v>0</v>
      </c>
      <c r="CW263">
        <v>15510209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"08/29/2020 06:12:28.666"</f>
        <v>08/29/2020 06:12:28.666</v>
      </c>
      <c r="C264" t="str">
        <f t="shared" si="12"/>
        <v>FFDFD3C0</v>
      </c>
      <c r="D264" t="s">
        <v>121</v>
      </c>
      <c r="E264">
        <v>11</v>
      </c>
      <c r="F264">
        <v>1011</v>
      </c>
      <c r="G264" t="s">
        <v>125</v>
      </c>
      <c r="J264" t="s">
        <v>123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"06:12:31.859"</f>
        <v>06:12:31.859</v>
      </c>
      <c r="T264" t="str">
        <f>"06:12:31.359"</f>
        <v>06:12:31.359</v>
      </c>
      <c r="U264" t="str">
        <f t="shared" si="13"/>
        <v>A7E2E0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285</v>
      </c>
      <c r="AJ264">
        <v>39.137957</v>
      </c>
      <c r="AK264" t="s">
        <v>286</v>
      </c>
      <c r="AL264">
        <v>-87.451471999999995</v>
      </c>
      <c r="AM264">
        <v>100</v>
      </c>
      <c r="AN264">
        <v>1700</v>
      </c>
      <c r="AO264" t="s">
        <v>118</v>
      </c>
      <c r="AP264">
        <v>-44</v>
      </c>
      <c r="AQ264">
        <v>90</v>
      </c>
      <c r="AR264">
        <v>-512</v>
      </c>
      <c r="AZ264">
        <v>4552</v>
      </c>
      <c r="BA264">
        <v>1</v>
      </c>
      <c r="BB264" t="str">
        <f t="shared" si="14"/>
        <v xml:space="preserve">N607SR  </v>
      </c>
      <c r="BC264">
        <v>1</v>
      </c>
      <c r="BE264">
        <v>0</v>
      </c>
      <c r="BF264">
        <v>0</v>
      </c>
      <c r="BG264">
        <v>0</v>
      </c>
      <c r="BH264">
        <v>1450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"06:12:31.864"</f>
        <v>06:12:31.864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457</v>
      </c>
      <c r="CR264">
        <v>0</v>
      </c>
      <c r="CW264">
        <v>15510227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"08/29/2020 06:12:28.666"</f>
        <v>08/29/2020 06:12:28.666</v>
      </c>
      <c r="C265" t="str">
        <f t="shared" si="12"/>
        <v>FFDFD3C0</v>
      </c>
      <c r="D265" t="s">
        <v>121</v>
      </c>
      <c r="E265">
        <v>10</v>
      </c>
      <c r="F265">
        <v>1010</v>
      </c>
      <c r="G265" t="s">
        <v>114</v>
      </c>
      <c r="J265" t="s">
        <v>123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"06:12:31.859"</f>
        <v>06:12:31.859</v>
      </c>
      <c r="T265" t="str">
        <f>"06:12:31.359"</f>
        <v>06:12:31.359</v>
      </c>
      <c r="U265" t="str">
        <f t="shared" si="13"/>
        <v>A7E2E0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285</v>
      </c>
      <c r="AJ265">
        <v>39.137957</v>
      </c>
      <c r="AK265" t="s">
        <v>286</v>
      </c>
      <c r="AL265">
        <v>-87.451471999999995</v>
      </c>
      <c r="AM265">
        <v>100</v>
      </c>
      <c r="AN265">
        <v>1700</v>
      </c>
      <c r="AO265" t="s">
        <v>118</v>
      </c>
      <c r="AP265">
        <v>-44</v>
      </c>
      <c r="AQ265">
        <v>90</v>
      </c>
      <c r="AR265">
        <v>-512</v>
      </c>
      <c r="AZ265">
        <v>4552</v>
      </c>
      <c r="BA265">
        <v>1</v>
      </c>
      <c r="BB265" t="str">
        <f t="shared" si="14"/>
        <v xml:space="preserve">N607SR  </v>
      </c>
      <c r="BC265">
        <v>1</v>
      </c>
      <c r="BE265">
        <v>0</v>
      </c>
      <c r="BF265">
        <v>0</v>
      </c>
      <c r="BG265">
        <v>0</v>
      </c>
      <c r="BH265">
        <v>1450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"06:12:31.864"</f>
        <v>06:12:31.864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457</v>
      </c>
      <c r="CR265">
        <v>0</v>
      </c>
      <c r="CW265">
        <v>15510227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"08/29/2020 06:12:28.666"</f>
        <v>08/29/2020 06:12:28.666</v>
      </c>
      <c r="C266" t="str">
        <f t="shared" si="12"/>
        <v>FFDFD3C0</v>
      </c>
      <c r="D266" t="s">
        <v>121</v>
      </c>
      <c r="E266">
        <v>13</v>
      </c>
      <c r="F266">
        <v>1013</v>
      </c>
      <c r="G266" t="s">
        <v>122</v>
      </c>
      <c r="J266" t="s">
        <v>123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"06:12:31.859"</f>
        <v>06:12:31.859</v>
      </c>
      <c r="T266" t="str">
        <f>"06:12:31.359"</f>
        <v>06:12:31.359</v>
      </c>
      <c r="U266" t="str">
        <f t="shared" si="13"/>
        <v>A7E2E0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285</v>
      </c>
      <c r="AJ266">
        <v>39.137957</v>
      </c>
      <c r="AK266" t="s">
        <v>286</v>
      </c>
      <c r="AL266">
        <v>-87.451471999999995</v>
      </c>
      <c r="AM266">
        <v>100</v>
      </c>
      <c r="AN266">
        <v>1700</v>
      </c>
      <c r="AO266" t="s">
        <v>118</v>
      </c>
      <c r="AP266">
        <v>-44</v>
      </c>
      <c r="AQ266">
        <v>90</v>
      </c>
      <c r="AR266">
        <v>-512</v>
      </c>
      <c r="AZ266">
        <v>4552</v>
      </c>
      <c r="BA266">
        <v>1</v>
      </c>
      <c r="BB266" t="str">
        <f t="shared" si="14"/>
        <v xml:space="preserve">N607SR  </v>
      </c>
      <c r="BC266">
        <v>1</v>
      </c>
      <c r="BE266">
        <v>0</v>
      </c>
      <c r="BF266">
        <v>0</v>
      </c>
      <c r="BG266">
        <v>0</v>
      </c>
      <c r="BH266">
        <v>1450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"06:12:31.864"</f>
        <v>06:12:31.864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457</v>
      </c>
      <c r="CR266">
        <v>0</v>
      </c>
      <c r="CW266">
        <v>15510227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"08/29/2020 06:12:29.228"</f>
        <v>08/29/2020 06:12:29.228</v>
      </c>
      <c r="C267" t="str">
        <f t="shared" si="12"/>
        <v>FFDFD3C0</v>
      </c>
      <c r="D267" t="s">
        <v>128</v>
      </c>
      <c r="E267">
        <v>5</v>
      </c>
      <c r="H267">
        <v>241</v>
      </c>
      <c r="I267" t="s">
        <v>129</v>
      </c>
      <c r="J267" t="s">
        <v>130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"06:12:32.430"</f>
        <v>06:12:32.430</v>
      </c>
      <c r="T267" t="str">
        <f>"06:12:31.930"</f>
        <v>06:12:31.930</v>
      </c>
      <c r="U267" t="str">
        <f t="shared" si="13"/>
        <v>A7E2E0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0</v>
      </c>
      <c r="AI267" t="s">
        <v>287</v>
      </c>
      <c r="AJ267">
        <v>39.138235999999999</v>
      </c>
      <c r="AK267" t="s">
        <v>288</v>
      </c>
      <c r="AL267">
        <v>-87.451665000000006</v>
      </c>
      <c r="AM267">
        <v>100</v>
      </c>
      <c r="AN267">
        <v>1700</v>
      </c>
      <c r="AO267" t="s">
        <v>118</v>
      </c>
      <c r="AP267">
        <v>-48</v>
      </c>
      <c r="AQ267">
        <v>90</v>
      </c>
      <c r="AR267">
        <v>-704</v>
      </c>
      <c r="AZ267">
        <v>4552</v>
      </c>
      <c r="BA267">
        <v>1</v>
      </c>
      <c r="BB267" t="str">
        <f t="shared" si="14"/>
        <v xml:space="preserve">N607SR  </v>
      </c>
      <c r="BC267">
        <v>1</v>
      </c>
      <c r="BE267">
        <v>0</v>
      </c>
      <c r="BF267">
        <v>0</v>
      </c>
      <c r="BG267">
        <v>0</v>
      </c>
      <c r="BH267">
        <v>1450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"06:12:32.432"</f>
        <v>06:12:32.432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177</v>
      </c>
      <c r="CR267">
        <v>2</v>
      </c>
      <c r="CW267">
        <v>1607548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"08/29/2020 06:12:29.228"</f>
        <v>08/29/2020 06:12:29.228</v>
      </c>
      <c r="C268" t="str">
        <f t="shared" si="12"/>
        <v>FFDFD3C0</v>
      </c>
      <c r="D268" t="s">
        <v>113</v>
      </c>
      <c r="E268">
        <v>5</v>
      </c>
      <c r="H268">
        <v>163</v>
      </c>
      <c r="I268" t="s">
        <v>114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"06:12:32.430"</f>
        <v>06:12:32.430</v>
      </c>
      <c r="T268" t="str">
        <f>"06:12:31.930"</f>
        <v>06:12:31.930</v>
      </c>
      <c r="U268" t="str">
        <f t="shared" si="13"/>
        <v>A7E2E0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0</v>
      </c>
      <c r="AI268" t="s">
        <v>287</v>
      </c>
      <c r="AJ268">
        <v>39.138235999999999</v>
      </c>
      <c r="AK268" t="s">
        <v>288</v>
      </c>
      <c r="AL268">
        <v>-87.451665000000006</v>
      </c>
      <c r="AM268">
        <v>100</v>
      </c>
      <c r="AN268">
        <v>1700</v>
      </c>
      <c r="AO268" t="s">
        <v>118</v>
      </c>
      <c r="AP268">
        <v>-48</v>
      </c>
      <c r="AQ268">
        <v>90</v>
      </c>
      <c r="AR268">
        <v>-704</v>
      </c>
      <c r="AZ268">
        <v>4552</v>
      </c>
      <c r="BA268">
        <v>1</v>
      </c>
      <c r="BB268" t="str">
        <f t="shared" si="14"/>
        <v xml:space="preserve">N607SR  </v>
      </c>
      <c r="BC268">
        <v>1</v>
      </c>
      <c r="BE268">
        <v>0</v>
      </c>
      <c r="BF268">
        <v>0</v>
      </c>
      <c r="BG268">
        <v>0</v>
      </c>
      <c r="BH268">
        <v>1450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"06:12:32.432"</f>
        <v>06:12:32.432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177</v>
      </c>
      <c r="CR268">
        <v>2</v>
      </c>
      <c r="CW268">
        <v>1607548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"08/29/2020 06:12:29.777"</f>
        <v>08/29/2020 06:12:29.777</v>
      </c>
      <c r="C269" t="str">
        <f t="shared" si="12"/>
        <v>FFDFD3C0</v>
      </c>
      <c r="D269" t="s">
        <v>121</v>
      </c>
      <c r="E269">
        <v>11</v>
      </c>
      <c r="F269">
        <v>1011</v>
      </c>
      <c r="G269" t="s">
        <v>125</v>
      </c>
      <c r="J269" t="s">
        <v>123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"06:12:32.984"</f>
        <v>06:12:32.984</v>
      </c>
      <c r="T269" t="str">
        <f>"06:12:32.484"</f>
        <v>06:12:32.484</v>
      </c>
      <c r="U269" t="str">
        <f t="shared" si="13"/>
        <v>A7E2E0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0</v>
      </c>
      <c r="AI269" t="s">
        <v>289</v>
      </c>
      <c r="AJ269">
        <v>39.138429000000002</v>
      </c>
      <c r="AK269" t="s">
        <v>290</v>
      </c>
      <c r="AL269">
        <v>-87.451836999999998</v>
      </c>
      <c r="AM269">
        <v>100</v>
      </c>
      <c r="AN269">
        <v>1700</v>
      </c>
      <c r="AO269" t="s">
        <v>118</v>
      </c>
      <c r="AP269">
        <v>-51</v>
      </c>
      <c r="AQ269">
        <v>90</v>
      </c>
      <c r="AR269">
        <v>-768</v>
      </c>
      <c r="AZ269">
        <v>4552</v>
      </c>
      <c r="BA269">
        <v>1</v>
      </c>
      <c r="BB269" t="str">
        <f t="shared" si="14"/>
        <v xml:space="preserve">N607SR  </v>
      </c>
      <c r="BC269">
        <v>1</v>
      </c>
      <c r="BE269">
        <v>0</v>
      </c>
      <c r="BF269">
        <v>0</v>
      </c>
      <c r="BG269">
        <v>0</v>
      </c>
      <c r="BH269">
        <v>1425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"06:12:32.991"</f>
        <v>06:12:32.991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457</v>
      </c>
      <c r="CR269">
        <v>0</v>
      </c>
      <c r="CW269">
        <v>15510264</v>
      </c>
      <c r="CY269">
        <v>1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"08/29/2020 06:12:29.777"</f>
        <v>08/29/2020 06:12:29.777</v>
      </c>
      <c r="C270" t="str">
        <f t="shared" si="12"/>
        <v>FFDFD3C0</v>
      </c>
      <c r="D270" t="s">
        <v>121</v>
      </c>
      <c r="E270">
        <v>10</v>
      </c>
      <c r="F270">
        <v>1010</v>
      </c>
      <c r="G270" t="s">
        <v>114</v>
      </c>
      <c r="J270" t="s">
        <v>123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"06:12:32.984"</f>
        <v>06:12:32.984</v>
      </c>
      <c r="T270" t="str">
        <f>"06:12:32.484"</f>
        <v>06:12:32.484</v>
      </c>
      <c r="U270" t="str">
        <f t="shared" si="13"/>
        <v>A7E2E0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0</v>
      </c>
      <c r="AI270" t="s">
        <v>289</v>
      </c>
      <c r="AJ270">
        <v>39.138429000000002</v>
      </c>
      <c r="AK270" t="s">
        <v>290</v>
      </c>
      <c r="AL270">
        <v>-87.451836999999998</v>
      </c>
      <c r="AM270">
        <v>100</v>
      </c>
      <c r="AN270">
        <v>1700</v>
      </c>
      <c r="AO270" t="s">
        <v>118</v>
      </c>
      <c r="AP270">
        <v>-51</v>
      </c>
      <c r="AQ270">
        <v>90</v>
      </c>
      <c r="AR270">
        <v>-768</v>
      </c>
      <c r="AZ270">
        <v>4552</v>
      </c>
      <c r="BA270">
        <v>1</v>
      </c>
      <c r="BB270" t="str">
        <f t="shared" si="14"/>
        <v xml:space="preserve">N607SR  </v>
      </c>
      <c r="BC270">
        <v>1</v>
      </c>
      <c r="BE270">
        <v>0</v>
      </c>
      <c r="BF270">
        <v>0</v>
      </c>
      <c r="BG270">
        <v>0</v>
      </c>
      <c r="BH270">
        <v>1425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"06:12:32.991"</f>
        <v>06:12:32.991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457</v>
      </c>
      <c r="CR270">
        <v>0</v>
      </c>
      <c r="CW270">
        <v>15510264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"08/29/2020 06:12:29.777"</f>
        <v>08/29/2020 06:12:29.777</v>
      </c>
      <c r="C271" t="str">
        <f t="shared" si="12"/>
        <v>FFDFD3C0</v>
      </c>
      <c r="D271" t="s">
        <v>121</v>
      </c>
      <c r="E271">
        <v>13</v>
      </c>
      <c r="F271">
        <v>1013</v>
      </c>
      <c r="G271" t="s">
        <v>122</v>
      </c>
      <c r="J271" t="s">
        <v>123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"06:12:32.984"</f>
        <v>06:12:32.984</v>
      </c>
      <c r="T271" t="str">
        <f>"06:12:32.484"</f>
        <v>06:12:32.484</v>
      </c>
      <c r="U271" t="str">
        <f t="shared" si="13"/>
        <v>A7E2E0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0</v>
      </c>
      <c r="AI271" t="s">
        <v>289</v>
      </c>
      <c r="AJ271">
        <v>39.138429000000002</v>
      </c>
      <c r="AK271" t="s">
        <v>290</v>
      </c>
      <c r="AL271">
        <v>-87.451836999999998</v>
      </c>
      <c r="AM271">
        <v>100</v>
      </c>
      <c r="AN271">
        <v>1700</v>
      </c>
      <c r="AO271" t="s">
        <v>118</v>
      </c>
      <c r="AP271">
        <v>-51</v>
      </c>
      <c r="AQ271">
        <v>90</v>
      </c>
      <c r="AR271">
        <v>-768</v>
      </c>
      <c r="AZ271">
        <v>4552</v>
      </c>
      <c r="BA271">
        <v>1</v>
      </c>
      <c r="BB271" t="str">
        <f t="shared" si="14"/>
        <v xml:space="preserve">N607SR  </v>
      </c>
      <c r="BC271">
        <v>1</v>
      </c>
      <c r="BE271">
        <v>0</v>
      </c>
      <c r="BF271">
        <v>0</v>
      </c>
      <c r="BG271">
        <v>0</v>
      </c>
      <c r="BH271">
        <v>1425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"06:12:32.991"</f>
        <v>06:12:32.991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457</v>
      </c>
      <c r="CR271">
        <v>0</v>
      </c>
      <c r="CW271">
        <v>15510264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"08/29/2020 06:12:30.241"</f>
        <v>08/29/2020 06:12:30.241</v>
      </c>
      <c r="C272" t="str">
        <f t="shared" si="12"/>
        <v>FFDFD3C0</v>
      </c>
      <c r="D272" t="s">
        <v>128</v>
      </c>
      <c r="E272">
        <v>5</v>
      </c>
      <c r="H272">
        <v>241</v>
      </c>
      <c r="I272" t="s">
        <v>129</v>
      </c>
      <c r="J272" t="s">
        <v>130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"06:12:33.422"</f>
        <v>06:12:33.422</v>
      </c>
      <c r="T272" t="str">
        <f>"06:12:33.022"</f>
        <v>06:12:33.022</v>
      </c>
      <c r="U272" t="str">
        <f t="shared" si="13"/>
        <v>A7E2E0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0</v>
      </c>
      <c r="AI272" t="s">
        <v>291</v>
      </c>
      <c r="AJ272">
        <v>39.138643999999999</v>
      </c>
      <c r="AK272" t="s">
        <v>292</v>
      </c>
      <c r="AL272">
        <v>-87.451965999999999</v>
      </c>
      <c r="AM272">
        <v>100</v>
      </c>
      <c r="AN272">
        <v>1700</v>
      </c>
      <c r="AO272" t="s">
        <v>118</v>
      </c>
      <c r="AP272">
        <v>-53</v>
      </c>
      <c r="AQ272">
        <v>90</v>
      </c>
      <c r="AR272">
        <v>-832</v>
      </c>
      <c r="AZ272">
        <v>4552</v>
      </c>
      <c r="BA272">
        <v>1</v>
      </c>
      <c r="BB272" t="str">
        <f t="shared" si="14"/>
        <v xml:space="preserve">N607SR  </v>
      </c>
      <c r="BC272">
        <v>1</v>
      </c>
      <c r="BE272">
        <v>0</v>
      </c>
      <c r="BF272">
        <v>0</v>
      </c>
      <c r="BG272">
        <v>0</v>
      </c>
      <c r="BH272">
        <v>1425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"06:12:33.424"</f>
        <v>06:12:33.424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457</v>
      </c>
      <c r="CR272">
        <v>0</v>
      </c>
      <c r="CW272">
        <v>15510278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"08/29/2020 06:12:30.241"</f>
        <v>08/29/2020 06:12:30.241</v>
      </c>
      <c r="C273" t="str">
        <f t="shared" si="12"/>
        <v>FFDFD3C0</v>
      </c>
      <c r="D273" t="s">
        <v>113</v>
      </c>
      <c r="E273">
        <v>5</v>
      </c>
      <c r="H273">
        <v>163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"06:12:33.422"</f>
        <v>06:12:33.422</v>
      </c>
      <c r="T273" t="str">
        <f>"06:12:33.022"</f>
        <v>06:12:33.022</v>
      </c>
      <c r="U273" t="str">
        <f t="shared" si="13"/>
        <v>A7E2E0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0</v>
      </c>
      <c r="AI273" t="s">
        <v>291</v>
      </c>
      <c r="AJ273">
        <v>39.138643999999999</v>
      </c>
      <c r="AK273" t="s">
        <v>292</v>
      </c>
      <c r="AL273">
        <v>-87.451965999999999</v>
      </c>
      <c r="AM273">
        <v>100</v>
      </c>
      <c r="AN273">
        <v>1700</v>
      </c>
      <c r="AO273" t="s">
        <v>118</v>
      </c>
      <c r="AP273">
        <v>-53</v>
      </c>
      <c r="AQ273">
        <v>90</v>
      </c>
      <c r="AR273">
        <v>-832</v>
      </c>
      <c r="AZ273">
        <v>4552</v>
      </c>
      <c r="BA273">
        <v>1</v>
      </c>
      <c r="BB273" t="str">
        <f t="shared" si="14"/>
        <v xml:space="preserve">N607SR  </v>
      </c>
      <c r="BC273">
        <v>1</v>
      </c>
      <c r="BE273">
        <v>0</v>
      </c>
      <c r="BF273">
        <v>0</v>
      </c>
      <c r="BG273">
        <v>0</v>
      </c>
      <c r="BH273">
        <v>1425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"06:12:33.424"</f>
        <v>06:12:33.424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457</v>
      </c>
      <c r="CR273">
        <v>0</v>
      </c>
      <c r="CW273">
        <v>15510278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"08/29/2020 06:12:30.635"</f>
        <v>08/29/2020 06:12:30.635</v>
      </c>
      <c r="C274" t="str">
        <f t="shared" si="12"/>
        <v>FFDFD3C0</v>
      </c>
      <c r="D274" t="s">
        <v>121</v>
      </c>
      <c r="E274">
        <v>11</v>
      </c>
      <c r="F274">
        <v>1011</v>
      </c>
      <c r="G274" t="s">
        <v>125</v>
      </c>
      <c r="J274" t="s">
        <v>123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"06:12:33.836"</f>
        <v>06:12:33.836</v>
      </c>
      <c r="T274" t="str">
        <f>"06:12:33.436"</f>
        <v>06:12:33.436</v>
      </c>
      <c r="U274" t="str">
        <f t="shared" si="13"/>
        <v>A7E2E0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0</v>
      </c>
      <c r="AI274" t="s">
        <v>293</v>
      </c>
      <c r="AJ274">
        <v>39.138793999999997</v>
      </c>
      <c r="AK274" t="s">
        <v>294</v>
      </c>
      <c r="AL274">
        <v>-87.452095</v>
      </c>
      <c r="AM274">
        <v>100</v>
      </c>
      <c r="AN274">
        <v>1700</v>
      </c>
      <c r="AO274" t="s">
        <v>118</v>
      </c>
      <c r="AP274">
        <v>-57</v>
      </c>
      <c r="AQ274">
        <v>90</v>
      </c>
      <c r="AR274">
        <v>-832</v>
      </c>
      <c r="AZ274">
        <v>4552</v>
      </c>
      <c r="BA274">
        <v>1</v>
      </c>
      <c r="BB274" t="str">
        <f t="shared" si="14"/>
        <v xml:space="preserve">N607SR  </v>
      </c>
      <c r="BC274">
        <v>1</v>
      </c>
      <c r="BE274">
        <v>0</v>
      </c>
      <c r="BF274">
        <v>0</v>
      </c>
      <c r="BG274">
        <v>0</v>
      </c>
      <c r="BH274">
        <v>1425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"06:12:33.841"</f>
        <v>06:12:33.841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457</v>
      </c>
      <c r="CR274">
        <v>0</v>
      </c>
      <c r="CW274">
        <v>15510291</v>
      </c>
      <c r="CY274">
        <v>1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"08/29/2020 06:12:30.635"</f>
        <v>08/29/2020 06:12:30.635</v>
      </c>
      <c r="C275" t="str">
        <f t="shared" si="12"/>
        <v>FFDFD3C0</v>
      </c>
      <c r="D275" t="s">
        <v>121</v>
      </c>
      <c r="E275">
        <v>10</v>
      </c>
      <c r="F275">
        <v>1010</v>
      </c>
      <c r="G275" t="s">
        <v>114</v>
      </c>
      <c r="J275" t="s">
        <v>123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"06:12:33.836"</f>
        <v>06:12:33.836</v>
      </c>
      <c r="U275" t="str">
        <f t="shared" si="13"/>
        <v>A7E2E0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293</v>
      </c>
      <c r="AJ275">
        <v>39.138793999999997</v>
      </c>
      <c r="AK275" t="s">
        <v>294</v>
      </c>
      <c r="AL275">
        <v>-87.452095</v>
      </c>
      <c r="AM275">
        <v>100</v>
      </c>
      <c r="AN275">
        <v>1700</v>
      </c>
      <c r="AO275" t="s">
        <v>118</v>
      </c>
      <c r="AP275">
        <v>-59</v>
      </c>
      <c r="AQ275">
        <v>90</v>
      </c>
      <c r="AR275">
        <v>-832</v>
      </c>
      <c r="AZ275">
        <v>4552</v>
      </c>
      <c r="BA275">
        <v>1</v>
      </c>
      <c r="BB275" t="str">
        <f t="shared" si="14"/>
        <v xml:space="preserve">N607SR  </v>
      </c>
      <c r="BC275">
        <v>1</v>
      </c>
      <c r="BE275">
        <v>0</v>
      </c>
      <c r="BF275">
        <v>0</v>
      </c>
      <c r="BG275">
        <v>0</v>
      </c>
      <c r="BH275">
        <v>1400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"06:12:33.841"</f>
        <v>06:12:33.841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4</v>
      </c>
      <c r="CP275" t="s">
        <v>119</v>
      </c>
      <c r="CQ275">
        <v>517</v>
      </c>
      <c r="CR275">
        <v>1</v>
      </c>
      <c r="CW275">
        <v>2475064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"08/29/2020 06:12:30.635"</f>
        <v>08/29/2020 06:12:30.635</v>
      </c>
      <c r="C276" t="str">
        <f t="shared" si="12"/>
        <v>FFDFD3C0</v>
      </c>
      <c r="D276" t="s">
        <v>121</v>
      </c>
      <c r="E276">
        <v>13</v>
      </c>
      <c r="F276">
        <v>1013</v>
      </c>
      <c r="G276" t="s">
        <v>122</v>
      </c>
      <c r="J276" t="s">
        <v>123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"06:12:33.836"</f>
        <v>06:12:33.836</v>
      </c>
      <c r="U276" t="str">
        <f t="shared" si="13"/>
        <v>A7E2E0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293</v>
      </c>
      <c r="AJ276">
        <v>39.138793999999997</v>
      </c>
      <c r="AK276" t="s">
        <v>294</v>
      </c>
      <c r="AL276">
        <v>-87.452095</v>
      </c>
      <c r="AM276">
        <v>100</v>
      </c>
      <c r="AN276">
        <v>1700</v>
      </c>
      <c r="AO276" t="s">
        <v>118</v>
      </c>
      <c r="AP276">
        <v>-59</v>
      </c>
      <c r="AQ276">
        <v>90</v>
      </c>
      <c r="AR276">
        <v>-832</v>
      </c>
      <c r="AZ276">
        <v>4552</v>
      </c>
      <c r="BA276">
        <v>1</v>
      </c>
      <c r="BB276" t="str">
        <f t="shared" si="14"/>
        <v xml:space="preserve">N607SR  </v>
      </c>
      <c r="BC276">
        <v>1</v>
      </c>
      <c r="BE276">
        <v>0</v>
      </c>
      <c r="BF276">
        <v>0</v>
      </c>
      <c r="BG276">
        <v>0</v>
      </c>
      <c r="BH276">
        <v>1400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"06:12:33.841"</f>
        <v>06:12:33.841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4</v>
      </c>
      <c r="CP276" t="s">
        <v>119</v>
      </c>
      <c r="CQ276">
        <v>517</v>
      </c>
      <c r="CR276">
        <v>1</v>
      </c>
      <c r="CW276">
        <v>2475064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"08/29/2020 06:12:31.158"</f>
        <v>08/29/2020 06:12:31.158</v>
      </c>
      <c r="C277" t="str">
        <f t="shared" si="12"/>
        <v>FFDFD3C0</v>
      </c>
      <c r="D277" t="s">
        <v>113</v>
      </c>
      <c r="E277">
        <v>5</v>
      </c>
      <c r="H277">
        <v>163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"06:12:34.375"</f>
        <v>06:12:34.375</v>
      </c>
      <c r="T277" t="str">
        <f>"06:12:33.875"</f>
        <v>06:12:33.875</v>
      </c>
      <c r="U277" t="str">
        <f t="shared" si="13"/>
        <v>A7E2E0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295</v>
      </c>
      <c r="AJ277">
        <v>39.139029999999998</v>
      </c>
      <c r="AK277" t="s">
        <v>296</v>
      </c>
      <c r="AL277">
        <v>-87.452309</v>
      </c>
      <c r="AM277">
        <v>100</v>
      </c>
      <c r="AN277">
        <v>1600</v>
      </c>
      <c r="AO277" t="s">
        <v>118</v>
      </c>
      <c r="AP277">
        <v>-59</v>
      </c>
      <c r="AQ277">
        <v>90</v>
      </c>
      <c r="AR277">
        <v>-832</v>
      </c>
      <c r="AZ277">
        <v>4552</v>
      </c>
      <c r="BA277">
        <v>1</v>
      </c>
      <c r="BB277" t="str">
        <f t="shared" si="14"/>
        <v xml:space="preserve">N607SR  </v>
      </c>
      <c r="BC277">
        <v>1</v>
      </c>
      <c r="BE277">
        <v>0</v>
      </c>
      <c r="BF277">
        <v>0</v>
      </c>
      <c r="BG277">
        <v>0</v>
      </c>
      <c r="BH277">
        <v>1300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"06:12:34.382"</f>
        <v>06:12:34.382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457</v>
      </c>
      <c r="CR277">
        <v>0</v>
      </c>
      <c r="CW277">
        <v>15510307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"08/29/2020 06:12:31.158"</f>
        <v>08/29/2020 06:12:31.158</v>
      </c>
      <c r="C278" t="str">
        <f t="shared" si="12"/>
        <v>FFDFD3C0</v>
      </c>
      <c r="D278" t="s">
        <v>128</v>
      </c>
      <c r="E278">
        <v>5</v>
      </c>
      <c r="H278">
        <v>241</v>
      </c>
      <c r="I278" t="s">
        <v>129</v>
      </c>
      <c r="J278" t="s">
        <v>130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"06:12:34.375"</f>
        <v>06:12:34.375</v>
      </c>
      <c r="T278" t="str">
        <f>"06:12:33.875"</f>
        <v>06:12:33.875</v>
      </c>
      <c r="U278" t="str">
        <f t="shared" si="13"/>
        <v>A7E2E0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295</v>
      </c>
      <c r="AJ278">
        <v>39.139029999999998</v>
      </c>
      <c r="AK278" t="s">
        <v>296</v>
      </c>
      <c r="AL278">
        <v>-87.452309</v>
      </c>
      <c r="AM278">
        <v>100</v>
      </c>
      <c r="AN278">
        <v>1600</v>
      </c>
      <c r="AO278" t="s">
        <v>118</v>
      </c>
      <c r="AP278">
        <v>-59</v>
      </c>
      <c r="AQ278">
        <v>90</v>
      </c>
      <c r="AR278">
        <v>-832</v>
      </c>
      <c r="AZ278">
        <v>4552</v>
      </c>
      <c r="BA278">
        <v>1</v>
      </c>
      <c r="BB278" t="str">
        <f t="shared" si="14"/>
        <v xml:space="preserve">N607SR  </v>
      </c>
      <c r="BC278">
        <v>1</v>
      </c>
      <c r="BE278">
        <v>0</v>
      </c>
      <c r="BF278">
        <v>0</v>
      </c>
      <c r="BG278">
        <v>0</v>
      </c>
      <c r="BH278">
        <v>1300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"06:12:34.382"</f>
        <v>06:12:34.382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457</v>
      </c>
      <c r="CR278">
        <v>0</v>
      </c>
      <c r="CW278">
        <v>15510307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"08/29/2020 06:12:31.578"</f>
        <v>08/29/2020 06:12:31.578</v>
      </c>
      <c r="C279" t="str">
        <f t="shared" si="12"/>
        <v>FFDFD3C0</v>
      </c>
      <c r="D279" t="s">
        <v>121</v>
      </c>
      <c r="E279">
        <v>10</v>
      </c>
      <c r="F279">
        <v>1010</v>
      </c>
      <c r="G279" t="s">
        <v>114</v>
      </c>
      <c r="J279" t="s">
        <v>123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"06:12:34.781"</f>
        <v>06:12:34.781</v>
      </c>
      <c r="T279" t="str">
        <f>"06:12:34.481"</f>
        <v>06:12:34.481</v>
      </c>
      <c r="U279" t="str">
        <f t="shared" si="13"/>
        <v>A7E2E0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297</v>
      </c>
      <c r="AJ279">
        <v>39.139201999999997</v>
      </c>
      <c r="AK279" t="s">
        <v>298</v>
      </c>
      <c r="AL279">
        <v>-87.452415999999999</v>
      </c>
      <c r="AM279">
        <v>100</v>
      </c>
      <c r="AN279">
        <v>1700</v>
      </c>
      <c r="AO279" t="s">
        <v>118</v>
      </c>
      <c r="AP279">
        <v>-62</v>
      </c>
      <c r="AQ279">
        <v>90</v>
      </c>
      <c r="AR279">
        <v>-832</v>
      </c>
      <c r="AZ279">
        <v>4552</v>
      </c>
      <c r="BA279">
        <v>1</v>
      </c>
      <c r="BB279" t="str">
        <f t="shared" si="14"/>
        <v xml:space="preserve">N607SR  </v>
      </c>
      <c r="BC279">
        <v>1</v>
      </c>
      <c r="BE279">
        <v>0</v>
      </c>
      <c r="BF279">
        <v>0</v>
      </c>
      <c r="BG279">
        <v>0</v>
      </c>
      <c r="BH279">
        <v>1500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"06:12:34.788"</f>
        <v>06:12:34.788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457</v>
      </c>
      <c r="CR279">
        <v>0</v>
      </c>
      <c r="CW279">
        <v>15510322</v>
      </c>
      <c r="CY279">
        <v>1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"08/29/2020 06:12:31.578"</f>
        <v>08/29/2020 06:12:31.578</v>
      </c>
      <c r="C280" t="str">
        <f t="shared" si="12"/>
        <v>FFDFD3C0</v>
      </c>
      <c r="D280" t="s">
        <v>121</v>
      </c>
      <c r="E280">
        <v>13</v>
      </c>
      <c r="F280">
        <v>1013</v>
      </c>
      <c r="G280" t="s">
        <v>122</v>
      </c>
      <c r="J280" t="s">
        <v>123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"06:12:34.781"</f>
        <v>06:12:34.781</v>
      </c>
      <c r="T280" t="str">
        <f>"06:12:34.481"</f>
        <v>06:12:34.481</v>
      </c>
      <c r="U280" t="str">
        <f t="shared" si="13"/>
        <v>A7E2E0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297</v>
      </c>
      <c r="AJ280">
        <v>39.139201999999997</v>
      </c>
      <c r="AK280" t="s">
        <v>298</v>
      </c>
      <c r="AL280">
        <v>-87.452415999999999</v>
      </c>
      <c r="AM280">
        <v>100</v>
      </c>
      <c r="AN280">
        <v>1700</v>
      </c>
      <c r="AO280" t="s">
        <v>118</v>
      </c>
      <c r="AP280">
        <v>-62</v>
      </c>
      <c r="AQ280">
        <v>90</v>
      </c>
      <c r="AR280">
        <v>-832</v>
      </c>
      <c r="AZ280">
        <v>4552</v>
      </c>
      <c r="BA280">
        <v>1</v>
      </c>
      <c r="BB280" t="str">
        <f t="shared" si="14"/>
        <v xml:space="preserve">N607SR  </v>
      </c>
      <c r="BC280">
        <v>1</v>
      </c>
      <c r="BE280">
        <v>0</v>
      </c>
      <c r="BF280">
        <v>0</v>
      </c>
      <c r="BG280">
        <v>0</v>
      </c>
      <c r="BH280">
        <v>1500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"06:12:34.788"</f>
        <v>06:12:34.788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457</v>
      </c>
      <c r="CR280">
        <v>0</v>
      </c>
      <c r="CW280">
        <v>15510322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"08/29/2020 06:12:31.578"</f>
        <v>08/29/2020 06:12:31.578</v>
      </c>
      <c r="C281" t="str">
        <f t="shared" si="12"/>
        <v>FFDFD3C0</v>
      </c>
      <c r="D281" t="s">
        <v>121</v>
      </c>
      <c r="E281">
        <v>11</v>
      </c>
      <c r="F281">
        <v>1011</v>
      </c>
      <c r="G281" t="s">
        <v>125</v>
      </c>
      <c r="J281" t="s">
        <v>123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"06:12:34.781"</f>
        <v>06:12:34.781</v>
      </c>
      <c r="T281" t="str">
        <f>"06:12:34.481"</f>
        <v>06:12:34.481</v>
      </c>
      <c r="U281" t="str">
        <f t="shared" si="13"/>
        <v>A7E2E0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297</v>
      </c>
      <c r="AJ281">
        <v>39.139201999999997</v>
      </c>
      <c r="AK281" t="s">
        <v>298</v>
      </c>
      <c r="AL281">
        <v>-87.452415999999999</v>
      </c>
      <c r="AM281">
        <v>100</v>
      </c>
      <c r="AN281">
        <v>1700</v>
      </c>
      <c r="AO281" t="s">
        <v>118</v>
      </c>
      <c r="AP281">
        <v>-62</v>
      </c>
      <c r="AQ281">
        <v>90</v>
      </c>
      <c r="AR281">
        <v>-832</v>
      </c>
      <c r="AZ281">
        <v>4552</v>
      </c>
      <c r="BA281">
        <v>1</v>
      </c>
      <c r="BB281" t="str">
        <f t="shared" si="14"/>
        <v xml:space="preserve">N607SR  </v>
      </c>
      <c r="BC281">
        <v>1</v>
      </c>
      <c r="BE281">
        <v>0</v>
      </c>
      <c r="BF281">
        <v>0</v>
      </c>
      <c r="BG281">
        <v>0</v>
      </c>
      <c r="BH281">
        <v>1500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"06:12:34.788"</f>
        <v>06:12:34.788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457</v>
      </c>
      <c r="CR281">
        <v>0</v>
      </c>
      <c r="CW281">
        <v>15510322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"08/29/2020 06:12:32.114"</f>
        <v>08/29/2020 06:12:32.114</v>
      </c>
      <c r="C282" t="str">
        <f t="shared" si="12"/>
        <v>FFDFD3C0</v>
      </c>
      <c r="D282" t="s">
        <v>128</v>
      </c>
      <c r="E282">
        <v>5</v>
      </c>
      <c r="H282">
        <v>241</v>
      </c>
      <c r="I282" t="s">
        <v>129</v>
      </c>
      <c r="J282" t="s">
        <v>130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"06:12:35.344"</f>
        <v>06:12:35.344</v>
      </c>
      <c r="T282" t="str">
        <f>"06:12:34.844"</f>
        <v>06:12:34.844</v>
      </c>
      <c r="U282" t="str">
        <f t="shared" si="13"/>
        <v>A7E2E0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299</v>
      </c>
      <c r="AJ282">
        <v>39.139437999999998</v>
      </c>
      <c r="AK282" t="s">
        <v>300</v>
      </c>
      <c r="AL282">
        <v>-87.452717000000007</v>
      </c>
      <c r="AM282">
        <v>100</v>
      </c>
      <c r="AN282">
        <v>1600</v>
      </c>
      <c r="AO282" t="s">
        <v>118</v>
      </c>
      <c r="AP282">
        <v>-64</v>
      </c>
      <c r="AQ282">
        <v>89</v>
      </c>
      <c r="AR282">
        <v>-768</v>
      </c>
      <c r="AZ282">
        <v>4552</v>
      </c>
      <c r="BA282">
        <v>1</v>
      </c>
      <c r="BB282" t="str">
        <f t="shared" si="14"/>
        <v xml:space="preserve">N607SR  </v>
      </c>
      <c r="BC282">
        <v>1</v>
      </c>
      <c r="BE282">
        <v>0</v>
      </c>
      <c r="BF282">
        <v>0</v>
      </c>
      <c r="BG282">
        <v>0</v>
      </c>
      <c r="BH282">
        <v>1400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"06:12:35.344"</f>
        <v>06:12:35.344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177</v>
      </c>
      <c r="CR282">
        <v>2</v>
      </c>
      <c r="CW282">
        <v>1608039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"08/29/2020 06:12:32.114"</f>
        <v>08/29/2020 06:12:32.114</v>
      </c>
      <c r="C283" t="str">
        <f t="shared" si="12"/>
        <v>FFDFD3C0</v>
      </c>
      <c r="D283" t="s">
        <v>113</v>
      </c>
      <c r="E283">
        <v>5</v>
      </c>
      <c r="H283">
        <v>163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"06:12:35.344"</f>
        <v>06:12:35.344</v>
      </c>
      <c r="T283" t="str">
        <f>"06:12:34.844"</f>
        <v>06:12:34.844</v>
      </c>
      <c r="U283" t="str">
        <f t="shared" si="13"/>
        <v>A7E2E0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299</v>
      </c>
      <c r="AJ283">
        <v>39.139437999999998</v>
      </c>
      <c r="AK283" t="s">
        <v>300</v>
      </c>
      <c r="AL283">
        <v>-87.452717000000007</v>
      </c>
      <c r="AM283">
        <v>100</v>
      </c>
      <c r="AN283">
        <v>1600</v>
      </c>
      <c r="AO283" t="s">
        <v>118</v>
      </c>
      <c r="AP283">
        <v>-64</v>
      </c>
      <c r="AQ283">
        <v>89</v>
      </c>
      <c r="AR283">
        <v>-768</v>
      </c>
      <c r="AZ283">
        <v>4552</v>
      </c>
      <c r="BA283">
        <v>1</v>
      </c>
      <c r="BB283" t="str">
        <f t="shared" si="14"/>
        <v xml:space="preserve">N607SR  </v>
      </c>
      <c r="BC283">
        <v>1</v>
      </c>
      <c r="BE283">
        <v>0</v>
      </c>
      <c r="BF283">
        <v>0</v>
      </c>
      <c r="BG283">
        <v>0</v>
      </c>
      <c r="BH283">
        <v>1400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"06:12:35.344"</f>
        <v>06:12:35.344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177</v>
      </c>
      <c r="CR283">
        <v>2</v>
      </c>
      <c r="CW283">
        <v>1608039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"08/29/2020 06:12:32.691"</f>
        <v>08/29/2020 06:12:32.691</v>
      </c>
      <c r="C284" t="str">
        <f t="shared" si="12"/>
        <v>FFDFD3C0</v>
      </c>
      <c r="D284" t="s">
        <v>121</v>
      </c>
      <c r="E284">
        <v>10</v>
      </c>
      <c r="F284">
        <v>1010</v>
      </c>
      <c r="G284" t="s">
        <v>114</v>
      </c>
      <c r="J284" t="s">
        <v>123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"06:12:35.883"</f>
        <v>06:12:35.883</v>
      </c>
      <c r="T284" t="str">
        <f>"06:12:35.383"</f>
        <v>06:12:35.383</v>
      </c>
      <c r="U284" t="str">
        <f t="shared" si="13"/>
        <v>A7E2E0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301</v>
      </c>
      <c r="AJ284">
        <v>39.139631000000001</v>
      </c>
      <c r="AK284" t="s">
        <v>302</v>
      </c>
      <c r="AL284">
        <v>-87.452888000000002</v>
      </c>
      <c r="AM284">
        <v>100</v>
      </c>
      <c r="AN284">
        <v>1600</v>
      </c>
      <c r="AO284" t="s">
        <v>118</v>
      </c>
      <c r="AP284">
        <v>-67</v>
      </c>
      <c r="AQ284">
        <v>89</v>
      </c>
      <c r="AR284">
        <v>-640</v>
      </c>
      <c r="AZ284">
        <v>4552</v>
      </c>
      <c r="BA284">
        <v>1</v>
      </c>
      <c r="BB284" t="str">
        <f t="shared" si="14"/>
        <v xml:space="preserve">N607SR  </v>
      </c>
      <c r="BC284">
        <v>1</v>
      </c>
      <c r="BE284">
        <v>0</v>
      </c>
      <c r="BF284">
        <v>0</v>
      </c>
      <c r="BG284">
        <v>0</v>
      </c>
      <c r="BH284">
        <v>1400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"06:12:35.885"</f>
        <v>06:12:35.885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457</v>
      </c>
      <c r="CR284">
        <v>0</v>
      </c>
      <c r="CW284">
        <v>15510358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"08/29/2020 06:12:32.691"</f>
        <v>08/29/2020 06:12:32.691</v>
      </c>
      <c r="C285" t="str">
        <f t="shared" si="12"/>
        <v>FFDFD3C0</v>
      </c>
      <c r="D285" t="s">
        <v>121</v>
      </c>
      <c r="E285">
        <v>13</v>
      </c>
      <c r="F285">
        <v>1013</v>
      </c>
      <c r="G285" t="s">
        <v>122</v>
      </c>
      <c r="J285" t="s">
        <v>123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"06:12:35.883"</f>
        <v>06:12:35.883</v>
      </c>
      <c r="T285" t="str">
        <f>"06:12:35.383"</f>
        <v>06:12:35.383</v>
      </c>
      <c r="U285" t="str">
        <f t="shared" si="13"/>
        <v>A7E2E0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301</v>
      </c>
      <c r="AJ285">
        <v>39.139631000000001</v>
      </c>
      <c r="AK285" t="s">
        <v>302</v>
      </c>
      <c r="AL285">
        <v>-87.452888000000002</v>
      </c>
      <c r="AM285">
        <v>100</v>
      </c>
      <c r="AN285">
        <v>1600</v>
      </c>
      <c r="AO285" t="s">
        <v>118</v>
      </c>
      <c r="AP285">
        <v>-67</v>
      </c>
      <c r="AQ285">
        <v>89</v>
      </c>
      <c r="AR285">
        <v>-640</v>
      </c>
      <c r="AZ285">
        <v>4552</v>
      </c>
      <c r="BA285">
        <v>1</v>
      </c>
      <c r="BB285" t="str">
        <f t="shared" si="14"/>
        <v xml:space="preserve">N607SR  </v>
      </c>
      <c r="BC285">
        <v>1</v>
      </c>
      <c r="BE285">
        <v>0</v>
      </c>
      <c r="BF285">
        <v>0</v>
      </c>
      <c r="BG285">
        <v>0</v>
      </c>
      <c r="BH285">
        <v>1400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"06:12:35.885"</f>
        <v>06:12:35.885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457</v>
      </c>
      <c r="CR285">
        <v>0</v>
      </c>
      <c r="CW285">
        <v>15510358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"08/29/2020 06:12:32.691"</f>
        <v>08/29/2020 06:12:32.691</v>
      </c>
      <c r="C286" t="str">
        <f t="shared" si="12"/>
        <v>FFDFD3C0</v>
      </c>
      <c r="D286" t="s">
        <v>121</v>
      </c>
      <c r="E286">
        <v>11</v>
      </c>
      <c r="F286">
        <v>1011</v>
      </c>
      <c r="G286" t="s">
        <v>125</v>
      </c>
      <c r="J286" t="s">
        <v>123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"06:12:35.883"</f>
        <v>06:12:35.883</v>
      </c>
      <c r="T286" t="str">
        <f>"06:12:35.383"</f>
        <v>06:12:35.383</v>
      </c>
      <c r="U286" t="str">
        <f t="shared" si="13"/>
        <v>A7E2E0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301</v>
      </c>
      <c r="AJ286">
        <v>39.139631000000001</v>
      </c>
      <c r="AK286" t="s">
        <v>302</v>
      </c>
      <c r="AL286">
        <v>-87.452888000000002</v>
      </c>
      <c r="AM286">
        <v>100</v>
      </c>
      <c r="AN286">
        <v>1600</v>
      </c>
      <c r="AO286" t="s">
        <v>118</v>
      </c>
      <c r="AP286">
        <v>-67</v>
      </c>
      <c r="AQ286">
        <v>89</v>
      </c>
      <c r="AR286">
        <v>-640</v>
      </c>
      <c r="AZ286">
        <v>4552</v>
      </c>
      <c r="BA286">
        <v>1</v>
      </c>
      <c r="BB286" t="str">
        <f t="shared" si="14"/>
        <v xml:space="preserve">N607SR  </v>
      </c>
      <c r="BC286">
        <v>1</v>
      </c>
      <c r="BE286">
        <v>0</v>
      </c>
      <c r="BF286">
        <v>0</v>
      </c>
      <c r="BG286">
        <v>0</v>
      </c>
      <c r="BH286">
        <v>1400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"06:12:35.885"</f>
        <v>06:12:35.885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457</v>
      </c>
      <c r="CR286">
        <v>0</v>
      </c>
      <c r="CW286">
        <v>15510358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"08/29/2020 06:12:33.282"</f>
        <v>08/29/2020 06:12:33.282</v>
      </c>
      <c r="C287" t="str">
        <f t="shared" si="12"/>
        <v>FFDFD3C0</v>
      </c>
      <c r="D287" t="s">
        <v>128</v>
      </c>
      <c r="E287">
        <v>5</v>
      </c>
      <c r="H287">
        <v>241</v>
      </c>
      <c r="I287" t="s">
        <v>129</v>
      </c>
      <c r="J287" t="s">
        <v>130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"06:12:36.453"</f>
        <v>06:12:36.453</v>
      </c>
      <c r="U287" t="str">
        <f t="shared" si="13"/>
        <v>A7E2E0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303</v>
      </c>
      <c r="AJ287">
        <v>39.139867000000002</v>
      </c>
      <c r="AK287" t="s">
        <v>304</v>
      </c>
      <c r="AL287">
        <v>-87.453188999999995</v>
      </c>
      <c r="AM287">
        <v>100</v>
      </c>
      <c r="AN287">
        <v>1600</v>
      </c>
      <c r="AO287" t="s">
        <v>118</v>
      </c>
      <c r="AP287">
        <v>-73</v>
      </c>
      <c r="AQ287">
        <v>88</v>
      </c>
      <c r="AR287">
        <v>-448</v>
      </c>
      <c r="AZ287">
        <v>4552</v>
      </c>
      <c r="BA287">
        <v>1</v>
      </c>
      <c r="BB287" t="str">
        <f t="shared" si="14"/>
        <v xml:space="preserve">N607SR  </v>
      </c>
      <c r="BC287">
        <v>1</v>
      </c>
      <c r="BE287">
        <v>0</v>
      </c>
      <c r="BF287">
        <v>0</v>
      </c>
      <c r="BG287">
        <v>0</v>
      </c>
      <c r="BH287">
        <v>1375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"06:12:36.458"</f>
        <v>06:12:36.458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457</v>
      </c>
      <c r="CR287">
        <v>0</v>
      </c>
      <c r="CW287">
        <v>15510376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"08/29/2020 06:12:33.282"</f>
        <v>08/29/2020 06:12:33.282</v>
      </c>
      <c r="C288" t="str">
        <f t="shared" si="12"/>
        <v>FFDFD3C0</v>
      </c>
      <c r="D288" t="s">
        <v>113</v>
      </c>
      <c r="E288">
        <v>5</v>
      </c>
      <c r="H288">
        <v>163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"06:12:36.453"</f>
        <v>06:12:36.453</v>
      </c>
      <c r="U288" t="str">
        <f t="shared" si="13"/>
        <v>A7E2E0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303</v>
      </c>
      <c r="AJ288">
        <v>39.139867000000002</v>
      </c>
      <c r="AK288" t="s">
        <v>304</v>
      </c>
      <c r="AL288">
        <v>-87.453188999999995</v>
      </c>
      <c r="AM288">
        <v>100</v>
      </c>
      <c r="AN288">
        <v>1600</v>
      </c>
      <c r="AO288" t="s">
        <v>118</v>
      </c>
      <c r="AP288">
        <v>-73</v>
      </c>
      <c r="AQ288">
        <v>88</v>
      </c>
      <c r="AR288">
        <v>-448</v>
      </c>
      <c r="AZ288">
        <v>4552</v>
      </c>
      <c r="BA288">
        <v>1</v>
      </c>
      <c r="BB288" t="str">
        <f t="shared" si="14"/>
        <v xml:space="preserve">N607SR  </v>
      </c>
      <c r="BC288">
        <v>1</v>
      </c>
      <c r="BE288">
        <v>0</v>
      </c>
      <c r="BF288">
        <v>0</v>
      </c>
      <c r="BG288">
        <v>0</v>
      </c>
      <c r="BH288">
        <v>1375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"06:12:36.458"</f>
        <v>06:12:36.458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119</v>
      </c>
      <c r="CQ288">
        <v>457</v>
      </c>
      <c r="CR288">
        <v>0</v>
      </c>
      <c r="CW288">
        <v>15510376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"08/29/2020 06:12:33.768"</f>
        <v>08/29/2020 06:12:33.768</v>
      </c>
      <c r="C289" t="str">
        <f t="shared" si="12"/>
        <v>FFDFD3C0</v>
      </c>
      <c r="D289" t="s">
        <v>121</v>
      </c>
      <c r="E289">
        <v>11</v>
      </c>
      <c r="F289">
        <v>1011</v>
      </c>
      <c r="G289" t="s">
        <v>125</v>
      </c>
      <c r="J289" t="s">
        <v>123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"06:12:36.992"</f>
        <v>06:12:36.992</v>
      </c>
      <c r="T289" t="str">
        <f>"06:12:36.492"</f>
        <v>06:12:36.492</v>
      </c>
      <c r="U289" t="str">
        <f t="shared" si="13"/>
        <v>A7E2E0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305</v>
      </c>
      <c r="AJ289">
        <v>39.140146000000001</v>
      </c>
      <c r="AK289" t="s">
        <v>306</v>
      </c>
      <c r="AL289">
        <v>-87.453424999999996</v>
      </c>
      <c r="AM289">
        <v>100</v>
      </c>
      <c r="AN289">
        <v>1600</v>
      </c>
      <c r="AO289" t="s">
        <v>118</v>
      </c>
      <c r="AP289">
        <v>-73</v>
      </c>
      <c r="AQ289">
        <v>88</v>
      </c>
      <c r="AR289">
        <v>-448</v>
      </c>
      <c r="AZ289">
        <v>4552</v>
      </c>
      <c r="BA289">
        <v>1</v>
      </c>
      <c r="BB289" t="str">
        <f t="shared" si="14"/>
        <v xml:space="preserve">N607SR  </v>
      </c>
      <c r="BC289">
        <v>1</v>
      </c>
      <c r="BE289">
        <v>0</v>
      </c>
      <c r="BF289">
        <v>0</v>
      </c>
      <c r="BG289">
        <v>0</v>
      </c>
      <c r="BH289">
        <v>1375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"06:12:36.997"</f>
        <v>06:12:36.997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177</v>
      </c>
      <c r="CR289">
        <v>2</v>
      </c>
      <c r="CW289">
        <v>1608328</v>
      </c>
      <c r="CY289">
        <v>1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"08/29/2020 06:12:33.768"</f>
        <v>08/29/2020 06:12:33.768</v>
      </c>
      <c r="C290" t="str">
        <f t="shared" si="12"/>
        <v>FFDFD3C0</v>
      </c>
      <c r="D290" t="s">
        <v>121</v>
      </c>
      <c r="E290">
        <v>13</v>
      </c>
      <c r="F290">
        <v>1013</v>
      </c>
      <c r="G290" t="s">
        <v>122</v>
      </c>
      <c r="J290" t="s">
        <v>123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"06:12:36.992"</f>
        <v>06:12:36.992</v>
      </c>
      <c r="U290" t="str">
        <f t="shared" si="13"/>
        <v>A7E2E0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305</v>
      </c>
      <c r="AJ290">
        <v>39.140146000000001</v>
      </c>
      <c r="AK290" t="s">
        <v>306</v>
      </c>
      <c r="AL290">
        <v>-87.453424999999996</v>
      </c>
      <c r="AM290">
        <v>100</v>
      </c>
      <c r="AN290">
        <v>1600</v>
      </c>
      <c r="AO290" t="s">
        <v>118</v>
      </c>
      <c r="AP290">
        <v>-75</v>
      </c>
      <c r="AQ290">
        <v>88</v>
      </c>
      <c r="AR290">
        <v>-384</v>
      </c>
      <c r="AZ290">
        <v>4552</v>
      </c>
      <c r="BA290">
        <v>1</v>
      </c>
      <c r="BB290" t="str">
        <f t="shared" si="14"/>
        <v xml:space="preserve">N607SR  </v>
      </c>
      <c r="BC290">
        <v>1</v>
      </c>
      <c r="BE290">
        <v>0</v>
      </c>
      <c r="BF290">
        <v>0</v>
      </c>
      <c r="BG290">
        <v>0</v>
      </c>
      <c r="BH290">
        <v>1375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"06:12:36.997"</f>
        <v>06:12:36.997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4</v>
      </c>
      <c r="CP290" t="s">
        <v>119</v>
      </c>
      <c r="CQ290">
        <v>517</v>
      </c>
      <c r="CR290">
        <v>1</v>
      </c>
      <c r="CW290">
        <v>2475167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"08/29/2020 06:12:33.768"</f>
        <v>08/29/2020 06:12:33.768</v>
      </c>
      <c r="C291" t="str">
        <f t="shared" si="12"/>
        <v>FFDFD3C0</v>
      </c>
      <c r="D291" t="s">
        <v>121</v>
      </c>
      <c r="E291">
        <v>10</v>
      </c>
      <c r="F291">
        <v>1010</v>
      </c>
      <c r="G291" t="s">
        <v>114</v>
      </c>
      <c r="J291" t="s">
        <v>123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"06:12:36.992"</f>
        <v>06:12:36.992</v>
      </c>
      <c r="U291" t="str">
        <f t="shared" si="13"/>
        <v>A7E2E0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305</v>
      </c>
      <c r="AJ291">
        <v>39.140146000000001</v>
      </c>
      <c r="AK291" t="s">
        <v>306</v>
      </c>
      <c r="AL291">
        <v>-87.453424999999996</v>
      </c>
      <c r="AM291">
        <v>100</v>
      </c>
      <c r="AN291">
        <v>1600</v>
      </c>
      <c r="AO291" t="s">
        <v>118</v>
      </c>
      <c r="AP291">
        <v>-75</v>
      </c>
      <c r="AQ291">
        <v>88</v>
      </c>
      <c r="AR291">
        <v>-384</v>
      </c>
      <c r="AZ291">
        <v>4552</v>
      </c>
      <c r="BA291">
        <v>1</v>
      </c>
      <c r="BB291" t="str">
        <f t="shared" si="14"/>
        <v xml:space="preserve">N607SR  </v>
      </c>
      <c r="BC291">
        <v>1</v>
      </c>
      <c r="BE291">
        <v>0</v>
      </c>
      <c r="BF291">
        <v>0</v>
      </c>
      <c r="BG291">
        <v>0</v>
      </c>
      <c r="BH291">
        <v>1375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"06:12:36.997"</f>
        <v>06:12:36.997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4</v>
      </c>
      <c r="CP291" t="s">
        <v>119</v>
      </c>
      <c r="CQ291">
        <v>517</v>
      </c>
      <c r="CR291">
        <v>1</v>
      </c>
      <c r="CW291">
        <v>2475167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"08/29/2020 06:12:34.395"</f>
        <v>08/29/2020 06:12:34.395</v>
      </c>
      <c r="C292" t="str">
        <f t="shared" si="12"/>
        <v>FFDFD3C0</v>
      </c>
      <c r="D292" t="s">
        <v>128</v>
      </c>
      <c r="E292">
        <v>5</v>
      </c>
      <c r="H292">
        <v>241</v>
      </c>
      <c r="I292" t="s">
        <v>129</v>
      </c>
      <c r="J292" t="s">
        <v>130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"06:12:37.570"</f>
        <v>06:12:37.570</v>
      </c>
      <c r="T292" t="str">
        <f>"06:12:37.070"</f>
        <v>06:12:37.070</v>
      </c>
      <c r="U292" t="str">
        <f t="shared" si="13"/>
        <v>A7E2E0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307</v>
      </c>
      <c r="AJ292">
        <v>39.140360000000001</v>
      </c>
      <c r="AK292" t="s">
        <v>308</v>
      </c>
      <c r="AL292">
        <v>-87.453682000000001</v>
      </c>
      <c r="AM292">
        <v>100</v>
      </c>
      <c r="AN292">
        <v>1600</v>
      </c>
      <c r="AO292" t="s">
        <v>118</v>
      </c>
      <c r="AP292">
        <v>-75</v>
      </c>
      <c r="AQ292">
        <v>88</v>
      </c>
      <c r="AR292">
        <v>-384</v>
      </c>
      <c r="AZ292">
        <v>4552</v>
      </c>
      <c r="BA292">
        <v>1</v>
      </c>
      <c r="BB292" t="str">
        <f t="shared" si="14"/>
        <v xml:space="preserve">N607SR  </v>
      </c>
      <c r="BC292">
        <v>1</v>
      </c>
      <c r="BE292">
        <v>0</v>
      </c>
      <c r="BF292">
        <v>0</v>
      </c>
      <c r="BG292">
        <v>0</v>
      </c>
      <c r="BH292">
        <v>1375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"06:12:37.575"</f>
        <v>06:12:37.575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457</v>
      </c>
      <c r="CR292">
        <v>0</v>
      </c>
      <c r="CW292">
        <v>15510413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"08/29/2020 06:12:34.395"</f>
        <v>08/29/2020 06:12:34.395</v>
      </c>
      <c r="C293" t="str">
        <f t="shared" si="12"/>
        <v>FFDFD3C0</v>
      </c>
      <c r="D293" t="s">
        <v>113</v>
      </c>
      <c r="E293">
        <v>5</v>
      </c>
      <c r="H293">
        <v>163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"06:12:37.570"</f>
        <v>06:12:37.570</v>
      </c>
      <c r="T293" t="str">
        <f>"06:12:37.070"</f>
        <v>06:12:37.070</v>
      </c>
      <c r="U293" t="str">
        <f t="shared" si="13"/>
        <v>A7E2E0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307</v>
      </c>
      <c r="AJ293">
        <v>39.140360000000001</v>
      </c>
      <c r="AK293" t="s">
        <v>308</v>
      </c>
      <c r="AL293">
        <v>-87.453682000000001</v>
      </c>
      <c r="AM293">
        <v>100</v>
      </c>
      <c r="AN293">
        <v>1600</v>
      </c>
      <c r="AO293" t="s">
        <v>118</v>
      </c>
      <c r="AP293">
        <v>-75</v>
      </c>
      <c r="AQ293">
        <v>88</v>
      </c>
      <c r="AR293">
        <v>-384</v>
      </c>
      <c r="AZ293">
        <v>4552</v>
      </c>
      <c r="BA293">
        <v>1</v>
      </c>
      <c r="BB293" t="str">
        <f t="shared" si="14"/>
        <v xml:space="preserve">N607SR  </v>
      </c>
      <c r="BC293">
        <v>1</v>
      </c>
      <c r="BE293">
        <v>0</v>
      </c>
      <c r="BF293">
        <v>0</v>
      </c>
      <c r="BG293">
        <v>0</v>
      </c>
      <c r="BH293">
        <v>1375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"06:12:37.575"</f>
        <v>06:12:37.575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457</v>
      </c>
      <c r="CR293">
        <v>0</v>
      </c>
      <c r="CW293">
        <v>15510413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"08/29/2020 06:12:34.935"</f>
        <v>08/29/2020 06:12:34.935</v>
      </c>
      <c r="C294" t="str">
        <f t="shared" si="12"/>
        <v>FFDFD3C0</v>
      </c>
      <c r="D294" t="s">
        <v>121</v>
      </c>
      <c r="E294">
        <v>11</v>
      </c>
      <c r="F294">
        <v>1011</v>
      </c>
      <c r="G294" t="s">
        <v>125</v>
      </c>
      <c r="J294" t="s">
        <v>123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"06:12:38.141"</f>
        <v>06:12:38.141</v>
      </c>
      <c r="T294" t="str">
        <f>"06:12:37.641"</f>
        <v>06:12:37.641</v>
      </c>
      <c r="U294" t="str">
        <f t="shared" si="13"/>
        <v>A7E2E0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309</v>
      </c>
      <c r="AJ294">
        <v>39.140574999999998</v>
      </c>
      <c r="AK294" t="s">
        <v>310</v>
      </c>
      <c r="AL294">
        <v>-87.453918000000002</v>
      </c>
      <c r="AM294">
        <v>100</v>
      </c>
      <c r="AN294">
        <v>1600</v>
      </c>
      <c r="AO294" t="s">
        <v>118</v>
      </c>
      <c r="AP294">
        <v>-77</v>
      </c>
      <c r="AQ294">
        <v>87</v>
      </c>
      <c r="AR294">
        <v>-320</v>
      </c>
      <c r="AZ294">
        <v>4552</v>
      </c>
      <c r="BA294">
        <v>1</v>
      </c>
      <c r="BB294" t="str">
        <f t="shared" si="14"/>
        <v xml:space="preserve">N607SR  </v>
      </c>
      <c r="BC294">
        <v>1</v>
      </c>
      <c r="BE294">
        <v>0</v>
      </c>
      <c r="BF294">
        <v>0</v>
      </c>
      <c r="BG294">
        <v>0</v>
      </c>
      <c r="BH294">
        <v>1375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"06:12:38.147"</f>
        <v>06:12:38.147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457</v>
      </c>
      <c r="CR294">
        <v>0</v>
      </c>
      <c r="CW294">
        <v>15510431</v>
      </c>
      <c r="CY294">
        <v>1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"08/29/2020 06:12:34.935"</f>
        <v>08/29/2020 06:12:34.935</v>
      </c>
      <c r="C295" t="str">
        <f t="shared" si="12"/>
        <v>FFDFD3C0</v>
      </c>
      <c r="D295" t="s">
        <v>121</v>
      </c>
      <c r="E295">
        <v>10</v>
      </c>
      <c r="F295">
        <v>1010</v>
      </c>
      <c r="G295" t="s">
        <v>114</v>
      </c>
      <c r="J295" t="s">
        <v>123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"06:12:38.141"</f>
        <v>06:12:38.141</v>
      </c>
      <c r="U295" t="str">
        <f t="shared" si="13"/>
        <v>A7E2E0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309</v>
      </c>
      <c r="AJ295">
        <v>39.140574999999998</v>
      </c>
      <c r="AK295" t="s">
        <v>310</v>
      </c>
      <c r="AL295">
        <v>-87.453918000000002</v>
      </c>
      <c r="AM295">
        <v>100</v>
      </c>
      <c r="AN295">
        <v>1600</v>
      </c>
      <c r="AO295" t="s">
        <v>118</v>
      </c>
      <c r="AP295">
        <v>-79</v>
      </c>
      <c r="AQ295">
        <v>87</v>
      </c>
      <c r="AR295">
        <v>-256</v>
      </c>
      <c r="AZ295">
        <v>4552</v>
      </c>
      <c r="BA295">
        <v>1</v>
      </c>
      <c r="BB295" t="str">
        <f t="shared" si="14"/>
        <v xml:space="preserve">N607SR  </v>
      </c>
      <c r="BC295">
        <v>1</v>
      </c>
      <c r="BE295">
        <v>0</v>
      </c>
      <c r="BF295">
        <v>0</v>
      </c>
      <c r="BG295">
        <v>0</v>
      </c>
      <c r="BH295">
        <v>1375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"06:12:38.147"</f>
        <v>06:12:38.147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5</v>
      </c>
      <c r="CP295" t="s">
        <v>119</v>
      </c>
      <c r="CQ295">
        <v>517</v>
      </c>
      <c r="CR295">
        <v>1</v>
      </c>
      <c r="CW295">
        <v>2475199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"08/29/2020 06:12:34.935"</f>
        <v>08/29/2020 06:12:34.935</v>
      </c>
      <c r="C296" t="str">
        <f t="shared" si="12"/>
        <v>FFDFD3C0</v>
      </c>
      <c r="D296" t="s">
        <v>121</v>
      </c>
      <c r="E296">
        <v>13</v>
      </c>
      <c r="F296">
        <v>1013</v>
      </c>
      <c r="G296" t="s">
        <v>122</v>
      </c>
      <c r="J296" t="s">
        <v>123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"06:12:38.141"</f>
        <v>06:12:38.141</v>
      </c>
      <c r="U296" t="str">
        <f t="shared" si="13"/>
        <v>A7E2E0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309</v>
      </c>
      <c r="AJ296">
        <v>39.140574999999998</v>
      </c>
      <c r="AK296" t="s">
        <v>310</v>
      </c>
      <c r="AL296">
        <v>-87.453918000000002</v>
      </c>
      <c r="AM296">
        <v>100</v>
      </c>
      <c r="AN296">
        <v>1600</v>
      </c>
      <c r="AO296" t="s">
        <v>118</v>
      </c>
      <c r="AP296">
        <v>-79</v>
      </c>
      <c r="AQ296">
        <v>87</v>
      </c>
      <c r="AR296">
        <v>-256</v>
      </c>
      <c r="AZ296">
        <v>4552</v>
      </c>
      <c r="BA296">
        <v>1</v>
      </c>
      <c r="BB296" t="str">
        <f t="shared" si="14"/>
        <v xml:space="preserve">N607SR  </v>
      </c>
      <c r="BC296">
        <v>1</v>
      </c>
      <c r="BE296">
        <v>0</v>
      </c>
      <c r="BF296">
        <v>0</v>
      </c>
      <c r="BG296">
        <v>0</v>
      </c>
      <c r="BH296">
        <v>1375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"06:12:38.147"</f>
        <v>06:12:38.147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5</v>
      </c>
      <c r="CP296" t="s">
        <v>119</v>
      </c>
      <c r="CQ296">
        <v>517</v>
      </c>
      <c r="CR296">
        <v>1</v>
      </c>
      <c r="CW296">
        <v>2475199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"08/29/2020 06:12:35.515"</f>
        <v>08/29/2020 06:12:35.515</v>
      </c>
      <c r="C297" t="str">
        <f t="shared" si="12"/>
        <v>FFDFD3C0</v>
      </c>
      <c r="D297" t="s">
        <v>113</v>
      </c>
      <c r="E297">
        <v>5</v>
      </c>
      <c r="H297">
        <v>163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"06:12:38.734"</f>
        <v>06:12:38.734</v>
      </c>
      <c r="U297" t="str">
        <f t="shared" si="13"/>
        <v>A7E2E0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311</v>
      </c>
      <c r="AJ297">
        <v>39.140810999999999</v>
      </c>
      <c r="AK297" t="s">
        <v>312</v>
      </c>
      <c r="AL297">
        <v>-87.454218999999995</v>
      </c>
      <c r="AM297">
        <v>100</v>
      </c>
      <c r="AN297">
        <v>1600</v>
      </c>
      <c r="AO297" t="s">
        <v>118</v>
      </c>
      <c r="AP297">
        <v>-81</v>
      </c>
      <c r="AQ297">
        <v>86</v>
      </c>
      <c r="AR297">
        <v>-192</v>
      </c>
      <c r="AZ297">
        <v>4552</v>
      </c>
      <c r="BA297">
        <v>1</v>
      </c>
      <c r="BB297" t="str">
        <f t="shared" si="14"/>
        <v xml:space="preserve">N607SR  </v>
      </c>
      <c r="BC297">
        <v>1</v>
      </c>
      <c r="BE297">
        <v>0</v>
      </c>
      <c r="BF297">
        <v>0</v>
      </c>
      <c r="BG297">
        <v>0</v>
      </c>
      <c r="BH297">
        <v>1375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"06:12:38.740"</f>
        <v>06:12:38.740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457</v>
      </c>
      <c r="CR297">
        <v>0</v>
      </c>
      <c r="CW297">
        <v>15510449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"08/29/2020 06:12:35.515"</f>
        <v>08/29/2020 06:12:35.515</v>
      </c>
      <c r="C298" t="str">
        <f t="shared" si="12"/>
        <v>FFDFD3C0</v>
      </c>
      <c r="D298" t="s">
        <v>128</v>
      </c>
      <c r="E298">
        <v>5</v>
      </c>
      <c r="H298">
        <v>241</v>
      </c>
      <c r="I298" t="s">
        <v>129</v>
      </c>
      <c r="J298" t="s">
        <v>130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"06:12:38.734"</f>
        <v>06:12:38.734</v>
      </c>
      <c r="U298" t="str">
        <f t="shared" si="13"/>
        <v>A7E2E0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311</v>
      </c>
      <c r="AJ298">
        <v>39.140810999999999</v>
      </c>
      <c r="AK298" t="s">
        <v>312</v>
      </c>
      <c r="AL298">
        <v>-87.454218999999995</v>
      </c>
      <c r="AM298">
        <v>100</v>
      </c>
      <c r="AN298">
        <v>1600</v>
      </c>
      <c r="AO298" t="s">
        <v>118</v>
      </c>
      <c r="AP298">
        <v>-81</v>
      </c>
      <c r="AQ298">
        <v>86</v>
      </c>
      <c r="AR298">
        <v>-192</v>
      </c>
      <c r="AZ298">
        <v>4552</v>
      </c>
      <c r="BA298">
        <v>1</v>
      </c>
      <c r="BB298" t="str">
        <f t="shared" si="14"/>
        <v xml:space="preserve">N607SR  </v>
      </c>
      <c r="BC298">
        <v>1</v>
      </c>
      <c r="BE298">
        <v>0</v>
      </c>
      <c r="BF298">
        <v>0</v>
      </c>
      <c r="BG298">
        <v>0</v>
      </c>
      <c r="BH298">
        <v>1375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"06:12:38.740"</f>
        <v>06:12:38.740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457</v>
      </c>
      <c r="CR298">
        <v>0</v>
      </c>
      <c r="CW298">
        <v>15510449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"08/29/2020 06:12:35.941"</f>
        <v>08/29/2020 06:12:35.941</v>
      </c>
      <c r="C299" t="str">
        <f t="shared" si="12"/>
        <v>FFDFD3C0</v>
      </c>
      <c r="D299" t="s">
        <v>121</v>
      </c>
      <c r="E299">
        <v>13</v>
      </c>
      <c r="F299">
        <v>1013</v>
      </c>
      <c r="G299" t="s">
        <v>122</v>
      </c>
      <c r="J299" t="s">
        <v>123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"06:12:39.156"</f>
        <v>06:12:39.156</v>
      </c>
      <c r="T299" t="str">
        <f>"06:12:38.756"</f>
        <v>06:12:38.756</v>
      </c>
      <c r="U299" t="str">
        <f t="shared" si="13"/>
        <v>A7E2E0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313</v>
      </c>
      <c r="AJ299">
        <v>39.140982999999999</v>
      </c>
      <c r="AK299" t="s">
        <v>314</v>
      </c>
      <c r="AL299">
        <v>-87.454454999999996</v>
      </c>
      <c r="AM299">
        <v>100</v>
      </c>
      <c r="AN299">
        <v>1600</v>
      </c>
      <c r="AO299" t="s">
        <v>118</v>
      </c>
      <c r="AP299">
        <v>-81</v>
      </c>
      <c r="AQ299">
        <v>86</v>
      </c>
      <c r="AR299">
        <v>-192</v>
      </c>
      <c r="AZ299">
        <v>4552</v>
      </c>
      <c r="BA299">
        <v>1</v>
      </c>
      <c r="BB299" t="str">
        <f t="shared" si="14"/>
        <v xml:space="preserve">N607SR  </v>
      </c>
      <c r="BC299">
        <v>1</v>
      </c>
      <c r="BE299">
        <v>0</v>
      </c>
      <c r="BF299">
        <v>0</v>
      </c>
      <c r="BG299">
        <v>0</v>
      </c>
      <c r="BH299">
        <v>1375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"06:12:39.163"</f>
        <v>06:12:39.163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177</v>
      </c>
      <c r="CR299">
        <v>2</v>
      </c>
      <c r="CW299">
        <v>1608701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"08/29/2020 06:12:35.941"</f>
        <v>08/29/2020 06:12:35.941</v>
      </c>
      <c r="C300" t="str">
        <f t="shared" si="12"/>
        <v>FFDFD3C0</v>
      </c>
      <c r="D300" t="s">
        <v>121</v>
      </c>
      <c r="E300">
        <v>11</v>
      </c>
      <c r="F300">
        <v>1011</v>
      </c>
      <c r="G300" t="s">
        <v>125</v>
      </c>
      <c r="J300" t="s">
        <v>123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"06:12:39.156"</f>
        <v>06:12:39.156</v>
      </c>
      <c r="T300" t="str">
        <f>"06:12:38.756"</f>
        <v>06:12:38.756</v>
      </c>
      <c r="U300" t="str">
        <f t="shared" si="13"/>
        <v>A7E2E0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313</v>
      </c>
      <c r="AJ300">
        <v>39.140982999999999</v>
      </c>
      <c r="AK300" t="s">
        <v>314</v>
      </c>
      <c r="AL300">
        <v>-87.454454999999996</v>
      </c>
      <c r="AM300">
        <v>100</v>
      </c>
      <c r="AN300">
        <v>1600</v>
      </c>
      <c r="AO300" t="s">
        <v>118</v>
      </c>
      <c r="AP300">
        <v>-81</v>
      </c>
      <c r="AQ300">
        <v>86</v>
      </c>
      <c r="AR300">
        <v>-192</v>
      </c>
      <c r="AZ300">
        <v>4552</v>
      </c>
      <c r="BA300">
        <v>1</v>
      </c>
      <c r="BB300" t="str">
        <f t="shared" si="14"/>
        <v xml:space="preserve">N607SR  </v>
      </c>
      <c r="BC300">
        <v>1</v>
      </c>
      <c r="BE300">
        <v>0</v>
      </c>
      <c r="BF300">
        <v>0</v>
      </c>
      <c r="BG300">
        <v>0</v>
      </c>
      <c r="BH300">
        <v>1375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"06:12:39.163"</f>
        <v>06:12:39.163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177</v>
      </c>
      <c r="CR300">
        <v>2</v>
      </c>
      <c r="CW300">
        <v>1608701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"08/29/2020 06:12:35.941"</f>
        <v>08/29/2020 06:12:35.941</v>
      </c>
      <c r="C301" t="str">
        <f t="shared" si="12"/>
        <v>FFDFD3C0</v>
      </c>
      <c r="D301" t="s">
        <v>121</v>
      </c>
      <c r="E301">
        <v>10</v>
      </c>
      <c r="F301">
        <v>1010</v>
      </c>
      <c r="G301" t="s">
        <v>114</v>
      </c>
      <c r="J301" t="s">
        <v>123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"06:12:39.156"</f>
        <v>06:12:39.156</v>
      </c>
      <c r="T301" t="str">
        <f>"06:12:38.756"</f>
        <v>06:12:38.756</v>
      </c>
      <c r="U301" t="str">
        <f t="shared" si="13"/>
        <v>A7E2E0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313</v>
      </c>
      <c r="AJ301">
        <v>39.140982999999999</v>
      </c>
      <c r="AK301" t="s">
        <v>314</v>
      </c>
      <c r="AL301">
        <v>-87.454454999999996</v>
      </c>
      <c r="AM301">
        <v>100</v>
      </c>
      <c r="AN301">
        <v>1600</v>
      </c>
      <c r="AO301" t="s">
        <v>118</v>
      </c>
      <c r="AP301">
        <v>-81</v>
      </c>
      <c r="AQ301">
        <v>86</v>
      </c>
      <c r="AR301">
        <v>-192</v>
      </c>
      <c r="AZ301">
        <v>4552</v>
      </c>
      <c r="BA301">
        <v>1</v>
      </c>
      <c r="BB301" t="str">
        <f t="shared" si="14"/>
        <v xml:space="preserve">N607SR  </v>
      </c>
      <c r="BC301">
        <v>1</v>
      </c>
      <c r="BE301">
        <v>0</v>
      </c>
      <c r="BF301">
        <v>0</v>
      </c>
      <c r="BG301">
        <v>0</v>
      </c>
      <c r="BH301">
        <v>1375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"06:12:39.163"</f>
        <v>06:12:39.163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177</v>
      </c>
      <c r="CR301">
        <v>2</v>
      </c>
      <c r="CW301">
        <v>1608701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"08/29/2020 06:12:36.479"</f>
        <v>08/29/2020 06:12:36.479</v>
      </c>
      <c r="C302" t="str">
        <f t="shared" si="12"/>
        <v>FFDFD3C0</v>
      </c>
      <c r="D302" t="s">
        <v>113</v>
      </c>
      <c r="E302">
        <v>5</v>
      </c>
      <c r="H302">
        <v>163</v>
      </c>
      <c r="I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"06:12:39.680"</f>
        <v>06:12:39.680</v>
      </c>
      <c r="T302" t="str">
        <f>"06:12:39.180"</f>
        <v>06:12:39.180</v>
      </c>
      <c r="U302" t="str">
        <f t="shared" si="13"/>
        <v>A7E2E0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315</v>
      </c>
      <c r="AJ302">
        <v>39.141176000000002</v>
      </c>
      <c r="AK302" t="s">
        <v>316</v>
      </c>
      <c r="AL302">
        <v>-87.454648000000006</v>
      </c>
      <c r="AM302">
        <v>100</v>
      </c>
      <c r="AN302">
        <v>1600</v>
      </c>
      <c r="AO302" t="s">
        <v>118</v>
      </c>
      <c r="AP302">
        <v>-82</v>
      </c>
      <c r="AQ302">
        <v>86</v>
      </c>
      <c r="AR302">
        <v>-128</v>
      </c>
      <c r="AZ302">
        <v>4552</v>
      </c>
      <c r="BA302">
        <v>1</v>
      </c>
      <c r="BB302" t="str">
        <f t="shared" si="14"/>
        <v xml:space="preserve">N607SR  </v>
      </c>
      <c r="BC302">
        <v>1</v>
      </c>
      <c r="BE302">
        <v>0</v>
      </c>
      <c r="BF302">
        <v>0</v>
      </c>
      <c r="BG302">
        <v>0</v>
      </c>
      <c r="BH302">
        <v>1375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"06:12:39.683"</f>
        <v>06:12:39.683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177</v>
      </c>
      <c r="CR302">
        <v>2</v>
      </c>
      <c r="CW302">
        <v>1608782</v>
      </c>
      <c r="CY302">
        <v>1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"08/29/2020 06:12:36.479"</f>
        <v>08/29/2020 06:12:36.479</v>
      </c>
      <c r="C303" t="str">
        <f t="shared" si="12"/>
        <v>FFDFD3C0</v>
      </c>
      <c r="D303" t="s">
        <v>128</v>
      </c>
      <c r="E303">
        <v>5</v>
      </c>
      <c r="H303">
        <v>241</v>
      </c>
      <c r="I303" t="s">
        <v>129</v>
      </c>
      <c r="J303" t="s">
        <v>130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"06:12:39.680"</f>
        <v>06:12:39.680</v>
      </c>
      <c r="T303" t="str">
        <f>"06:12:39.180"</f>
        <v>06:12:39.180</v>
      </c>
      <c r="U303" t="str">
        <f t="shared" si="13"/>
        <v>A7E2E0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315</v>
      </c>
      <c r="AJ303">
        <v>39.141176000000002</v>
      </c>
      <c r="AK303" t="s">
        <v>316</v>
      </c>
      <c r="AL303">
        <v>-87.454648000000006</v>
      </c>
      <c r="AM303">
        <v>100</v>
      </c>
      <c r="AN303">
        <v>1600</v>
      </c>
      <c r="AO303" t="s">
        <v>118</v>
      </c>
      <c r="AP303">
        <v>-82</v>
      </c>
      <c r="AQ303">
        <v>86</v>
      </c>
      <c r="AR303">
        <v>-128</v>
      </c>
      <c r="AZ303">
        <v>4552</v>
      </c>
      <c r="BA303">
        <v>1</v>
      </c>
      <c r="BB303" t="str">
        <f t="shared" si="14"/>
        <v xml:space="preserve">N607SR  </v>
      </c>
      <c r="BC303">
        <v>1</v>
      </c>
      <c r="BE303">
        <v>0</v>
      </c>
      <c r="BF303">
        <v>0</v>
      </c>
      <c r="BG303">
        <v>0</v>
      </c>
      <c r="BH303">
        <v>1375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"06:12:39.683"</f>
        <v>06:12:39.683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177</v>
      </c>
      <c r="CR303">
        <v>2</v>
      </c>
      <c r="CW303">
        <v>1608782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"08/29/2020 06:12:37.041"</f>
        <v>08/29/2020 06:12:37.041</v>
      </c>
      <c r="C304" t="str">
        <f t="shared" si="12"/>
        <v>FFDFD3C0</v>
      </c>
      <c r="D304" t="s">
        <v>121</v>
      </c>
      <c r="E304">
        <v>10</v>
      </c>
      <c r="F304">
        <v>1010</v>
      </c>
      <c r="G304" t="s">
        <v>114</v>
      </c>
      <c r="J304" t="s">
        <v>123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"06:12:40.227"</f>
        <v>06:12:40.227</v>
      </c>
      <c r="T304" t="str">
        <f>"06:12:39.727"</f>
        <v>06:12:39.727</v>
      </c>
      <c r="U304" t="str">
        <f t="shared" si="13"/>
        <v>A7E2E0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317</v>
      </c>
      <c r="AJ304">
        <v>39.141390000000001</v>
      </c>
      <c r="AK304" t="s">
        <v>318</v>
      </c>
      <c r="AL304">
        <v>-87.454948000000002</v>
      </c>
      <c r="AM304">
        <v>100</v>
      </c>
      <c r="AN304">
        <v>1600</v>
      </c>
      <c r="AO304" t="s">
        <v>118</v>
      </c>
      <c r="AP304">
        <v>-84</v>
      </c>
      <c r="AQ304">
        <v>85</v>
      </c>
      <c r="AR304">
        <v>-64</v>
      </c>
      <c r="AZ304">
        <v>4552</v>
      </c>
      <c r="BA304">
        <v>1</v>
      </c>
      <c r="BB304" t="str">
        <f t="shared" si="14"/>
        <v xml:space="preserve">N607SR  </v>
      </c>
      <c r="BC304">
        <v>1</v>
      </c>
      <c r="BE304">
        <v>0</v>
      </c>
      <c r="BF304">
        <v>0</v>
      </c>
      <c r="BG304">
        <v>0</v>
      </c>
      <c r="BH304">
        <v>1375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"06:12:40.233"</f>
        <v>06:12:40.233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177</v>
      </c>
      <c r="CR304">
        <v>2</v>
      </c>
      <c r="CW304">
        <v>1608874</v>
      </c>
      <c r="CY304">
        <v>1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"08/29/2020 06:12:37.041"</f>
        <v>08/29/2020 06:12:37.041</v>
      </c>
      <c r="C305" t="str">
        <f t="shared" si="12"/>
        <v>FFDFD3C0</v>
      </c>
      <c r="D305" t="s">
        <v>121</v>
      </c>
      <c r="E305">
        <v>13</v>
      </c>
      <c r="F305">
        <v>1013</v>
      </c>
      <c r="G305" t="s">
        <v>122</v>
      </c>
      <c r="J305" t="s">
        <v>123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"06:12:40.227"</f>
        <v>06:12:40.227</v>
      </c>
      <c r="T305" t="str">
        <f>"06:12:39.727"</f>
        <v>06:12:39.727</v>
      </c>
      <c r="U305" t="str">
        <f t="shared" si="13"/>
        <v>A7E2E0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317</v>
      </c>
      <c r="AJ305">
        <v>39.141390000000001</v>
      </c>
      <c r="AK305" t="s">
        <v>318</v>
      </c>
      <c r="AL305">
        <v>-87.454948000000002</v>
      </c>
      <c r="AM305">
        <v>100</v>
      </c>
      <c r="AN305">
        <v>1600</v>
      </c>
      <c r="AO305" t="s">
        <v>118</v>
      </c>
      <c r="AP305">
        <v>-84</v>
      </c>
      <c r="AQ305">
        <v>85</v>
      </c>
      <c r="AR305">
        <v>-64</v>
      </c>
      <c r="AZ305">
        <v>4552</v>
      </c>
      <c r="BA305">
        <v>1</v>
      </c>
      <c r="BB305" t="str">
        <f t="shared" si="14"/>
        <v xml:space="preserve">N607SR  </v>
      </c>
      <c r="BC305">
        <v>1</v>
      </c>
      <c r="BE305">
        <v>0</v>
      </c>
      <c r="BF305">
        <v>0</v>
      </c>
      <c r="BG305">
        <v>0</v>
      </c>
      <c r="BH305">
        <v>1375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"06:12:40.233"</f>
        <v>06:12:40.233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177</v>
      </c>
      <c r="CR305">
        <v>2</v>
      </c>
      <c r="CW305">
        <v>1608874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"08/29/2020 06:12:37.041"</f>
        <v>08/29/2020 06:12:37.041</v>
      </c>
      <c r="C306" t="str">
        <f t="shared" si="12"/>
        <v>FFDFD3C0</v>
      </c>
      <c r="D306" t="s">
        <v>121</v>
      </c>
      <c r="E306">
        <v>11</v>
      </c>
      <c r="F306">
        <v>1011</v>
      </c>
      <c r="G306" t="s">
        <v>125</v>
      </c>
      <c r="J306" t="s">
        <v>123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"06:12:40.227"</f>
        <v>06:12:40.227</v>
      </c>
      <c r="T306" t="str">
        <f>"06:12:39.727"</f>
        <v>06:12:39.727</v>
      </c>
      <c r="U306" t="str">
        <f t="shared" si="13"/>
        <v>A7E2E0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317</v>
      </c>
      <c r="AJ306">
        <v>39.141390000000001</v>
      </c>
      <c r="AK306" t="s">
        <v>318</v>
      </c>
      <c r="AL306">
        <v>-87.454948000000002</v>
      </c>
      <c r="AM306">
        <v>100</v>
      </c>
      <c r="AN306">
        <v>1600</v>
      </c>
      <c r="AO306" t="s">
        <v>118</v>
      </c>
      <c r="AP306">
        <v>-84</v>
      </c>
      <c r="AQ306">
        <v>85</v>
      </c>
      <c r="AR306">
        <v>-64</v>
      </c>
      <c r="AZ306">
        <v>4552</v>
      </c>
      <c r="BA306">
        <v>1</v>
      </c>
      <c r="BB306" t="str">
        <f t="shared" si="14"/>
        <v xml:space="preserve">N607SR  </v>
      </c>
      <c r="BC306">
        <v>1</v>
      </c>
      <c r="BE306">
        <v>0</v>
      </c>
      <c r="BF306">
        <v>0</v>
      </c>
      <c r="BG306">
        <v>0</v>
      </c>
      <c r="BH306">
        <v>1375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"06:12:40.233"</f>
        <v>06:12:40.233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177</v>
      </c>
      <c r="CR306">
        <v>2</v>
      </c>
      <c r="CW306">
        <v>1608874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"08/29/2020 06:12:37.543"</f>
        <v>08/29/2020 06:12:37.543</v>
      </c>
      <c r="C307" t="str">
        <f t="shared" si="12"/>
        <v>FFDFD3C0</v>
      </c>
      <c r="D307" t="s">
        <v>113</v>
      </c>
      <c r="E307">
        <v>5</v>
      </c>
      <c r="H307">
        <v>163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"06:12:40.758"</f>
        <v>06:12:40.758</v>
      </c>
      <c r="U307" t="str">
        <f t="shared" si="13"/>
        <v>A7E2E0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319</v>
      </c>
      <c r="AJ307">
        <v>39.141582999999997</v>
      </c>
      <c r="AK307" t="s">
        <v>320</v>
      </c>
      <c r="AL307">
        <v>-87.455226999999994</v>
      </c>
      <c r="AM307">
        <v>100</v>
      </c>
      <c r="AN307">
        <v>1600</v>
      </c>
      <c r="AO307" t="s">
        <v>118</v>
      </c>
      <c r="AP307">
        <v>-88</v>
      </c>
      <c r="AQ307">
        <v>84</v>
      </c>
      <c r="AR307">
        <v>64</v>
      </c>
      <c r="AZ307">
        <v>4552</v>
      </c>
      <c r="BA307">
        <v>1</v>
      </c>
      <c r="BB307" t="str">
        <f t="shared" si="14"/>
        <v xml:space="preserve">N607SR  </v>
      </c>
      <c r="BC307">
        <v>1</v>
      </c>
      <c r="BE307">
        <v>0</v>
      </c>
      <c r="BF307">
        <v>0</v>
      </c>
      <c r="BG307">
        <v>0</v>
      </c>
      <c r="BH307">
        <v>1375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"06:12:40.765"</f>
        <v>06:12:40.765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457</v>
      </c>
      <c r="CR307">
        <v>0</v>
      </c>
      <c r="CW307">
        <v>15510524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"08/29/2020 06:12:37.543"</f>
        <v>08/29/2020 06:12:37.543</v>
      </c>
      <c r="C308" t="str">
        <f t="shared" si="12"/>
        <v>FFDFD3C0</v>
      </c>
      <c r="D308" t="s">
        <v>128</v>
      </c>
      <c r="E308">
        <v>5</v>
      </c>
      <c r="H308">
        <v>241</v>
      </c>
      <c r="I308" t="s">
        <v>129</v>
      </c>
      <c r="J308" t="s">
        <v>130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"06:12:40.758"</f>
        <v>06:12:40.758</v>
      </c>
      <c r="U308" t="str">
        <f t="shared" si="13"/>
        <v>A7E2E0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319</v>
      </c>
      <c r="AJ308">
        <v>39.141582999999997</v>
      </c>
      <c r="AK308" t="s">
        <v>320</v>
      </c>
      <c r="AL308">
        <v>-87.455226999999994</v>
      </c>
      <c r="AM308">
        <v>100</v>
      </c>
      <c r="AN308">
        <v>1600</v>
      </c>
      <c r="AO308" t="s">
        <v>118</v>
      </c>
      <c r="AP308">
        <v>-88</v>
      </c>
      <c r="AQ308">
        <v>84</v>
      </c>
      <c r="AR308">
        <v>64</v>
      </c>
      <c r="AZ308">
        <v>4552</v>
      </c>
      <c r="BA308">
        <v>1</v>
      </c>
      <c r="BB308" t="str">
        <f t="shared" si="14"/>
        <v xml:space="preserve">N607SR  </v>
      </c>
      <c r="BC308">
        <v>1</v>
      </c>
      <c r="BE308">
        <v>0</v>
      </c>
      <c r="BF308">
        <v>0</v>
      </c>
      <c r="BG308">
        <v>0</v>
      </c>
      <c r="BH308">
        <v>1375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"06:12:40.765"</f>
        <v>06:12:40.765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457</v>
      </c>
      <c r="CR308">
        <v>0</v>
      </c>
      <c r="CW308">
        <v>15510524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"08/29/2020 06:12:37.932"</f>
        <v>08/29/2020 06:12:37.932</v>
      </c>
      <c r="C309" t="str">
        <f t="shared" si="12"/>
        <v>FFDFD3C0</v>
      </c>
      <c r="D309" t="s">
        <v>121</v>
      </c>
      <c r="E309">
        <v>11</v>
      </c>
      <c r="F309">
        <v>1011</v>
      </c>
      <c r="G309" t="s">
        <v>125</v>
      </c>
      <c r="J309" t="s">
        <v>123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"06:12:41.172"</f>
        <v>06:12:41.172</v>
      </c>
      <c r="T309" t="str">
        <f>"06:12:40.772"</f>
        <v>06:12:40.772</v>
      </c>
      <c r="U309" t="str">
        <f t="shared" si="13"/>
        <v>A7E2E0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321</v>
      </c>
      <c r="AJ309">
        <v>39.141776999999998</v>
      </c>
      <c r="AK309" t="s">
        <v>322</v>
      </c>
      <c r="AL309">
        <v>-87.455462999999995</v>
      </c>
      <c r="AM309">
        <v>100</v>
      </c>
      <c r="AN309">
        <v>1600</v>
      </c>
      <c r="AO309" t="s">
        <v>118</v>
      </c>
      <c r="AP309">
        <v>-88</v>
      </c>
      <c r="AQ309">
        <v>84</v>
      </c>
      <c r="AR309">
        <v>64</v>
      </c>
      <c r="AZ309">
        <v>4552</v>
      </c>
      <c r="BA309">
        <v>1</v>
      </c>
      <c r="BB309" t="str">
        <f t="shared" si="14"/>
        <v xml:space="preserve">N607SR  </v>
      </c>
      <c r="BC309">
        <v>1</v>
      </c>
      <c r="BE309">
        <v>0</v>
      </c>
      <c r="BF309">
        <v>0</v>
      </c>
      <c r="BG309">
        <v>0</v>
      </c>
      <c r="BH309">
        <v>1375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"06:12:41.174"</f>
        <v>06:12:41.174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177</v>
      </c>
      <c r="CR309">
        <v>2</v>
      </c>
      <c r="CW309">
        <v>1609061</v>
      </c>
      <c r="CY309">
        <v>1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"08/29/2020 06:12:37.932"</f>
        <v>08/29/2020 06:12:37.932</v>
      </c>
      <c r="C310" t="str">
        <f t="shared" si="12"/>
        <v>FFDFD3C0</v>
      </c>
      <c r="D310" t="s">
        <v>121</v>
      </c>
      <c r="E310">
        <v>10</v>
      </c>
      <c r="F310">
        <v>1010</v>
      </c>
      <c r="G310" t="s">
        <v>114</v>
      </c>
      <c r="J310" t="s">
        <v>123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"06:12:41.172"</f>
        <v>06:12:41.172</v>
      </c>
      <c r="T310" t="str">
        <f>"06:12:40.772"</f>
        <v>06:12:40.772</v>
      </c>
      <c r="U310" t="str">
        <f t="shared" si="13"/>
        <v>A7E2E0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321</v>
      </c>
      <c r="AJ310">
        <v>39.141776999999998</v>
      </c>
      <c r="AK310" t="s">
        <v>322</v>
      </c>
      <c r="AL310">
        <v>-87.455462999999995</v>
      </c>
      <c r="AM310">
        <v>100</v>
      </c>
      <c r="AN310">
        <v>1600</v>
      </c>
      <c r="AO310" t="s">
        <v>118</v>
      </c>
      <c r="AP310">
        <v>-88</v>
      </c>
      <c r="AQ310">
        <v>84</v>
      </c>
      <c r="AR310">
        <v>64</v>
      </c>
      <c r="AZ310">
        <v>4552</v>
      </c>
      <c r="BA310">
        <v>1</v>
      </c>
      <c r="BB310" t="str">
        <f t="shared" si="14"/>
        <v xml:space="preserve">N607SR  </v>
      </c>
      <c r="BC310">
        <v>1</v>
      </c>
      <c r="BE310">
        <v>0</v>
      </c>
      <c r="BF310">
        <v>0</v>
      </c>
      <c r="BG310">
        <v>0</v>
      </c>
      <c r="BH310">
        <v>1375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"06:12:41.174"</f>
        <v>06:12:41.174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177</v>
      </c>
      <c r="CR310">
        <v>2</v>
      </c>
      <c r="CW310">
        <v>1609061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"08/29/2020 06:12:37.932"</f>
        <v>08/29/2020 06:12:37.932</v>
      </c>
      <c r="C311" t="str">
        <f t="shared" si="12"/>
        <v>FFDFD3C0</v>
      </c>
      <c r="D311" t="s">
        <v>121</v>
      </c>
      <c r="E311">
        <v>13</v>
      </c>
      <c r="F311">
        <v>1013</v>
      </c>
      <c r="G311" t="s">
        <v>122</v>
      </c>
      <c r="J311" t="s">
        <v>123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"06:12:41.172"</f>
        <v>06:12:41.172</v>
      </c>
      <c r="T311" t="str">
        <f>"06:12:40.772"</f>
        <v>06:12:40.772</v>
      </c>
      <c r="U311" t="str">
        <f t="shared" si="13"/>
        <v>A7E2E0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321</v>
      </c>
      <c r="AJ311">
        <v>39.141776999999998</v>
      </c>
      <c r="AK311" t="s">
        <v>322</v>
      </c>
      <c r="AL311">
        <v>-87.455462999999995</v>
      </c>
      <c r="AM311">
        <v>100</v>
      </c>
      <c r="AN311">
        <v>1600</v>
      </c>
      <c r="AO311" t="s">
        <v>118</v>
      </c>
      <c r="AP311">
        <v>-88</v>
      </c>
      <c r="AQ311">
        <v>84</v>
      </c>
      <c r="AR311">
        <v>64</v>
      </c>
      <c r="AZ311">
        <v>4552</v>
      </c>
      <c r="BA311">
        <v>1</v>
      </c>
      <c r="BB311" t="str">
        <f t="shared" si="14"/>
        <v xml:space="preserve">N607SR  </v>
      </c>
      <c r="BC311">
        <v>1</v>
      </c>
      <c r="BE311">
        <v>0</v>
      </c>
      <c r="BF311">
        <v>0</v>
      </c>
      <c r="BG311">
        <v>0</v>
      </c>
      <c r="BH311">
        <v>1375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"06:12:41.174"</f>
        <v>06:12:41.174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177</v>
      </c>
      <c r="CR311">
        <v>2</v>
      </c>
      <c r="CW311">
        <v>1609061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"08/29/2020 06:12:38.399"</f>
        <v>08/29/2020 06:12:38.399</v>
      </c>
      <c r="C312" t="str">
        <f t="shared" si="12"/>
        <v>FFDFD3C0</v>
      </c>
      <c r="D312" t="s">
        <v>128</v>
      </c>
      <c r="E312">
        <v>5</v>
      </c>
      <c r="H312">
        <v>241</v>
      </c>
      <c r="I312" t="s">
        <v>129</v>
      </c>
      <c r="J312" t="s">
        <v>130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"06:12:41.586"</f>
        <v>06:12:41.586</v>
      </c>
      <c r="T312" t="str">
        <f>"06:12:41.186"</f>
        <v>06:12:41.186</v>
      </c>
      <c r="U312" t="str">
        <f t="shared" si="13"/>
        <v>A7E2E0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323</v>
      </c>
      <c r="AJ312">
        <v>39.141905000000001</v>
      </c>
      <c r="AK312" t="s">
        <v>324</v>
      </c>
      <c r="AL312">
        <v>-87.455657000000002</v>
      </c>
      <c r="AM312">
        <v>100</v>
      </c>
      <c r="AN312">
        <v>1600</v>
      </c>
      <c r="AO312" t="s">
        <v>118</v>
      </c>
      <c r="AP312">
        <v>-89</v>
      </c>
      <c r="AQ312">
        <v>83</v>
      </c>
      <c r="AR312">
        <v>64</v>
      </c>
      <c r="AZ312">
        <v>4552</v>
      </c>
      <c r="BA312">
        <v>1</v>
      </c>
      <c r="BB312" t="str">
        <f t="shared" si="14"/>
        <v xml:space="preserve">N607SR  </v>
      </c>
      <c r="BC312">
        <v>1</v>
      </c>
      <c r="BE312">
        <v>0</v>
      </c>
      <c r="BF312">
        <v>0</v>
      </c>
      <c r="BG312">
        <v>0</v>
      </c>
      <c r="BH312">
        <v>1375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"06:12:41.586"</f>
        <v>06:12:41.586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177</v>
      </c>
      <c r="CR312">
        <v>2</v>
      </c>
      <c r="CW312">
        <v>1609105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"08/29/2020 06:12:38.399"</f>
        <v>08/29/2020 06:12:38.399</v>
      </c>
      <c r="C313" t="str">
        <f t="shared" si="12"/>
        <v>FFDFD3C0</v>
      </c>
      <c r="D313" t="s">
        <v>113</v>
      </c>
      <c r="E313">
        <v>5</v>
      </c>
      <c r="H313">
        <v>163</v>
      </c>
      <c r="I313" t="s">
        <v>114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"06:12:41.586"</f>
        <v>06:12:41.586</v>
      </c>
      <c r="T313" t="str">
        <f>"06:12:41.186"</f>
        <v>06:12:41.186</v>
      </c>
      <c r="U313" t="str">
        <f t="shared" si="13"/>
        <v>A7E2E0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323</v>
      </c>
      <c r="AJ313">
        <v>39.141905000000001</v>
      </c>
      <c r="AK313" t="s">
        <v>324</v>
      </c>
      <c r="AL313">
        <v>-87.455657000000002</v>
      </c>
      <c r="AM313">
        <v>100</v>
      </c>
      <c r="AN313">
        <v>1600</v>
      </c>
      <c r="AO313" t="s">
        <v>118</v>
      </c>
      <c r="AP313">
        <v>-89</v>
      </c>
      <c r="AQ313">
        <v>83</v>
      </c>
      <c r="AR313">
        <v>64</v>
      </c>
      <c r="AZ313">
        <v>4552</v>
      </c>
      <c r="BA313">
        <v>1</v>
      </c>
      <c r="BB313" t="str">
        <f t="shared" si="14"/>
        <v xml:space="preserve">N607SR  </v>
      </c>
      <c r="BC313">
        <v>1</v>
      </c>
      <c r="BE313">
        <v>0</v>
      </c>
      <c r="BF313">
        <v>0</v>
      </c>
      <c r="BG313">
        <v>0</v>
      </c>
      <c r="BH313">
        <v>1375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"06:12:41.586"</f>
        <v>06:12:41.586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177</v>
      </c>
      <c r="CR313">
        <v>2</v>
      </c>
      <c r="CW313">
        <v>1609105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"08/29/2020 06:12:38.792"</f>
        <v>08/29/2020 06:12:38.792</v>
      </c>
      <c r="C314" t="str">
        <f t="shared" si="12"/>
        <v>FFDFD3C0</v>
      </c>
      <c r="D314" t="s">
        <v>121</v>
      </c>
      <c r="E314">
        <v>11</v>
      </c>
      <c r="F314">
        <v>1011</v>
      </c>
      <c r="G314" t="s">
        <v>125</v>
      </c>
      <c r="J314" t="s">
        <v>123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"06:12:42.000"</f>
        <v>06:12:42.000</v>
      </c>
      <c r="T314" t="str">
        <f>"06:12:41.600"</f>
        <v>06:12:41.600</v>
      </c>
      <c r="U314" t="str">
        <f t="shared" si="13"/>
        <v>A7E2E0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325</v>
      </c>
      <c r="AJ314">
        <v>39.142097999999997</v>
      </c>
      <c r="AK314" t="s">
        <v>326</v>
      </c>
      <c r="AL314">
        <v>-87.455934999999997</v>
      </c>
      <c r="AM314">
        <v>100</v>
      </c>
      <c r="AN314">
        <v>1600</v>
      </c>
      <c r="AO314" t="s">
        <v>118</v>
      </c>
      <c r="AP314">
        <v>-90</v>
      </c>
      <c r="AQ314">
        <v>83</v>
      </c>
      <c r="AR314">
        <v>128</v>
      </c>
      <c r="AZ314">
        <v>4552</v>
      </c>
      <c r="BA314">
        <v>1</v>
      </c>
      <c r="BB314" t="str">
        <f t="shared" si="14"/>
        <v xml:space="preserve">N607SR  </v>
      </c>
      <c r="BC314">
        <v>1</v>
      </c>
      <c r="BE314">
        <v>0</v>
      </c>
      <c r="BF314">
        <v>0</v>
      </c>
      <c r="BG314">
        <v>0</v>
      </c>
      <c r="BH314">
        <v>1375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"06:12:42.006"</f>
        <v>06:12:42.006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457</v>
      </c>
      <c r="CR314">
        <v>0</v>
      </c>
      <c r="CW314">
        <v>15510564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"08/29/2020 06:12:38.792"</f>
        <v>08/29/2020 06:12:38.792</v>
      </c>
      <c r="C315" t="str">
        <f t="shared" si="12"/>
        <v>FFDFD3C0</v>
      </c>
      <c r="D315" t="s">
        <v>121</v>
      </c>
      <c r="E315">
        <v>10</v>
      </c>
      <c r="F315">
        <v>1010</v>
      </c>
      <c r="G315" t="s">
        <v>114</v>
      </c>
      <c r="J315" t="s">
        <v>123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"06:12:42.000"</f>
        <v>06:12:42.000</v>
      </c>
      <c r="T315" t="str">
        <f>"06:12:41.600"</f>
        <v>06:12:41.600</v>
      </c>
      <c r="U315" t="str">
        <f t="shared" si="13"/>
        <v>A7E2E0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325</v>
      </c>
      <c r="AJ315">
        <v>39.142097999999997</v>
      </c>
      <c r="AK315" t="s">
        <v>326</v>
      </c>
      <c r="AL315">
        <v>-87.455934999999997</v>
      </c>
      <c r="AM315">
        <v>100</v>
      </c>
      <c r="AN315">
        <v>1600</v>
      </c>
      <c r="AO315" t="s">
        <v>118</v>
      </c>
      <c r="AP315">
        <v>-90</v>
      </c>
      <c r="AQ315">
        <v>83</v>
      </c>
      <c r="AR315">
        <v>128</v>
      </c>
      <c r="AZ315">
        <v>4552</v>
      </c>
      <c r="BA315">
        <v>1</v>
      </c>
      <c r="BB315" t="str">
        <f t="shared" si="14"/>
        <v xml:space="preserve">N607SR  </v>
      </c>
      <c r="BC315">
        <v>1</v>
      </c>
      <c r="BE315">
        <v>0</v>
      </c>
      <c r="BF315">
        <v>0</v>
      </c>
      <c r="BG315">
        <v>0</v>
      </c>
      <c r="BH315">
        <v>1375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"06:12:42.006"</f>
        <v>06:12:42.006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457</v>
      </c>
      <c r="CR315">
        <v>0</v>
      </c>
      <c r="CW315">
        <v>15510564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"08/29/2020 06:12:38.792"</f>
        <v>08/29/2020 06:12:38.792</v>
      </c>
      <c r="C316" t="str">
        <f t="shared" si="12"/>
        <v>FFDFD3C0</v>
      </c>
      <c r="D316" t="s">
        <v>121</v>
      </c>
      <c r="E316">
        <v>13</v>
      </c>
      <c r="F316">
        <v>1013</v>
      </c>
      <c r="G316" t="s">
        <v>122</v>
      </c>
      <c r="J316" t="s">
        <v>123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"06:12:42.000"</f>
        <v>06:12:42.000</v>
      </c>
      <c r="T316" t="str">
        <f>"06:12:41.600"</f>
        <v>06:12:41.600</v>
      </c>
      <c r="U316" t="str">
        <f t="shared" si="13"/>
        <v>A7E2E0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325</v>
      </c>
      <c r="AJ316">
        <v>39.142097999999997</v>
      </c>
      <c r="AK316" t="s">
        <v>326</v>
      </c>
      <c r="AL316">
        <v>-87.455934999999997</v>
      </c>
      <c r="AM316">
        <v>100</v>
      </c>
      <c r="AN316">
        <v>1600</v>
      </c>
      <c r="AO316" t="s">
        <v>118</v>
      </c>
      <c r="AP316">
        <v>-90</v>
      </c>
      <c r="AQ316">
        <v>83</v>
      </c>
      <c r="AR316">
        <v>128</v>
      </c>
      <c r="AZ316">
        <v>4552</v>
      </c>
      <c r="BA316">
        <v>1</v>
      </c>
      <c r="BB316" t="str">
        <f t="shared" si="14"/>
        <v xml:space="preserve">N607SR  </v>
      </c>
      <c r="BC316">
        <v>1</v>
      </c>
      <c r="BE316">
        <v>0</v>
      </c>
      <c r="BF316">
        <v>0</v>
      </c>
      <c r="BG316">
        <v>0</v>
      </c>
      <c r="BH316">
        <v>1375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"06:12:42.006"</f>
        <v>06:12:42.006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457</v>
      </c>
      <c r="CR316">
        <v>0</v>
      </c>
      <c r="CW316">
        <v>15510564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"08/29/2020 06:12:39.261"</f>
        <v>08/29/2020 06:12:39.261</v>
      </c>
      <c r="C317" t="str">
        <f t="shared" si="12"/>
        <v>FFDFD3C0</v>
      </c>
      <c r="D317" t="s">
        <v>128</v>
      </c>
      <c r="E317">
        <v>5</v>
      </c>
      <c r="H317">
        <v>241</v>
      </c>
      <c r="I317" t="s">
        <v>129</v>
      </c>
      <c r="J317" t="s">
        <v>130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"06:12:42.508"</f>
        <v>06:12:42.508</v>
      </c>
      <c r="T317" t="str">
        <f>"06:12:42.008"</f>
        <v>06:12:42.008</v>
      </c>
      <c r="U317" t="str">
        <f t="shared" si="13"/>
        <v>A7E2E0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327</v>
      </c>
      <c r="AJ317">
        <v>39.142270000000003</v>
      </c>
      <c r="AK317" t="s">
        <v>328</v>
      </c>
      <c r="AL317">
        <v>-87.456256999999994</v>
      </c>
      <c r="AM317">
        <v>100</v>
      </c>
      <c r="AN317">
        <v>1600</v>
      </c>
      <c r="AO317" t="s">
        <v>118</v>
      </c>
      <c r="AP317">
        <v>-92</v>
      </c>
      <c r="AQ317">
        <v>82</v>
      </c>
      <c r="AR317">
        <v>192</v>
      </c>
      <c r="AZ317">
        <v>4552</v>
      </c>
      <c r="BA317">
        <v>1</v>
      </c>
      <c r="BB317" t="str">
        <f t="shared" si="14"/>
        <v xml:space="preserve">N607SR  </v>
      </c>
      <c r="BC317">
        <v>1</v>
      </c>
      <c r="BE317">
        <v>0</v>
      </c>
      <c r="BF317">
        <v>0</v>
      </c>
      <c r="BG317">
        <v>0</v>
      </c>
      <c r="BH317">
        <v>1375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"06:12:42.509"</f>
        <v>06:12:42.509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177</v>
      </c>
      <c r="CR317">
        <v>2</v>
      </c>
      <c r="CW317">
        <v>1609220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"08/29/2020 06:12:39.261"</f>
        <v>08/29/2020 06:12:39.261</v>
      </c>
      <c r="C318" t="str">
        <f t="shared" si="12"/>
        <v>FFDFD3C0</v>
      </c>
      <c r="D318" t="s">
        <v>113</v>
      </c>
      <c r="E318">
        <v>5</v>
      </c>
      <c r="H318">
        <v>163</v>
      </c>
      <c r="I318" t="s">
        <v>114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"06:12:42.508"</f>
        <v>06:12:42.508</v>
      </c>
      <c r="T318" t="str">
        <f>"06:12:42.008"</f>
        <v>06:12:42.008</v>
      </c>
      <c r="U318" t="str">
        <f t="shared" si="13"/>
        <v>A7E2E0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327</v>
      </c>
      <c r="AJ318">
        <v>39.142270000000003</v>
      </c>
      <c r="AK318" t="s">
        <v>328</v>
      </c>
      <c r="AL318">
        <v>-87.456256999999994</v>
      </c>
      <c r="AM318">
        <v>100</v>
      </c>
      <c r="AN318">
        <v>1600</v>
      </c>
      <c r="AO318" t="s">
        <v>118</v>
      </c>
      <c r="AP318">
        <v>-92</v>
      </c>
      <c r="AQ318">
        <v>82</v>
      </c>
      <c r="AR318">
        <v>192</v>
      </c>
      <c r="AZ318">
        <v>4552</v>
      </c>
      <c r="BA318">
        <v>1</v>
      </c>
      <c r="BB318" t="str">
        <f t="shared" si="14"/>
        <v xml:space="preserve">N607SR  </v>
      </c>
      <c r="BC318">
        <v>1</v>
      </c>
      <c r="BE318">
        <v>0</v>
      </c>
      <c r="BF318">
        <v>0</v>
      </c>
      <c r="BG318">
        <v>0</v>
      </c>
      <c r="BH318">
        <v>1375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"06:12:42.509"</f>
        <v>06:12:42.509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177</v>
      </c>
      <c r="CR318">
        <v>2</v>
      </c>
      <c r="CW318">
        <v>1609220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"08/29/2020 06:12:39.708"</f>
        <v>08/29/2020 06:12:39.708</v>
      </c>
      <c r="C319" t="str">
        <f t="shared" si="12"/>
        <v>FFDFD3C0</v>
      </c>
      <c r="D319" t="s">
        <v>121</v>
      </c>
      <c r="E319">
        <v>11</v>
      </c>
      <c r="F319">
        <v>1011</v>
      </c>
      <c r="G319" t="s">
        <v>125</v>
      </c>
      <c r="J319" t="s">
        <v>123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"06:12:42.938"</f>
        <v>06:12:42.938</v>
      </c>
      <c r="T319" t="str">
        <f>"06:12:42.537"</f>
        <v>06:12:42.537</v>
      </c>
      <c r="U319" t="str">
        <f t="shared" si="13"/>
        <v>A7E2E0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329</v>
      </c>
      <c r="AJ319">
        <v>39.142420000000001</v>
      </c>
      <c r="AK319" t="s">
        <v>330</v>
      </c>
      <c r="AL319">
        <v>-87.456429</v>
      </c>
      <c r="AM319">
        <v>100</v>
      </c>
      <c r="AN319">
        <v>1600</v>
      </c>
      <c r="AO319" t="s">
        <v>118</v>
      </c>
      <c r="AP319">
        <v>-93</v>
      </c>
      <c r="AQ319">
        <v>81</v>
      </c>
      <c r="AR319">
        <v>256</v>
      </c>
      <c r="AZ319">
        <v>4552</v>
      </c>
      <c r="BA319">
        <v>1</v>
      </c>
      <c r="BB319" t="str">
        <f t="shared" si="14"/>
        <v xml:space="preserve">N607SR  </v>
      </c>
      <c r="BC319">
        <v>1</v>
      </c>
      <c r="BE319">
        <v>0</v>
      </c>
      <c r="BF319">
        <v>0</v>
      </c>
      <c r="BG319">
        <v>0</v>
      </c>
      <c r="BH319">
        <v>1375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"06:12:42.945"</f>
        <v>06:12:42.945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177</v>
      </c>
      <c r="CR319">
        <v>2</v>
      </c>
      <c r="CW319">
        <v>1609295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"08/29/2020 06:12:39.708"</f>
        <v>08/29/2020 06:12:39.708</v>
      </c>
      <c r="C320" t="str">
        <f t="shared" si="12"/>
        <v>FFDFD3C0</v>
      </c>
      <c r="D320" t="s">
        <v>121</v>
      </c>
      <c r="E320">
        <v>13</v>
      </c>
      <c r="F320">
        <v>1013</v>
      </c>
      <c r="G320" t="s">
        <v>122</v>
      </c>
      <c r="J320" t="s">
        <v>123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"06:12:42.938"</f>
        <v>06:12:42.938</v>
      </c>
      <c r="T320" t="str">
        <f>"06:12:42.537"</f>
        <v>06:12:42.537</v>
      </c>
      <c r="U320" t="str">
        <f t="shared" si="13"/>
        <v>A7E2E0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329</v>
      </c>
      <c r="AJ320">
        <v>39.142420000000001</v>
      </c>
      <c r="AK320" t="s">
        <v>330</v>
      </c>
      <c r="AL320">
        <v>-87.456429</v>
      </c>
      <c r="AM320">
        <v>100</v>
      </c>
      <c r="AN320">
        <v>1600</v>
      </c>
      <c r="AO320" t="s">
        <v>118</v>
      </c>
      <c r="AP320">
        <v>-93</v>
      </c>
      <c r="AQ320">
        <v>81</v>
      </c>
      <c r="AR320">
        <v>256</v>
      </c>
      <c r="AZ320">
        <v>4552</v>
      </c>
      <c r="BA320">
        <v>1</v>
      </c>
      <c r="BB320" t="str">
        <f t="shared" si="14"/>
        <v xml:space="preserve">N607SR  </v>
      </c>
      <c r="BC320">
        <v>1</v>
      </c>
      <c r="BE320">
        <v>0</v>
      </c>
      <c r="BF320">
        <v>0</v>
      </c>
      <c r="BG320">
        <v>0</v>
      </c>
      <c r="BH320">
        <v>1375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"06:12:42.945"</f>
        <v>06:12:42.945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177</v>
      </c>
      <c r="CR320">
        <v>2</v>
      </c>
      <c r="CW320">
        <v>1609295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"08/29/2020 06:12:39.708"</f>
        <v>08/29/2020 06:12:39.708</v>
      </c>
      <c r="C321" t="str">
        <f t="shared" si="12"/>
        <v>FFDFD3C0</v>
      </c>
      <c r="D321" t="s">
        <v>121</v>
      </c>
      <c r="E321">
        <v>10</v>
      </c>
      <c r="F321">
        <v>1010</v>
      </c>
      <c r="G321" t="s">
        <v>114</v>
      </c>
      <c r="J321" t="s">
        <v>123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"06:12:42.938"</f>
        <v>06:12:42.938</v>
      </c>
      <c r="T321" t="str">
        <f>"06:12:42.537"</f>
        <v>06:12:42.537</v>
      </c>
      <c r="U321" t="str">
        <f t="shared" si="13"/>
        <v>A7E2E0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329</v>
      </c>
      <c r="AJ321">
        <v>39.142420000000001</v>
      </c>
      <c r="AK321" t="s">
        <v>330</v>
      </c>
      <c r="AL321">
        <v>-87.456429</v>
      </c>
      <c r="AM321">
        <v>100</v>
      </c>
      <c r="AN321">
        <v>1600</v>
      </c>
      <c r="AO321" t="s">
        <v>118</v>
      </c>
      <c r="AP321">
        <v>-93</v>
      </c>
      <c r="AQ321">
        <v>81</v>
      </c>
      <c r="AR321">
        <v>256</v>
      </c>
      <c r="AZ321">
        <v>4552</v>
      </c>
      <c r="BA321">
        <v>1</v>
      </c>
      <c r="BB321" t="str">
        <f t="shared" si="14"/>
        <v xml:space="preserve">N607SR  </v>
      </c>
      <c r="BC321">
        <v>1</v>
      </c>
      <c r="BE321">
        <v>0</v>
      </c>
      <c r="BF321">
        <v>0</v>
      </c>
      <c r="BG321">
        <v>0</v>
      </c>
      <c r="BH321">
        <v>1375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"06:12:42.945"</f>
        <v>06:12:42.945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177</v>
      </c>
      <c r="CR321">
        <v>2</v>
      </c>
      <c r="CW321">
        <v>1609295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"08/29/2020 06:12:40.326"</f>
        <v>08/29/2020 06:12:40.326</v>
      </c>
      <c r="C322" t="str">
        <f t="shared" ref="C322:C385" si="15">"FFDFD3C0"</f>
        <v>FFDFD3C0</v>
      </c>
      <c r="D322" t="s">
        <v>128</v>
      </c>
      <c r="E322">
        <v>5</v>
      </c>
      <c r="H322">
        <v>241</v>
      </c>
      <c r="I322" t="s">
        <v>129</v>
      </c>
      <c r="J322" t="s">
        <v>130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"06:12:43.531"</f>
        <v>06:12:43.531</v>
      </c>
      <c r="T322" t="str">
        <f>"06:12:43.031"</f>
        <v>06:12:43.031</v>
      </c>
      <c r="U322" t="str">
        <f t="shared" ref="U322:U385" si="16">"A7E2E0"</f>
        <v>A7E2E0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331</v>
      </c>
      <c r="AJ322">
        <v>39.142634999999999</v>
      </c>
      <c r="AK322" t="s">
        <v>332</v>
      </c>
      <c r="AL322">
        <v>-87.456794000000002</v>
      </c>
      <c r="AM322">
        <v>100</v>
      </c>
      <c r="AN322">
        <v>1600</v>
      </c>
      <c r="AO322" t="s">
        <v>118</v>
      </c>
      <c r="AP322">
        <v>-94</v>
      </c>
      <c r="AQ322">
        <v>80</v>
      </c>
      <c r="AR322">
        <v>320</v>
      </c>
      <c r="AZ322">
        <v>4552</v>
      </c>
      <c r="BA322">
        <v>1</v>
      </c>
      <c r="BB322" t="str">
        <f t="shared" ref="BB322:BB385" si="17">"N607SR  "</f>
        <v xml:space="preserve">N607SR  </v>
      </c>
      <c r="BC322">
        <v>1</v>
      </c>
      <c r="BE322">
        <v>0</v>
      </c>
      <c r="BF322">
        <v>0</v>
      </c>
      <c r="BG322">
        <v>0</v>
      </c>
      <c r="BH322">
        <v>1375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"06:12:43.538"</f>
        <v>06:12:43.538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457</v>
      </c>
      <c r="CR322">
        <v>0</v>
      </c>
      <c r="CW322">
        <v>15510609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"08/29/2020 06:12:40.326"</f>
        <v>08/29/2020 06:12:40.326</v>
      </c>
      <c r="C323" t="str">
        <f t="shared" si="15"/>
        <v>FFDFD3C0</v>
      </c>
      <c r="D323" t="s">
        <v>113</v>
      </c>
      <c r="E323">
        <v>5</v>
      </c>
      <c r="H323">
        <v>163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"06:12:43.531"</f>
        <v>06:12:43.531</v>
      </c>
      <c r="T323" t="str">
        <f>"06:12:43.031"</f>
        <v>06:12:43.031</v>
      </c>
      <c r="U323" t="str">
        <f t="shared" si="16"/>
        <v>A7E2E0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331</v>
      </c>
      <c r="AJ323">
        <v>39.142634999999999</v>
      </c>
      <c r="AK323" t="s">
        <v>332</v>
      </c>
      <c r="AL323">
        <v>-87.456794000000002</v>
      </c>
      <c r="AM323">
        <v>100</v>
      </c>
      <c r="AN323">
        <v>1600</v>
      </c>
      <c r="AO323" t="s">
        <v>118</v>
      </c>
      <c r="AP323">
        <v>-94</v>
      </c>
      <c r="AQ323">
        <v>80</v>
      </c>
      <c r="AR323">
        <v>320</v>
      </c>
      <c r="AZ323">
        <v>4552</v>
      </c>
      <c r="BA323">
        <v>1</v>
      </c>
      <c r="BB323" t="str">
        <f t="shared" si="17"/>
        <v xml:space="preserve">N607SR  </v>
      </c>
      <c r="BC323">
        <v>1</v>
      </c>
      <c r="BE323">
        <v>0</v>
      </c>
      <c r="BF323">
        <v>0</v>
      </c>
      <c r="BG323">
        <v>0</v>
      </c>
      <c r="BH323">
        <v>1375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"06:12:43.538"</f>
        <v>06:12:43.538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457</v>
      </c>
      <c r="CR323">
        <v>0</v>
      </c>
      <c r="CW323">
        <v>15510609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"08/29/2020 06:12:40.832"</f>
        <v>08/29/2020 06:12:40.832</v>
      </c>
      <c r="C324" t="str">
        <f t="shared" si="15"/>
        <v>FFDFD3C0</v>
      </c>
      <c r="D324" t="s">
        <v>121</v>
      </c>
      <c r="E324">
        <v>10</v>
      </c>
      <c r="F324">
        <v>1010</v>
      </c>
      <c r="G324" t="s">
        <v>114</v>
      </c>
      <c r="J324" t="s">
        <v>123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"06:12:44.070"</f>
        <v>06:12:44.070</v>
      </c>
      <c r="T324" t="str">
        <f>"06:12:43.570"</f>
        <v>06:12:43.570</v>
      </c>
      <c r="U324" t="str">
        <f t="shared" si="16"/>
        <v>A7E2E0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333</v>
      </c>
      <c r="AJ324">
        <v>39.142806999999998</v>
      </c>
      <c r="AK324" t="s">
        <v>334</v>
      </c>
      <c r="AL324">
        <v>-87.457093999999998</v>
      </c>
      <c r="AM324">
        <v>100</v>
      </c>
      <c r="AN324">
        <v>1600</v>
      </c>
      <c r="AO324" t="s">
        <v>118</v>
      </c>
      <c r="AP324">
        <v>-96</v>
      </c>
      <c r="AQ324">
        <v>78</v>
      </c>
      <c r="AR324">
        <v>448</v>
      </c>
      <c r="AZ324">
        <v>4552</v>
      </c>
      <c r="BA324">
        <v>1</v>
      </c>
      <c r="BB324" t="str">
        <f t="shared" si="17"/>
        <v xml:space="preserve">N607SR  </v>
      </c>
      <c r="BC324">
        <v>1</v>
      </c>
      <c r="BE324">
        <v>0</v>
      </c>
      <c r="BF324">
        <v>0</v>
      </c>
      <c r="BG324">
        <v>0</v>
      </c>
      <c r="BH324">
        <v>1375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"06:12:44.075"</f>
        <v>06:12:44.075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177</v>
      </c>
      <c r="CR324">
        <v>2</v>
      </c>
      <c r="CW324">
        <v>1609500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"08/29/2020 06:12:40.832"</f>
        <v>08/29/2020 06:12:40.832</v>
      </c>
      <c r="C325" t="str">
        <f t="shared" si="15"/>
        <v>FFDFD3C0</v>
      </c>
      <c r="D325" t="s">
        <v>121</v>
      </c>
      <c r="E325">
        <v>13</v>
      </c>
      <c r="F325">
        <v>1013</v>
      </c>
      <c r="G325" t="s">
        <v>122</v>
      </c>
      <c r="J325" t="s">
        <v>123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"06:12:44.070"</f>
        <v>06:12:44.070</v>
      </c>
      <c r="T325" t="str">
        <f>"06:12:43.570"</f>
        <v>06:12:43.570</v>
      </c>
      <c r="U325" t="str">
        <f t="shared" si="16"/>
        <v>A7E2E0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333</v>
      </c>
      <c r="AJ325">
        <v>39.142806999999998</v>
      </c>
      <c r="AK325" t="s">
        <v>334</v>
      </c>
      <c r="AL325">
        <v>-87.457093999999998</v>
      </c>
      <c r="AM325">
        <v>100</v>
      </c>
      <c r="AN325">
        <v>1600</v>
      </c>
      <c r="AO325" t="s">
        <v>118</v>
      </c>
      <c r="AP325">
        <v>-96</v>
      </c>
      <c r="AQ325">
        <v>78</v>
      </c>
      <c r="AR325">
        <v>448</v>
      </c>
      <c r="AZ325">
        <v>4552</v>
      </c>
      <c r="BA325">
        <v>1</v>
      </c>
      <c r="BB325" t="str">
        <f t="shared" si="17"/>
        <v xml:space="preserve">N607SR  </v>
      </c>
      <c r="BC325">
        <v>1</v>
      </c>
      <c r="BE325">
        <v>0</v>
      </c>
      <c r="BF325">
        <v>0</v>
      </c>
      <c r="BG325">
        <v>0</v>
      </c>
      <c r="BH325">
        <v>1375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"06:12:44.075"</f>
        <v>06:12:44.075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177</v>
      </c>
      <c r="CR325">
        <v>2</v>
      </c>
      <c r="CW325">
        <v>1609500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"08/29/2020 06:12:40.832"</f>
        <v>08/29/2020 06:12:40.832</v>
      </c>
      <c r="C326" t="str">
        <f t="shared" si="15"/>
        <v>FFDFD3C0</v>
      </c>
      <c r="D326" t="s">
        <v>121</v>
      </c>
      <c r="E326">
        <v>11</v>
      </c>
      <c r="F326">
        <v>1011</v>
      </c>
      <c r="G326" t="s">
        <v>125</v>
      </c>
      <c r="J326" t="s">
        <v>123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"06:12:44.070"</f>
        <v>06:12:44.070</v>
      </c>
      <c r="T326" t="str">
        <f>"06:12:43.570"</f>
        <v>06:12:43.570</v>
      </c>
      <c r="U326" t="str">
        <f t="shared" si="16"/>
        <v>A7E2E0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333</v>
      </c>
      <c r="AJ326">
        <v>39.142806999999998</v>
      </c>
      <c r="AK326" t="s">
        <v>334</v>
      </c>
      <c r="AL326">
        <v>-87.457093999999998</v>
      </c>
      <c r="AM326">
        <v>100</v>
      </c>
      <c r="AN326">
        <v>1600</v>
      </c>
      <c r="AO326" t="s">
        <v>118</v>
      </c>
      <c r="AP326">
        <v>-96</v>
      </c>
      <c r="AQ326">
        <v>78</v>
      </c>
      <c r="AR326">
        <v>448</v>
      </c>
      <c r="AZ326">
        <v>4552</v>
      </c>
      <c r="BA326">
        <v>1</v>
      </c>
      <c r="BB326" t="str">
        <f t="shared" si="17"/>
        <v xml:space="preserve">N607SR  </v>
      </c>
      <c r="BC326">
        <v>1</v>
      </c>
      <c r="BE326">
        <v>0</v>
      </c>
      <c r="BF326">
        <v>0</v>
      </c>
      <c r="BG326">
        <v>0</v>
      </c>
      <c r="BH326">
        <v>1375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"06:12:44.075"</f>
        <v>06:12:44.075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177</v>
      </c>
      <c r="CR326">
        <v>2</v>
      </c>
      <c r="CW326">
        <v>1609500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"08/29/2020 06:12:41.437"</f>
        <v>08/29/2020 06:12:41.437</v>
      </c>
      <c r="C327" t="str">
        <f t="shared" si="15"/>
        <v>FFDFD3C0</v>
      </c>
      <c r="D327" t="s">
        <v>128</v>
      </c>
      <c r="E327">
        <v>5</v>
      </c>
      <c r="H327">
        <v>241</v>
      </c>
      <c r="I327" t="s">
        <v>129</v>
      </c>
      <c r="J327" t="s">
        <v>130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"06:12:44.617"</f>
        <v>06:12:44.617</v>
      </c>
      <c r="T327" t="str">
        <f>"06:12:44.117"</f>
        <v>06:12:44.117</v>
      </c>
      <c r="U327" t="str">
        <f t="shared" si="16"/>
        <v>A7E2E0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335</v>
      </c>
      <c r="AJ327">
        <v>39.143020999999997</v>
      </c>
      <c r="AK327" t="s">
        <v>336</v>
      </c>
      <c r="AL327">
        <v>-87.457459</v>
      </c>
      <c r="AM327">
        <v>100</v>
      </c>
      <c r="AN327">
        <v>1600</v>
      </c>
      <c r="AO327" t="s">
        <v>118</v>
      </c>
      <c r="AP327">
        <v>-98</v>
      </c>
      <c r="AQ327">
        <v>76</v>
      </c>
      <c r="AR327">
        <v>512</v>
      </c>
      <c r="AZ327">
        <v>4552</v>
      </c>
      <c r="BA327">
        <v>1</v>
      </c>
      <c r="BB327" t="str">
        <f t="shared" si="17"/>
        <v xml:space="preserve">N607SR  </v>
      </c>
      <c r="BC327">
        <v>1</v>
      </c>
      <c r="BE327">
        <v>0</v>
      </c>
      <c r="BF327">
        <v>0</v>
      </c>
      <c r="BG327">
        <v>0</v>
      </c>
      <c r="BH327">
        <v>1375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"06:12:44.619"</f>
        <v>06:12:44.619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457</v>
      </c>
      <c r="CR327">
        <v>0</v>
      </c>
      <c r="CW327">
        <v>15510640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"08/29/2020 06:12:41.437"</f>
        <v>08/29/2020 06:12:41.437</v>
      </c>
      <c r="C328" t="str">
        <f t="shared" si="15"/>
        <v>FFDFD3C0</v>
      </c>
      <c r="D328" t="s">
        <v>113</v>
      </c>
      <c r="E328">
        <v>5</v>
      </c>
      <c r="H328">
        <v>163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"06:12:44.617"</f>
        <v>06:12:44.617</v>
      </c>
      <c r="T328" t="str">
        <f>"06:12:44.117"</f>
        <v>06:12:44.117</v>
      </c>
      <c r="U328" t="str">
        <f t="shared" si="16"/>
        <v>A7E2E0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335</v>
      </c>
      <c r="AJ328">
        <v>39.143020999999997</v>
      </c>
      <c r="AK328" t="s">
        <v>336</v>
      </c>
      <c r="AL328">
        <v>-87.457459</v>
      </c>
      <c r="AM328">
        <v>100</v>
      </c>
      <c r="AN328">
        <v>1600</v>
      </c>
      <c r="AO328" t="s">
        <v>118</v>
      </c>
      <c r="AP328">
        <v>-98</v>
      </c>
      <c r="AQ328">
        <v>76</v>
      </c>
      <c r="AR328">
        <v>512</v>
      </c>
      <c r="AZ328">
        <v>4552</v>
      </c>
      <c r="BA328">
        <v>1</v>
      </c>
      <c r="BB328" t="str">
        <f t="shared" si="17"/>
        <v xml:space="preserve">N607SR  </v>
      </c>
      <c r="BC328">
        <v>1</v>
      </c>
      <c r="BE328">
        <v>0</v>
      </c>
      <c r="BF328">
        <v>0</v>
      </c>
      <c r="BG328">
        <v>0</v>
      </c>
      <c r="BH328">
        <v>1375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"06:12:44.619"</f>
        <v>06:12:44.619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6</v>
      </c>
      <c r="CP328" t="s">
        <v>119</v>
      </c>
      <c r="CQ328">
        <v>457</v>
      </c>
      <c r="CR328">
        <v>0</v>
      </c>
      <c r="CW328">
        <v>15510640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"08/29/2020 06:12:41.920"</f>
        <v>08/29/2020 06:12:41.920</v>
      </c>
      <c r="C329" t="str">
        <f t="shared" si="15"/>
        <v>FFDFD3C0</v>
      </c>
      <c r="D329" t="s">
        <v>121</v>
      </c>
      <c r="E329">
        <v>13</v>
      </c>
      <c r="F329">
        <v>1013</v>
      </c>
      <c r="G329" t="s">
        <v>122</v>
      </c>
      <c r="J329" t="s">
        <v>123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"06:12:45.148"</f>
        <v>06:12:45.148</v>
      </c>
      <c r="T329" t="str">
        <f>"06:12:44.648"</f>
        <v>06:12:44.648</v>
      </c>
      <c r="U329" t="str">
        <f t="shared" si="16"/>
        <v>A7E2E0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337</v>
      </c>
      <c r="AJ329">
        <v>39.143192999999997</v>
      </c>
      <c r="AK329" t="s">
        <v>338</v>
      </c>
      <c r="AL329">
        <v>-87.457738000000006</v>
      </c>
      <c r="AM329">
        <v>100</v>
      </c>
      <c r="AN329">
        <v>1600</v>
      </c>
      <c r="AO329" t="s">
        <v>118</v>
      </c>
      <c r="AP329">
        <v>-100</v>
      </c>
      <c r="AQ329">
        <v>74</v>
      </c>
      <c r="AR329">
        <v>512</v>
      </c>
      <c r="AZ329">
        <v>4552</v>
      </c>
      <c r="BA329">
        <v>1</v>
      </c>
      <c r="BB329" t="str">
        <f t="shared" si="17"/>
        <v xml:space="preserve">N607SR  </v>
      </c>
      <c r="BC329">
        <v>1</v>
      </c>
      <c r="BE329">
        <v>0</v>
      </c>
      <c r="BF329">
        <v>0</v>
      </c>
      <c r="BG329">
        <v>0</v>
      </c>
      <c r="BH329">
        <v>1400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"06:12:45.150"</f>
        <v>06:12:45.150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457</v>
      </c>
      <c r="CR329">
        <v>0</v>
      </c>
      <c r="CW329">
        <v>15510657</v>
      </c>
      <c r="CY329">
        <v>1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"08/29/2020 06:12:41.920"</f>
        <v>08/29/2020 06:12:41.920</v>
      </c>
      <c r="C330" t="str">
        <f t="shared" si="15"/>
        <v>FFDFD3C0</v>
      </c>
      <c r="D330" t="s">
        <v>121</v>
      </c>
      <c r="E330">
        <v>11</v>
      </c>
      <c r="F330">
        <v>1011</v>
      </c>
      <c r="G330" t="s">
        <v>125</v>
      </c>
      <c r="J330" t="s">
        <v>123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"06:12:45.148"</f>
        <v>06:12:45.148</v>
      </c>
      <c r="T330" t="str">
        <f>"06:12:44.648"</f>
        <v>06:12:44.648</v>
      </c>
      <c r="U330" t="str">
        <f t="shared" si="16"/>
        <v>A7E2E0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337</v>
      </c>
      <c r="AJ330">
        <v>39.143192999999997</v>
      </c>
      <c r="AK330" t="s">
        <v>338</v>
      </c>
      <c r="AL330">
        <v>-87.457738000000006</v>
      </c>
      <c r="AM330">
        <v>100</v>
      </c>
      <c r="AN330">
        <v>1600</v>
      </c>
      <c r="AO330" t="s">
        <v>118</v>
      </c>
      <c r="AP330">
        <v>-100</v>
      </c>
      <c r="AQ330">
        <v>74</v>
      </c>
      <c r="AR330">
        <v>512</v>
      </c>
      <c r="AZ330">
        <v>4552</v>
      </c>
      <c r="BA330">
        <v>1</v>
      </c>
      <c r="BB330" t="str">
        <f t="shared" si="17"/>
        <v xml:space="preserve">N607SR  </v>
      </c>
      <c r="BC330">
        <v>1</v>
      </c>
      <c r="BE330">
        <v>0</v>
      </c>
      <c r="BF330">
        <v>0</v>
      </c>
      <c r="BG330">
        <v>0</v>
      </c>
      <c r="BH330">
        <v>1400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"06:12:45.150"</f>
        <v>06:12:45.150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457</v>
      </c>
      <c r="CR330">
        <v>0</v>
      </c>
      <c r="CW330">
        <v>15510657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"08/29/2020 06:12:41.920"</f>
        <v>08/29/2020 06:12:41.920</v>
      </c>
      <c r="C331" t="str">
        <f t="shared" si="15"/>
        <v>FFDFD3C0</v>
      </c>
      <c r="D331" t="s">
        <v>121</v>
      </c>
      <c r="E331">
        <v>10</v>
      </c>
      <c r="F331">
        <v>1010</v>
      </c>
      <c r="G331" t="s">
        <v>114</v>
      </c>
      <c r="J331" t="s">
        <v>123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"06:12:45.148"</f>
        <v>06:12:45.148</v>
      </c>
      <c r="T331" t="str">
        <f>"06:12:44.648"</f>
        <v>06:12:44.648</v>
      </c>
      <c r="U331" t="str">
        <f t="shared" si="16"/>
        <v>A7E2E0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337</v>
      </c>
      <c r="AJ331">
        <v>39.143192999999997</v>
      </c>
      <c r="AK331" t="s">
        <v>338</v>
      </c>
      <c r="AL331">
        <v>-87.457738000000006</v>
      </c>
      <c r="AM331">
        <v>100</v>
      </c>
      <c r="AN331">
        <v>1600</v>
      </c>
      <c r="AO331" t="s">
        <v>118</v>
      </c>
      <c r="AP331">
        <v>-100</v>
      </c>
      <c r="AQ331">
        <v>74</v>
      </c>
      <c r="AR331">
        <v>512</v>
      </c>
      <c r="AZ331">
        <v>4552</v>
      </c>
      <c r="BA331">
        <v>1</v>
      </c>
      <c r="BB331" t="str">
        <f t="shared" si="17"/>
        <v xml:space="preserve">N607SR  </v>
      </c>
      <c r="BC331">
        <v>1</v>
      </c>
      <c r="BE331">
        <v>0</v>
      </c>
      <c r="BF331">
        <v>0</v>
      </c>
      <c r="BG331">
        <v>0</v>
      </c>
      <c r="BH331">
        <v>1400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"06:12:45.150"</f>
        <v>06:12:45.150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457</v>
      </c>
      <c r="CR331">
        <v>0</v>
      </c>
      <c r="CW331">
        <v>15510657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"08/29/2020 06:12:42.398"</f>
        <v>08/29/2020 06:12:42.398</v>
      </c>
      <c r="C332" t="str">
        <f t="shared" si="15"/>
        <v>FFDFD3C0</v>
      </c>
      <c r="D332" t="s">
        <v>128</v>
      </c>
      <c r="E332">
        <v>5</v>
      </c>
      <c r="H332">
        <v>241</v>
      </c>
      <c r="I332" t="s">
        <v>129</v>
      </c>
      <c r="J332" t="s">
        <v>130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"06:12:45.594"</f>
        <v>06:12:45.594</v>
      </c>
      <c r="T332" t="str">
        <f>"06:12:45.194"</f>
        <v>06:12:45.194</v>
      </c>
      <c r="U332" t="str">
        <f t="shared" si="16"/>
        <v>A7E2E0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339</v>
      </c>
      <c r="AJ332">
        <v>39.143363999999998</v>
      </c>
      <c r="AK332" t="s">
        <v>340</v>
      </c>
      <c r="AL332">
        <v>-87.458060000000003</v>
      </c>
      <c r="AM332">
        <v>100</v>
      </c>
      <c r="AN332">
        <v>1600</v>
      </c>
      <c r="AO332" t="s">
        <v>118</v>
      </c>
      <c r="AP332">
        <v>-101</v>
      </c>
      <c r="AQ332">
        <v>72</v>
      </c>
      <c r="AR332">
        <v>576</v>
      </c>
      <c r="AZ332">
        <v>4552</v>
      </c>
      <c r="BA332">
        <v>1</v>
      </c>
      <c r="BB332" t="str">
        <f t="shared" si="17"/>
        <v xml:space="preserve">N607SR  </v>
      </c>
      <c r="BC332">
        <v>1</v>
      </c>
      <c r="BE332">
        <v>0</v>
      </c>
      <c r="BF332">
        <v>0</v>
      </c>
      <c r="BG332">
        <v>0</v>
      </c>
      <c r="BH332">
        <v>1400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"06:12:45.597"</f>
        <v>06:12:45.597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457</v>
      </c>
      <c r="CR332">
        <v>0</v>
      </c>
      <c r="CW332">
        <v>15510672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"08/29/2020 06:12:42.398"</f>
        <v>08/29/2020 06:12:42.398</v>
      </c>
      <c r="C333" t="str">
        <f t="shared" si="15"/>
        <v>FFDFD3C0</v>
      </c>
      <c r="D333" t="s">
        <v>113</v>
      </c>
      <c r="E333">
        <v>5</v>
      </c>
      <c r="H333">
        <v>163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"06:12:45.594"</f>
        <v>06:12:45.594</v>
      </c>
      <c r="T333" t="str">
        <f>"06:12:45.194"</f>
        <v>06:12:45.194</v>
      </c>
      <c r="U333" t="str">
        <f t="shared" si="16"/>
        <v>A7E2E0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339</v>
      </c>
      <c r="AJ333">
        <v>39.143363999999998</v>
      </c>
      <c r="AK333" t="s">
        <v>340</v>
      </c>
      <c r="AL333">
        <v>-87.458060000000003</v>
      </c>
      <c r="AM333">
        <v>100</v>
      </c>
      <c r="AN333">
        <v>1600</v>
      </c>
      <c r="AO333" t="s">
        <v>118</v>
      </c>
      <c r="AP333">
        <v>-101</v>
      </c>
      <c r="AQ333">
        <v>72</v>
      </c>
      <c r="AR333">
        <v>576</v>
      </c>
      <c r="AZ333">
        <v>4552</v>
      </c>
      <c r="BA333">
        <v>1</v>
      </c>
      <c r="BB333" t="str">
        <f t="shared" si="17"/>
        <v xml:space="preserve">N607SR  </v>
      </c>
      <c r="BC333">
        <v>1</v>
      </c>
      <c r="BE333">
        <v>0</v>
      </c>
      <c r="BF333">
        <v>0</v>
      </c>
      <c r="BG333">
        <v>0</v>
      </c>
      <c r="BH333">
        <v>1400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"06:12:45.597"</f>
        <v>06:12:45.597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457</v>
      </c>
      <c r="CR333">
        <v>0</v>
      </c>
      <c r="CW333">
        <v>15510672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"08/29/2020 06:12:42.903"</f>
        <v>08/29/2020 06:12:42.903</v>
      </c>
      <c r="C334" t="str">
        <f t="shared" si="15"/>
        <v>FFDFD3C0</v>
      </c>
      <c r="D334" t="s">
        <v>121</v>
      </c>
      <c r="E334">
        <v>10</v>
      </c>
      <c r="F334">
        <v>1010</v>
      </c>
      <c r="G334" t="s">
        <v>114</v>
      </c>
      <c r="J334" t="s">
        <v>123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"06:12:46.117"</f>
        <v>06:12:46.117</v>
      </c>
      <c r="T334" t="str">
        <f>"06:12:45.617"</f>
        <v>06:12:45.617</v>
      </c>
      <c r="U334" t="str">
        <f t="shared" si="16"/>
        <v>A7E2E0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341</v>
      </c>
      <c r="AJ334">
        <v>39.143515000000001</v>
      </c>
      <c r="AK334" t="s">
        <v>342</v>
      </c>
      <c r="AL334">
        <v>-87.458338999999995</v>
      </c>
      <c r="AM334">
        <v>100</v>
      </c>
      <c r="AN334">
        <v>1600</v>
      </c>
      <c r="AO334" t="s">
        <v>118</v>
      </c>
      <c r="AP334">
        <v>-103</v>
      </c>
      <c r="AQ334">
        <v>70</v>
      </c>
      <c r="AR334">
        <v>576</v>
      </c>
      <c r="AZ334">
        <v>4552</v>
      </c>
      <c r="BA334">
        <v>1</v>
      </c>
      <c r="BB334" t="str">
        <f t="shared" si="17"/>
        <v xml:space="preserve">N607SR  </v>
      </c>
      <c r="BC334">
        <v>1</v>
      </c>
      <c r="BE334">
        <v>0</v>
      </c>
      <c r="BF334">
        <v>0</v>
      </c>
      <c r="BG334">
        <v>0</v>
      </c>
      <c r="BH334">
        <v>1400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"06:12:46.123"</f>
        <v>06:12:46.123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457</v>
      </c>
      <c r="CR334">
        <v>0</v>
      </c>
      <c r="CW334">
        <v>15510688</v>
      </c>
      <c r="CY334">
        <v>1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"08/29/2020 06:12:42.903"</f>
        <v>08/29/2020 06:12:42.903</v>
      </c>
      <c r="C335" t="str">
        <f t="shared" si="15"/>
        <v>FFDFD3C0</v>
      </c>
      <c r="D335" t="s">
        <v>121</v>
      </c>
      <c r="E335">
        <v>11</v>
      </c>
      <c r="F335">
        <v>1011</v>
      </c>
      <c r="G335" t="s">
        <v>125</v>
      </c>
      <c r="J335" t="s">
        <v>123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"06:12:46.117"</f>
        <v>06:12:46.117</v>
      </c>
      <c r="T335" t="str">
        <f>"06:12:45.617"</f>
        <v>06:12:45.617</v>
      </c>
      <c r="U335" t="str">
        <f t="shared" si="16"/>
        <v>A7E2E0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341</v>
      </c>
      <c r="AJ335">
        <v>39.143515000000001</v>
      </c>
      <c r="AK335" t="s">
        <v>342</v>
      </c>
      <c r="AL335">
        <v>-87.458338999999995</v>
      </c>
      <c r="AM335">
        <v>100</v>
      </c>
      <c r="AN335">
        <v>1600</v>
      </c>
      <c r="AO335" t="s">
        <v>118</v>
      </c>
      <c r="AP335">
        <v>-103</v>
      </c>
      <c r="AQ335">
        <v>70</v>
      </c>
      <c r="AR335">
        <v>576</v>
      </c>
      <c r="AZ335">
        <v>4552</v>
      </c>
      <c r="BA335">
        <v>1</v>
      </c>
      <c r="BB335" t="str">
        <f t="shared" si="17"/>
        <v xml:space="preserve">N607SR  </v>
      </c>
      <c r="BC335">
        <v>1</v>
      </c>
      <c r="BE335">
        <v>0</v>
      </c>
      <c r="BF335">
        <v>0</v>
      </c>
      <c r="BG335">
        <v>0</v>
      </c>
      <c r="BH335">
        <v>1400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"06:12:46.123"</f>
        <v>06:12:46.123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457</v>
      </c>
      <c r="CR335">
        <v>0</v>
      </c>
      <c r="CW335">
        <v>15510688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"08/29/2020 06:12:42.903"</f>
        <v>08/29/2020 06:12:42.903</v>
      </c>
      <c r="C336" t="str">
        <f t="shared" si="15"/>
        <v>FFDFD3C0</v>
      </c>
      <c r="D336" t="s">
        <v>121</v>
      </c>
      <c r="E336">
        <v>13</v>
      </c>
      <c r="F336">
        <v>1013</v>
      </c>
      <c r="G336" t="s">
        <v>122</v>
      </c>
      <c r="J336" t="s">
        <v>123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"06:12:46.117"</f>
        <v>06:12:46.117</v>
      </c>
      <c r="T336" t="str">
        <f>"06:12:45.617"</f>
        <v>06:12:45.617</v>
      </c>
      <c r="U336" t="str">
        <f t="shared" si="16"/>
        <v>A7E2E0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341</v>
      </c>
      <c r="AJ336">
        <v>39.143515000000001</v>
      </c>
      <c r="AK336" t="s">
        <v>342</v>
      </c>
      <c r="AL336">
        <v>-87.458338999999995</v>
      </c>
      <c r="AM336">
        <v>100</v>
      </c>
      <c r="AN336">
        <v>1600</v>
      </c>
      <c r="AO336" t="s">
        <v>118</v>
      </c>
      <c r="AP336">
        <v>-103</v>
      </c>
      <c r="AQ336">
        <v>70</v>
      </c>
      <c r="AR336">
        <v>576</v>
      </c>
      <c r="AZ336">
        <v>4552</v>
      </c>
      <c r="BA336">
        <v>1</v>
      </c>
      <c r="BB336" t="str">
        <f t="shared" si="17"/>
        <v xml:space="preserve">N607SR  </v>
      </c>
      <c r="BC336">
        <v>1</v>
      </c>
      <c r="BE336">
        <v>0</v>
      </c>
      <c r="BF336">
        <v>0</v>
      </c>
      <c r="BG336">
        <v>0</v>
      </c>
      <c r="BH336">
        <v>1400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"06:12:46.123"</f>
        <v>06:12:46.123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457</v>
      </c>
      <c r="CR336">
        <v>0</v>
      </c>
      <c r="CW336">
        <v>15510688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"08/29/2020 06:12:43.509"</f>
        <v>08/29/2020 06:12:43.509</v>
      </c>
      <c r="C337" t="str">
        <f t="shared" si="15"/>
        <v>FFDFD3C0</v>
      </c>
      <c r="D337" t="s">
        <v>128</v>
      </c>
      <c r="E337">
        <v>5</v>
      </c>
      <c r="H337">
        <v>241</v>
      </c>
      <c r="I337" t="s">
        <v>129</v>
      </c>
      <c r="J337" t="s">
        <v>130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"06:12:46.703"</f>
        <v>06:12:46.703</v>
      </c>
      <c r="T337" t="str">
        <f>"06:12:46.203"</f>
        <v>06:12:46.203</v>
      </c>
      <c r="U337" t="str">
        <f t="shared" si="16"/>
        <v>A7E2E0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343</v>
      </c>
      <c r="AJ337">
        <v>39.143686000000002</v>
      </c>
      <c r="AK337" t="s">
        <v>344</v>
      </c>
      <c r="AL337">
        <v>-87.458746000000005</v>
      </c>
      <c r="AM337">
        <v>100</v>
      </c>
      <c r="AN337">
        <v>1600</v>
      </c>
      <c r="AO337" t="s">
        <v>118</v>
      </c>
      <c r="AP337">
        <v>-104</v>
      </c>
      <c r="AQ337">
        <v>68</v>
      </c>
      <c r="AR337">
        <v>640</v>
      </c>
      <c r="AZ337">
        <v>4552</v>
      </c>
      <c r="BA337">
        <v>1</v>
      </c>
      <c r="BB337" t="str">
        <f t="shared" si="17"/>
        <v xml:space="preserve">N607SR  </v>
      </c>
      <c r="BC337">
        <v>1</v>
      </c>
      <c r="BE337">
        <v>0</v>
      </c>
      <c r="BF337">
        <v>0</v>
      </c>
      <c r="BG337">
        <v>0</v>
      </c>
      <c r="BH337">
        <v>1400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"06:12:46.705"</f>
        <v>06:12:46.705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457</v>
      </c>
      <c r="CR337">
        <v>0</v>
      </c>
      <c r="CW337">
        <v>15510705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"08/29/2020 06:12:43.509"</f>
        <v>08/29/2020 06:12:43.509</v>
      </c>
      <c r="C338" t="str">
        <f t="shared" si="15"/>
        <v>FFDFD3C0</v>
      </c>
      <c r="D338" t="s">
        <v>113</v>
      </c>
      <c r="E338">
        <v>5</v>
      </c>
      <c r="H338">
        <v>163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"06:12:46.703"</f>
        <v>06:12:46.703</v>
      </c>
      <c r="T338" t="str">
        <f>"06:12:46.203"</f>
        <v>06:12:46.203</v>
      </c>
      <c r="U338" t="str">
        <f t="shared" si="16"/>
        <v>A7E2E0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343</v>
      </c>
      <c r="AJ338">
        <v>39.143686000000002</v>
      </c>
      <c r="AK338" t="s">
        <v>344</v>
      </c>
      <c r="AL338">
        <v>-87.458746000000005</v>
      </c>
      <c r="AM338">
        <v>100</v>
      </c>
      <c r="AN338">
        <v>1600</v>
      </c>
      <c r="AO338" t="s">
        <v>118</v>
      </c>
      <c r="AP338">
        <v>-104</v>
      </c>
      <c r="AQ338">
        <v>68</v>
      </c>
      <c r="AR338">
        <v>640</v>
      </c>
      <c r="AZ338">
        <v>4552</v>
      </c>
      <c r="BA338">
        <v>1</v>
      </c>
      <c r="BB338" t="str">
        <f t="shared" si="17"/>
        <v xml:space="preserve">N607SR  </v>
      </c>
      <c r="BC338">
        <v>1</v>
      </c>
      <c r="BE338">
        <v>0</v>
      </c>
      <c r="BF338">
        <v>0</v>
      </c>
      <c r="BG338">
        <v>0</v>
      </c>
      <c r="BH338">
        <v>1400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"06:12:46.705"</f>
        <v>06:12:46.705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457</v>
      </c>
      <c r="CR338">
        <v>0</v>
      </c>
      <c r="CW338">
        <v>15510705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"08/29/2020 06:12:43.967"</f>
        <v>08/29/2020 06:12:43.967</v>
      </c>
      <c r="C339" t="str">
        <f t="shared" si="15"/>
        <v>FFDFD3C0</v>
      </c>
      <c r="D339" t="s">
        <v>121</v>
      </c>
      <c r="E339">
        <v>10</v>
      </c>
      <c r="F339">
        <v>1010</v>
      </c>
      <c r="G339" t="s">
        <v>114</v>
      </c>
      <c r="J339" t="s">
        <v>123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"06:12:47.164"</f>
        <v>06:12:47.164</v>
      </c>
      <c r="T339" t="str">
        <f>"06:12:46.764"</f>
        <v>06:12:46.764</v>
      </c>
      <c r="U339" t="str">
        <f t="shared" si="16"/>
        <v>A7E2E0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345</v>
      </c>
      <c r="AJ339">
        <v>39.143836</v>
      </c>
      <c r="AK339" t="s">
        <v>346</v>
      </c>
      <c r="AL339">
        <v>-87.459003999999993</v>
      </c>
      <c r="AM339">
        <v>100</v>
      </c>
      <c r="AN339">
        <v>1700</v>
      </c>
      <c r="AO339" t="s">
        <v>118</v>
      </c>
      <c r="AP339">
        <v>-106</v>
      </c>
      <c r="AQ339">
        <v>65</v>
      </c>
      <c r="AR339">
        <v>640</v>
      </c>
      <c r="AZ339">
        <v>4552</v>
      </c>
      <c r="BA339">
        <v>1</v>
      </c>
      <c r="BB339" t="str">
        <f t="shared" si="17"/>
        <v xml:space="preserve">N607SR  </v>
      </c>
      <c r="BC339">
        <v>1</v>
      </c>
      <c r="BE339">
        <v>0</v>
      </c>
      <c r="BF339">
        <v>0</v>
      </c>
      <c r="BG339">
        <v>0</v>
      </c>
      <c r="BH339">
        <v>1500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"06:12:47.169"</f>
        <v>06:12:47.169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457</v>
      </c>
      <c r="CR339">
        <v>0</v>
      </c>
      <c r="CW339">
        <v>15510721</v>
      </c>
      <c r="CY339">
        <v>1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"08/29/2020 06:12:43.967"</f>
        <v>08/29/2020 06:12:43.967</v>
      </c>
      <c r="C340" t="str">
        <f t="shared" si="15"/>
        <v>FFDFD3C0</v>
      </c>
      <c r="D340" t="s">
        <v>121</v>
      </c>
      <c r="E340">
        <v>11</v>
      </c>
      <c r="F340">
        <v>1011</v>
      </c>
      <c r="G340" t="s">
        <v>125</v>
      </c>
      <c r="J340" t="s">
        <v>123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"06:12:47.164"</f>
        <v>06:12:47.164</v>
      </c>
      <c r="T340" t="str">
        <f>"06:12:46.764"</f>
        <v>06:12:46.764</v>
      </c>
      <c r="U340" t="str">
        <f t="shared" si="16"/>
        <v>A7E2E0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345</v>
      </c>
      <c r="AJ340">
        <v>39.143836</v>
      </c>
      <c r="AK340" t="s">
        <v>346</v>
      </c>
      <c r="AL340">
        <v>-87.459003999999993</v>
      </c>
      <c r="AM340">
        <v>100</v>
      </c>
      <c r="AN340">
        <v>1700</v>
      </c>
      <c r="AO340" t="s">
        <v>118</v>
      </c>
      <c r="AP340">
        <v>-106</v>
      </c>
      <c r="AQ340">
        <v>65</v>
      </c>
      <c r="AR340">
        <v>640</v>
      </c>
      <c r="AZ340">
        <v>4552</v>
      </c>
      <c r="BA340">
        <v>1</v>
      </c>
      <c r="BB340" t="str">
        <f t="shared" si="17"/>
        <v xml:space="preserve">N607SR  </v>
      </c>
      <c r="BC340">
        <v>1</v>
      </c>
      <c r="BE340">
        <v>0</v>
      </c>
      <c r="BF340">
        <v>0</v>
      </c>
      <c r="BG340">
        <v>0</v>
      </c>
      <c r="BH340">
        <v>1500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"06:12:47.169"</f>
        <v>06:12:47.169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457</v>
      </c>
      <c r="CR340">
        <v>0</v>
      </c>
      <c r="CW340">
        <v>15510721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"08/29/2020 06:12:43.967"</f>
        <v>08/29/2020 06:12:43.967</v>
      </c>
      <c r="C341" t="str">
        <f t="shared" si="15"/>
        <v>FFDFD3C0</v>
      </c>
      <c r="D341" t="s">
        <v>121</v>
      </c>
      <c r="E341">
        <v>13</v>
      </c>
      <c r="F341">
        <v>1013</v>
      </c>
      <c r="G341" t="s">
        <v>122</v>
      </c>
      <c r="J341" t="s">
        <v>123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"06:12:47.164"</f>
        <v>06:12:47.164</v>
      </c>
      <c r="T341" t="str">
        <f>"06:12:46.764"</f>
        <v>06:12:46.764</v>
      </c>
      <c r="U341" t="str">
        <f t="shared" si="16"/>
        <v>A7E2E0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345</v>
      </c>
      <c r="AJ341">
        <v>39.143836</v>
      </c>
      <c r="AK341" t="s">
        <v>346</v>
      </c>
      <c r="AL341">
        <v>-87.459003999999993</v>
      </c>
      <c r="AM341">
        <v>100</v>
      </c>
      <c r="AN341">
        <v>1700</v>
      </c>
      <c r="AO341" t="s">
        <v>118</v>
      </c>
      <c r="AP341">
        <v>-106</v>
      </c>
      <c r="AQ341">
        <v>65</v>
      </c>
      <c r="AR341">
        <v>640</v>
      </c>
      <c r="AZ341">
        <v>4552</v>
      </c>
      <c r="BA341">
        <v>1</v>
      </c>
      <c r="BB341" t="str">
        <f t="shared" si="17"/>
        <v xml:space="preserve">N607SR  </v>
      </c>
      <c r="BC341">
        <v>1</v>
      </c>
      <c r="BE341">
        <v>0</v>
      </c>
      <c r="BF341">
        <v>0</v>
      </c>
      <c r="BG341">
        <v>0</v>
      </c>
      <c r="BH341">
        <v>1500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"06:12:47.169"</f>
        <v>06:12:47.169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457</v>
      </c>
      <c r="CR341">
        <v>0</v>
      </c>
      <c r="CW341">
        <v>15510721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"08/29/2020 06:12:44.419"</f>
        <v>08/29/2020 06:12:44.419</v>
      </c>
      <c r="C342" t="str">
        <f t="shared" si="15"/>
        <v>FFDFD3C0</v>
      </c>
      <c r="D342" t="s">
        <v>128</v>
      </c>
      <c r="E342">
        <v>5</v>
      </c>
      <c r="H342">
        <v>241</v>
      </c>
      <c r="I342" t="s">
        <v>129</v>
      </c>
      <c r="J342" t="s">
        <v>130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"06:12:47.602"</f>
        <v>06:12:47.602</v>
      </c>
      <c r="T342" t="str">
        <f>"06:12:47.202"</f>
        <v>06:12:47.202</v>
      </c>
      <c r="U342" t="str">
        <f t="shared" si="16"/>
        <v>A7E2E0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347</v>
      </c>
      <c r="AJ342">
        <v>39.143965000000001</v>
      </c>
      <c r="AK342" t="s">
        <v>348</v>
      </c>
      <c r="AL342">
        <v>-87.459282999999999</v>
      </c>
      <c r="AM342">
        <v>100</v>
      </c>
      <c r="AN342">
        <v>1700</v>
      </c>
      <c r="AO342" t="s">
        <v>118</v>
      </c>
      <c r="AP342">
        <v>-108</v>
      </c>
      <c r="AQ342">
        <v>63</v>
      </c>
      <c r="AR342">
        <v>704</v>
      </c>
      <c r="AZ342">
        <v>4552</v>
      </c>
      <c r="BA342">
        <v>1</v>
      </c>
      <c r="BB342" t="str">
        <f t="shared" si="17"/>
        <v xml:space="preserve">N607SR  </v>
      </c>
      <c r="BC342">
        <v>1</v>
      </c>
      <c r="BE342">
        <v>0</v>
      </c>
      <c r="BF342">
        <v>0</v>
      </c>
      <c r="BG342">
        <v>0</v>
      </c>
      <c r="BH342">
        <v>1425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"06:12:47.606"</f>
        <v>06:12:47.606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457</v>
      </c>
      <c r="CR342">
        <v>0</v>
      </c>
      <c r="CW342">
        <v>15510730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"08/29/2020 06:12:44.419"</f>
        <v>08/29/2020 06:12:44.419</v>
      </c>
      <c r="C343" t="str">
        <f t="shared" si="15"/>
        <v>FFDFD3C0</v>
      </c>
      <c r="D343" t="s">
        <v>113</v>
      </c>
      <c r="E343">
        <v>5</v>
      </c>
      <c r="H343">
        <v>163</v>
      </c>
      <c r="I343" t="s">
        <v>114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"06:12:47.602"</f>
        <v>06:12:47.602</v>
      </c>
      <c r="T343" t="str">
        <f>"06:12:47.202"</f>
        <v>06:12:47.202</v>
      </c>
      <c r="U343" t="str">
        <f t="shared" si="16"/>
        <v>A7E2E0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347</v>
      </c>
      <c r="AJ343">
        <v>39.143965000000001</v>
      </c>
      <c r="AK343" t="s">
        <v>348</v>
      </c>
      <c r="AL343">
        <v>-87.459282999999999</v>
      </c>
      <c r="AM343">
        <v>100</v>
      </c>
      <c r="AN343">
        <v>1700</v>
      </c>
      <c r="AO343" t="s">
        <v>118</v>
      </c>
      <c r="AP343">
        <v>-108</v>
      </c>
      <c r="AQ343">
        <v>63</v>
      </c>
      <c r="AR343">
        <v>704</v>
      </c>
      <c r="AZ343">
        <v>4552</v>
      </c>
      <c r="BA343">
        <v>1</v>
      </c>
      <c r="BB343" t="str">
        <f t="shared" si="17"/>
        <v xml:space="preserve">N607SR  </v>
      </c>
      <c r="BC343">
        <v>1</v>
      </c>
      <c r="BE343">
        <v>0</v>
      </c>
      <c r="BF343">
        <v>0</v>
      </c>
      <c r="BG343">
        <v>0</v>
      </c>
      <c r="BH343">
        <v>1425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"06:12:47.606"</f>
        <v>06:12:47.606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457</v>
      </c>
      <c r="CR343">
        <v>0</v>
      </c>
      <c r="CW343">
        <v>15510730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"08/29/2020 06:12:44.909"</f>
        <v>08/29/2020 06:12:44.909</v>
      </c>
      <c r="C344" t="str">
        <f t="shared" si="15"/>
        <v>FFDFD3C0</v>
      </c>
      <c r="D344" t="s">
        <v>121</v>
      </c>
      <c r="E344">
        <v>13</v>
      </c>
      <c r="F344">
        <v>1013</v>
      </c>
      <c r="G344" t="s">
        <v>122</v>
      </c>
      <c r="J344" t="s">
        <v>123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"06:12:48.141"</f>
        <v>06:12:48.141</v>
      </c>
      <c r="T344" t="str">
        <f>"06:12:47.641"</f>
        <v>06:12:47.641</v>
      </c>
      <c r="U344" t="str">
        <f t="shared" si="16"/>
        <v>A7E2E0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349</v>
      </c>
      <c r="AJ344">
        <v>39.144050999999997</v>
      </c>
      <c r="AK344" t="s">
        <v>350</v>
      </c>
      <c r="AL344">
        <v>-87.459648000000001</v>
      </c>
      <c r="AM344">
        <v>100</v>
      </c>
      <c r="AN344">
        <v>1700</v>
      </c>
      <c r="AO344" t="s">
        <v>118</v>
      </c>
      <c r="AP344">
        <v>-110</v>
      </c>
      <c r="AQ344">
        <v>59</v>
      </c>
      <c r="AR344">
        <v>704</v>
      </c>
      <c r="AZ344">
        <v>4552</v>
      </c>
      <c r="BA344">
        <v>1</v>
      </c>
      <c r="BB344" t="str">
        <f t="shared" si="17"/>
        <v xml:space="preserve">N607SR  </v>
      </c>
      <c r="BC344">
        <v>1</v>
      </c>
      <c r="BE344">
        <v>0</v>
      </c>
      <c r="BF344">
        <v>0</v>
      </c>
      <c r="BG344">
        <v>0</v>
      </c>
      <c r="BH344">
        <v>1425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"06:12:48.145"</f>
        <v>06:12:48.145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457</v>
      </c>
      <c r="CR344">
        <v>0</v>
      </c>
      <c r="CW344">
        <v>15510749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"08/29/2020 06:12:44.909"</f>
        <v>08/29/2020 06:12:44.909</v>
      </c>
      <c r="C345" t="str">
        <f t="shared" si="15"/>
        <v>FFDFD3C0</v>
      </c>
      <c r="D345" t="s">
        <v>121</v>
      </c>
      <c r="E345">
        <v>10</v>
      </c>
      <c r="F345">
        <v>1010</v>
      </c>
      <c r="G345" t="s">
        <v>114</v>
      </c>
      <c r="J345" t="s">
        <v>123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"06:12:48.141"</f>
        <v>06:12:48.141</v>
      </c>
      <c r="T345" t="str">
        <f>"06:12:47.641"</f>
        <v>06:12:47.641</v>
      </c>
      <c r="U345" t="str">
        <f t="shared" si="16"/>
        <v>A7E2E0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349</v>
      </c>
      <c r="AJ345">
        <v>39.144050999999997</v>
      </c>
      <c r="AK345" t="s">
        <v>350</v>
      </c>
      <c r="AL345">
        <v>-87.459648000000001</v>
      </c>
      <c r="AM345">
        <v>100</v>
      </c>
      <c r="AN345">
        <v>1700</v>
      </c>
      <c r="AO345" t="s">
        <v>118</v>
      </c>
      <c r="AP345">
        <v>-110</v>
      </c>
      <c r="AQ345">
        <v>59</v>
      </c>
      <c r="AR345">
        <v>704</v>
      </c>
      <c r="AZ345">
        <v>4552</v>
      </c>
      <c r="BA345">
        <v>1</v>
      </c>
      <c r="BB345" t="str">
        <f t="shared" si="17"/>
        <v xml:space="preserve">N607SR  </v>
      </c>
      <c r="BC345">
        <v>1</v>
      </c>
      <c r="BE345">
        <v>0</v>
      </c>
      <c r="BF345">
        <v>0</v>
      </c>
      <c r="BG345">
        <v>0</v>
      </c>
      <c r="BH345">
        <v>1425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"06:12:48.145"</f>
        <v>06:12:48.145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457</v>
      </c>
      <c r="CR345">
        <v>0</v>
      </c>
      <c r="CW345">
        <v>15510749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"08/29/2020 06:12:44.909"</f>
        <v>08/29/2020 06:12:44.909</v>
      </c>
      <c r="C346" t="str">
        <f t="shared" si="15"/>
        <v>FFDFD3C0</v>
      </c>
      <c r="D346" t="s">
        <v>121</v>
      </c>
      <c r="E346">
        <v>11</v>
      </c>
      <c r="F346">
        <v>1011</v>
      </c>
      <c r="G346" t="s">
        <v>125</v>
      </c>
      <c r="J346" t="s">
        <v>123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"06:12:48.141"</f>
        <v>06:12:48.141</v>
      </c>
      <c r="T346" t="str">
        <f>"06:12:47.641"</f>
        <v>06:12:47.641</v>
      </c>
      <c r="U346" t="str">
        <f t="shared" si="16"/>
        <v>A7E2E0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349</v>
      </c>
      <c r="AJ346">
        <v>39.144050999999997</v>
      </c>
      <c r="AK346" t="s">
        <v>350</v>
      </c>
      <c r="AL346">
        <v>-87.459648000000001</v>
      </c>
      <c r="AM346">
        <v>100</v>
      </c>
      <c r="AN346">
        <v>1700</v>
      </c>
      <c r="AO346" t="s">
        <v>118</v>
      </c>
      <c r="AP346">
        <v>-110</v>
      </c>
      <c r="AQ346">
        <v>59</v>
      </c>
      <c r="AR346">
        <v>704</v>
      </c>
      <c r="AZ346">
        <v>4552</v>
      </c>
      <c r="BA346">
        <v>1</v>
      </c>
      <c r="BB346" t="str">
        <f t="shared" si="17"/>
        <v xml:space="preserve">N607SR  </v>
      </c>
      <c r="BC346">
        <v>1</v>
      </c>
      <c r="BE346">
        <v>0</v>
      </c>
      <c r="BF346">
        <v>0</v>
      </c>
      <c r="BG346">
        <v>0</v>
      </c>
      <c r="BH346">
        <v>1425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"06:12:48.145"</f>
        <v>06:12:48.145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457</v>
      </c>
      <c r="CR346">
        <v>0</v>
      </c>
      <c r="CW346">
        <v>15510749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"08/29/2020 06:12:45.434"</f>
        <v>08/29/2020 06:12:45.434</v>
      </c>
      <c r="C347" t="str">
        <f t="shared" si="15"/>
        <v>FFDFD3C0</v>
      </c>
      <c r="D347" t="s">
        <v>113</v>
      </c>
      <c r="E347">
        <v>5</v>
      </c>
      <c r="H347">
        <v>163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"06:12:48.602"</f>
        <v>06:12:48.602</v>
      </c>
      <c r="T347" t="str">
        <f>"06:12:48.202"</f>
        <v>06:12:48.202</v>
      </c>
      <c r="U347" t="str">
        <f t="shared" si="16"/>
        <v>A7E2E0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351</v>
      </c>
      <c r="AJ347">
        <v>39.144201000000002</v>
      </c>
      <c r="AK347" t="s">
        <v>352</v>
      </c>
      <c r="AL347">
        <v>-87.459969999999998</v>
      </c>
      <c r="AM347">
        <v>100</v>
      </c>
      <c r="AN347">
        <v>1700</v>
      </c>
      <c r="AO347" t="s">
        <v>118</v>
      </c>
      <c r="AP347">
        <v>-111</v>
      </c>
      <c r="AQ347">
        <v>57</v>
      </c>
      <c r="AR347">
        <v>768</v>
      </c>
      <c r="AZ347">
        <v>4552</v>
      </c>
      <c r="BA347">
        <v>1</v>
      </c>
      <c r="BB347" t="str">
        <f t="shared" si="17"/>
        <v xml:space="preserve">N607SR  </v>
      </c>
      <c r="BC347">
        <v>1</v>
      </c>
      <c r="BE347">
        <v>0</v>
      </c>
      <c r="BF347">
        <v>0</v>
      </c>
      <c r="BG347">
        <v>0</v>
      </c>
      <c r="BH347">
        <v>1425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"06:12:48.605"</f>
        <v>06:12:48.605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457</v>
      </c>
      <c r="CR347">
        <v>0</v>
      </c>
      <c r="CW347">
        <v>15510757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"08/29/2020 06:12:45.434"</f>
        <v>08/29/2020 06:12:45.434</v>
      </c>
      <c r="C348" t="str">
        <f t="shared" si="15"/>
        <v>FFDFD3C0</v>
      </c>
      <c r="D348" t="s">
        <v>128</v>
      </c>
      <c r="E348">
        <v>5</v>
      </c>
      <c r="H348">
        <v>241</v>
      </c>
      <c r="I348" t="s">
        <v>129</v>
      </c>
      <c r="J348" t="s">
        <v>130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"06:12:48.602"</f>
        <v>06:12:48.602</v>
      </c>
      <c r="T348" t="str">
        <f>"06:12:48.202"</f>
        <v>06:12:48.202</v>
      </c>
      <c r="U348" t="str">
        <f t="shared" si="16"/>
        <v>A7E2E0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351</v>
      </c>
      <c r="AJ348">
        <v>39.144201000000002</v>
      </c>
      <c r="AK348" t="s">
        <v>352</v>
      </c>
      <c r="AL348">
        <v>-87.459969999999998</v>
      </c>
      <c r="AM348">
        <v>100</v>
      </c>
      <c r="AN348">
        <v>1700</v>
      </c>
      <c r="AO348" t="s">
        <v>118</v>
      </c>
      <c r="AP348">
        <v>-111</v>
      </c>
      <c r="AQ348">
        <v>57</v>
      </c>
      <c r="AR348">
        <v>768</v>
      </c>
      <c r="AZ348">
        <v>4552</v>
      </c>
      <c r="BA348">
        <v>1</v>
      </c>
      <c r="BB348" t="str">
        <f t="shared" si="17"/>
        <v xml:space="preserve">N607SR  </v>
      </c>
      <c r="BC348">
        <v>1</v>
      </c>
      <c r="BE348">
        <v>0</v>
      </c>
      <c r="BF348">
        <v>0</v>
      </c>
      <c r="BG348">
        <v>0</v>
      </c>
      <c r="BH348">
        <v>1425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"06:12:48.605"</f>
        <v>06:12:48.605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457</v>
      </c>
      <c r="CR348">
        <v>0</v>
      </c>
      <c r="CW348">
        <v>15510757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"08/29/2020 06:12:45.821"</f>
        <v>08/29/2020 06:12:45.821</v>
      </c>
      <c r="C349" t="str">
        <f t="shared" si="15"/>
        <v>FFDFD3C0</v>
      </c>
      <c r="D349" t="s">
        <v>121</v>
      </c>
      <c r="E349">
        <v>13</v>
      </c>
      <c r="F349">
        <v>1013</v>
      </c>
      <c r="G349" t="s">
        <v>122</v>
      </c>
      <c r="J349" t="s">
        <v>123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"06:12:49.031"</f>
        <v>06:12:49.031</v>
      </c>
      <c r="T349" t="str">
        <f>"06:12:48.631"</f>
        <v>06:12:48.631</v>
      </c>
      <c r="U349" t="str">
        <f t="shared" si="16"/>
        <v>A7E2E0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353</v>
      </c>
      <c r="AJ349">
        <v>39.144286999999998</v>
      </c>
      <c r="AK349" t="s">
        <v>354</v>
      </c>
      <c r="AL349">
        <v>-87.460269999999994</v>
      </c>
      <c r="AM349">
        <v>100</v>
      </c>
      <c r="AN349">
        <v>1700</v>
      </c>
      <c r="AO349" t="s">
        <v>118</v>
      </c>
      <c r="AP349">
        <v>-113</v>
      </c>
      <c r="AQ349">
        <v>53</v>
      </c>
      <c r="AR349">
        <v>768</v>
      </c>
      <c r="AZ349">
        <v>4552</v>
      </c>
      <c r="BA349">
        <v>1</v>
      </c>
      <c r="BB349" t="str">
        <f t="shared" si="17"/>
        <v xml:space="preserve">N607SR  </v>
      </c>
      <c r="BC349">
        <v>1</v>
      </c>
      <c r="BE349">
        <v>0</v>
      </c>
      <c r="BF349">
        <v>0</v>
      </c>
      <c r="BG349">
        <v>0</v>
      </c>
      <c r="BH349">
        <v>1425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"06:12:49.036"</f>
        <v>06:12:49.036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457</v>
      </c>
      <c r="CR349">
        <v>0</v>
      </c>
      <c r="CW349">
        <v>15510772</v>
      </c>
      <c r="CY349">
        <v>1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"08/29/2020 06:12:45.821"</f>
        <v>08/29/2020 06:12:45.821</v>
      </c>
      <c r="C350" t="str">
        <f t="shared" si="15"/>
        <v>FFDFD3C0</v>
      </c>
      <c r="D350" t="s">
        <v>121</v>
      </c>
      <c r="E350">
        <v>10</v>
      </c>
      <c r="F350">
        <v>1010</v>
      </c>
      <c r="G350" t="s">
        <v>114</v>
      </c>
      <c r="J350" t="s">
        <v>123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"06:12:49.031"</f>
        <v>06:12:49.031</v>
      </c>
      <c r="T350" t="str">
        <f>"06:12:48.631"</f>
        <v>06:12:48.631</v>
      </c>
      <c r="U350" t="str">
        <f t="shared" si="16"/>
        <v>A7E2E0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353</v>
      </c>
      <c r="AJ350">
        <v>39.144286999999998</v>
      </c>
      <c r="AK350" t="s">
        <v>354</v>
      </c>
      <c r="AL350">
        <v>-87.460269999999994</v>
      </c>
      <c r="AM350">
        <v>100</v>
      </c>
      <c r="AN350">
        <v>1700</v>
      </c>
      <c r="AO350" t="s">
        <v>118</v>
      </c>
      <c r="AP350">
        <v>-113</v>
      </c>
      <c r="AQ350">
        <v>53</v>
      </c>
      <c r="AR350">
        <v>768</v>
      </c>
      <c r="AZ350">
        <v>4552</v>
      </c>
      <c r="BA350">
        <v>1</v>
      </c>
      <c r="BB350" t="str">
        <f t="shared" si="17"/>
        <v xml:space="preserve">N607SR  </v>
      </c>
      <c r="BC350">
        <v>1</v>
      </c>
      <c r="BE350">
        <v>0</v>
      </c>
      <c r="BF350">
        <v>0</v>
      </c>
      <c r="BG350">
        <v>0</v>
      </c>
      <c r="BH350">
        <v>1425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"06:12:49.036"</f>
        <v>06:12:49.036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457</v>
      </c>
      <c r="CR350">
        <v>0</v>
      </c>
      <c r="CW350">
        <v>15510772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"08/29/2020 06:12:45.821"</f>
        <v>08/29/2020 06:12:45.821</v>
      </c>
      <c r="C351" t="str">
        <f t="shared" si="15"/>
        <v>FFDFD3C0</v>
      </c>
      <c r="D351" t="s">
        <v>121</v>
      </c>
      <c r="E351">
        <v>11</v>
      </c>
      <c r="F351">
        <v>1011</v>
      </c>
      <c r="G351" t="s">
        <v>125</v>
      </c>
      <c r="J351" t="s">
        <v>123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"06:12:49.031"</f>
        <v>06:12:49.031</v>
      </c>
      <c r="T351" t="str">
        <f>"06:12:48.631"</f>
        <v>06:12:48.631</v>
      </c>
      <c r="U351" t="str">
        <f t="shared" si="16"/>
        <v>A7E2E0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353</v>
      </c>
      <c r="AJ351">
        <v>39.144286999999998</v>
      </c>
      <c r="AK351" t="s">
        <v>354</v>
      </c>
      <c r="AL351">
        <v>-87.460269999999994</v>
      </c>
      <c r="AM351">
        <v>100</v>
      </c>
      <c r="AN351">
        <v>1700</v>
      </c>
      <c r="AO351" t="s">
        <v>118</v>
      </c>
      <c r="AP351">
        <v>-113</v>
      </c>
      <c r="AQ351">
        <v>53</v>
      </c>
      <c r="AR351">
        <v>768</v>
      </c>
      <c r="AZ351">
        <v>4552</v>
      </c>
      <c r="BA351">
        <v>1</v>
      </c>
      <c r="BB351" t="str">
        <f t="shared" si="17"/>
        <v xml:space="preserve">N607SR  </v>
      </c>
      <c r="BC351">
        <v>1</v>
      </c>
      <c r="BE351">
        <v>0</v>
      </c>
      <c r="BF351">
        <v>0</v>
      </c>
      <c r="BG351">
        <v>0</v>
      </c>
      <c r="BH351">
        <v>1425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"06:12:49.036"</f>
        <v>06:12:49.036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457</v>
      </c>
      <c r="CR351">
        <v>0</v>
      </c>
      <c r="CW351">
        <v>15510772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"08/29/2020 06:12:46.393"</f>
        <v>08/29/2020 06:12:46.393</v>
      </c>
      <c r="C352" t="str">
        <f t="shared" si="15"/>
        <v>FFDFD3C0</v>
      </c>
      <c r="D352" t="s">
        <v>128</v>
      </c>
      <c r="E352">
        <v>5</v>
      </c>
      <c r="H352">
        <v>241</v>
      </c>
      <c r="I352" t="s">
        <v>129</v>
      </c>
      <c r="J352" t="s">
        <v>130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"06:12:49.617"</f>
        <v>06:12:49.617</v>
      </c>
      <c r="T352" t="str">
        <f>"06:12:49.117"</f>
        <v>06:12:49.117</v>
      </c>
      <c r="U352" t="str">
        <f t="shared" si="16"/>
        <v>A7E2E0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355</v>
      </c>
      <c r="AJ352">
        <v>39.144437000000003</v>
      </c>
      <c r="AK352" t="s">
        <v>356</v>
      </c>
      <c r="AL352">
        <v>-87.460699000000005</v>
      </c>
      <c r="AM352">
        <v>100</v>
      </c>
      <c r="AN352">
        <v>1700</v>
      </c>
      <c r="AO352" t="s">
        <v>118</v>
      </c>
      <c r="AP352">
        <v>-114</v>
      </c>
      <c r="AQ352">
        <v>50</v>
      </c>
      <c r="AR352">
        <v>832</v>
      </c>
      <c r="AZ352">
        <v>4552</v>
      </c>
      <c r="BA352">
        <v>1</v>
      </c>
      <c r="BB352" t="str">
        <f t="shared" si="17"/>
        <v xml:space="preserve">N607SR  </v>
      </c>
      <c r="BC352">
        <v>1</v>
      </c>
      <c r="BE352">
        <v>0</v>
      </c>
      <c r="BF352">
        <v>0</v>
      </c>
      <c r="BG352">
        <v>0</v>
      </c>
      <c r="BH352">
        <v>1450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"06:12:49.623"</f>
        <v>06:12:49.623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457</v>
      </c>
      <c r="CR352">
        <v>0</v>
      </c>
      <c r="CW352">
        <v>15510786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"08/29/2020 06:12:46.393"</f>
        <v>08/29/2020 06:12:46.393</v>
      </c>
      <c r="C353" t="str">
        <f t="shared" si="15"/>
        <v>FFDFD3C0</v>
      </c>
      <c r="D353" t="s">
        <v>113</v>
      </c>
      <c r="E353">
        <v>5</v>
      </c>
      <c r="H353">
        <v>163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"06:12:49.617"</f>
        <v>06:12:49.617</v>
      </c>
      <c r="T353" t="str">
        <f>"06:12:49.117"</f>
        <v>06:12:49.117</v>
      </c>
      <c r="U353" t="str">
        <f t="shared" si="16"/>
        <v>A7E2E0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355</v>
      </c>
      <c r="AJ353">
        <v>39.144437000000003</v>
      </c>
      <c r="AK353" t="s">
        <v>356</v>
      </c>
      <c r="AL353">
        <v>-87.460699000000005</v>
      </c>
      <c r="AM353">
        <v>100</v>
      </c>
      <c r="AN353">
        <v>1700</v>
      </c>
      <c r="AO353" t="s">
        <v>118</v>
      </c>
      <c r="AP353">
        <v>-114</v>
      </c>
      <c r="AQ353">
        <v>50</v>
      </c>
      <c r="AR353">
        <v>832</v>
      </c>
      <c r="AZ353">
        <v>4552</v>
      </c>
      <c r="BA353">
        <v>1</v>
      </c>
      <c r="BB353" t="str">
        <f t="shared" si="17"/>
        <v xml:space="preserve">N607SR  </v>
      </c>
      <c r="BC353">
        <v>1</v>
      </c>
      <c r="BE353">
        <v>0</v>
      </c>
      <c r="BF353">
        <v>0</v>
      </c>
      <c r="BG353">
        <v>0</v>
      </c>
      <c r="BH353">
        <v>1450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"06:12:49.623"</f>
        <v>06:12:49.623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457</v>
      </c>
      <c r="CR353">
        <v>0</v>
      </c>
      <c r="CW353">
        <v>15510786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"08/29/2020 06:12:46.987"</f>
        <v>08/29/2020 06:12:46.987</v>
      </c>
      <c r="C354" t="str">
        <f t="shared" si="15"/>
        <v>FFDFD3C0</v>
      </c>
      <c r="D354" t="s">
        <v>121</v>
      </c>
      <c r="E354">
        <v>13</v>
      </c>
      <c r="F354">
        <v>1013</v>
      </c>
      <c r="G354" t="s">
        <v>122</v>
      </c>
      <c r="J354" t="s">
        <v>123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"06:12:50.203"</f>
        <v>06:12:50.203</v>
      </c>
      <c r="T354" t="str">
        <f>"06:12:49.703"</f>
        <v>06:12:49.703</v>
      </c>
      <c r="U354" t="str">
        <f t="shared" si="16"/>
        <v>A7E2E0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357</v>
      </c>
      <c r="AJ354">
        <v>39.144523</v>
      </c>
      <c r="AK354" t="s">
        <v>358</v>
      </c>
      <c r="AL354">
        <v>-87.461063999999993</v>
      </c>
      <c r="AM354">
        <v>100</v>
      </c>
      <c r="AN354">
        <v>1700</v>
      </c>
      <c r="AO354" t="s">
        <v>118</v>
      </c>
      <c r="AP354">
        <v>-116</v>
      </c>
      <c r="AQ354">
        <v>45</v>
      </c>
      <c r="AR354">
        <v>832</v>
      </c>
      <c r="AZ354">
        <v>4552</v>
      </c>
      <c r="BA354">
        <v>1</v>
      </c>
      <c r="BB354" t="str">
        <f t="shared" si="17"/>
        <v xml:space="preserve">N607SR  </v>
      </c>
      <c r="BC354">
        <v>1</v>
      </c>
      <c r="BE354">
        <v>0</v>
      </c>
      <c r="BF354">
        <v>0</v>
      </c>
      <c r="BG354">
        <v>0</v>
      </c>
      <c r="BH354">
        <v>1450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"06:12:50.208"</f>
        <v>06:12:50.208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457</v>
      </c>
      <c r="CR354">
        <v>0</v>
      </c>
      <c r="CW354">
        <v>15510805</v>
      </c>
      <c r="CY354">
        <v>1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"08/29/2020 06:12:46.987"</f>
        <v>08/29/2020 06:12:46.987</v>
      </c>
      <c r="C355" t="str">
        <f t="shared" si="15"/>
        <v>FFDFD3C0</v>
      </c>
      <c r="D355" t="s">
        <v>121</v>
      </c>
      <c r="E355">
        <v>10</v>
      </c>
      <c r="F355">
        <v>1010</v>
      </c>
      <c r="G355" t="s">
        <v>114</v>
      </c>
      <c r="J355" t="s">
        <v>123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"06:12:50.203"</f>
        <v>06:12:50.203</v>
      </c>
      <c r="T355" t="str">
        <f>"06:12:49.703"</f>
        <v>06:12:49.703</v>
      </c>
      <c r="U355" t="str">
        <f t="shared" si="16"/>
        <v>A7E2E0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357</v>
      </c>
      <c r="AJ355">
        <v>39.144523</v>
      </c>
      <c r="AK355" t="s">
        <v>358</v>
      </c>
      <c r="AL355">
        <v>-87.461063999999993</v>
      </c>
      <c r="AM355">
        <v>100</v>
      </c>
      <c r="AN355">
        <v>1700</v>
      </c>
      <c r="AO355" t="s">
        <v>118</v>
      </c>
      <c r="AP355">
        <v>-116</v>
      </c>
      <c r="AQ355">
        <v>45</v>
      </c>
      <c r="AR355">
        <v>832</v>
      </c>
      <c r="AZ355">
        <v>4552</v>
      </c>
      <c r="BA355">
        <v>1</v>
      </c>
      <c r="BB355" t="str">
        <f t="shared" si="17"/>
        <v xml:space="preserve">N607SR  </v>
      </c>
      <c r="BC355">
        <v>1</v>
      </c>
      <c r="BE355">
        <v>0</v>
      </c>
      <c r="BF355">
        <v>0</v>
      </c>
      <c r="BG355">
        <v>0</v>
      </c>
      <c r="BH355">
        <v>1450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"06:12:50.208"</f>
        <v>06:12:50.208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457</v>
      </c>
      <c r="CR355">
        <v>0</v>
      </c>
      <c r="CW355">
        <v>15510805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"08/29/2020 06:12:46.987"</f>
        <v>08/29/2020 06:12:46.987</v>
      </c>
      <c r="C356" t="str">
        <f t="shared" si="15"/>
        <v>FFDFD3C0</v>
      </c>
      <c r="D356" t="s">
        <v>121</v>
      </c>
      <c r="E356">
        <v>11</v>
      </c>
      <c r="F356">
        <v>1011</v>
      </c>
      <c r="G356" t="s">
        <v>125</v>
      </c>
      <c r="J356" t="s">
        <v>123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"06:12:50.203"</f>
        <v>06:12:50.203</v>
      </c>
      <c r="T356" t="str">
        <f>"06:12:49.703"</f>
        <v>06:12:49.703</v>
      </c>
      <c r="U356" t="str">
        <f t="shared" si="16"/>
        <v>A7E2E0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357</v>
      </c>
      <c r="AJ356">
        <v>39.144523</v>
      </c>
      <c r="AK356" t="s">
        <v>358</v>
      </c>
      <c r="AL356">
        <v>-87.461063999999993</v>
      </c>
      <c r="AM356">
        <v>100</v>
      </c>
      <c r="AN356">
        <v>1700</v>
      </c>
      <c r="AO356" t="s">
        <v>118</v>
      </c>
      <c r="AP356">
        <v>-116</v>
      </c>
      <c r="AQ356">
        <v>45</v>
      </c>
      <c r="AR356">
        <v>832</v>
      </c>
      <c r="AZ356">
        <v>4552</v>
      </c>
      <c r="BA356">
        <v>1</v>
      </c>
      <c r="BB356" t="str">
        <f t="shared" si="17"/>
        <v xml:space="preserve">N607SR  </v>
      </c>
      <c r="BC356">
        <v>1</v>
      </c>
      <c r="BE356">
        <v>0</v>
      </c>
      <c r="BF356">
        <v>0</v>
      </c>
      <c r="BG356">
        <v>0</v>
      </c>
      <c r="BH356">
        <v>1450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"06:12:50.208"</f>
        <v>06:12:50.208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457</v>
      </c>
      <c r="CR356">
        <v>0</v>
      </c>
      <c r="CW356">
        <v>15510805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"08/29/2020 06:12:47.507"</f>
        <v>08/29/2020 06:12:47.507</v>
      </c>
      <c r="C357" t="str">
        <f t="shared" si="15"/>
        <v>FFDFD3C0</v>
      </c>
      <c r="D357" t="s">
        <v>128</v>
      </c>
      <c r="E357">
        <v>5</v>
      </c>
      <c r="H357">
        <v>241</v>
      </c>
      <c r="I357" t="s">
        <v>129</v>
      </c>
      <c r="J357" t="s">
        <v>130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"06:12:50.703"</f>
        <v>06:12:50.703</v>
      </c>
      <c r="T357" t="str">
        <f>"06:12:50.303"</f>
        <v>06:12:50.303</v>
      </c>
      <c r="U357" t="str">
        <f t="shared" si="16"/>
        <v>A7E2E0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359</v>
      </c>
      <c r="AJ357">
        <v>39.144609000000003</v>
      </c>
      <c r="AK357" t="s">
        <v>360</v>
      </c>
      <c r="AL357">
        <v>-87.461449999999999</v>
      </c>
      <c r="AM357">
        <v>100</v>
      </c>
      <c r="AN357">
        <v>1700</v>
      </c>
      <c r="AO357" t="s">
        <v>118</v>
      </c>
      <c r="AP357">
        <v>-118</v>
      </c>
      <c r="AQ357">
        <v>41</v>
      </c>
      <c r="AR357">
        <v>832</v>
      </c>
      <c r="AZ357">
        <v>4552</v>
      </c>
      <c r="BA357">
        <v>1</v>
      </c>
      <c r="BB357" t="str">
        <f t="shared" si="17"/>
        <v xml:space="preserve">N607SR  </v>
      </c>
      <c r="BC357">
        <v>1</v>
      </c>
      <c r="BE357">
        <v>0</v>
      </c>
      <c r="BF357">
        <v>0</v>
      </c>
      <c r="BG357">
        <v>0</v>
      </c>
      <c r="BH357">
        <v>1450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"06:12:50.706"</f>
        <v>06:12:50.706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457</v>
      </c>
      <c r="CR357">
        <v>0</v>
      </c>
      <c r="CW357">
        <v>15510816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"08/29/2020 06:12:47.507"</f>
        <v>08/29/2020 06:12:47.507</v>
      </c>
      <c r="C358" t="str">
        <f t="shared" si="15"/>
        <v>FFDFD3C0</v>
      </c>
      <c r="D358" t="s">
        <v>113</v>
      </c>
      <c r="E358">
        <v>5</v>
      </c>
      <c r="H358">
        <v>163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"06:12:50.703"</f>
        <v>06:12:50.703</v>
      </c>
      <c r="T358" t="str">
        <f>"06:12:50.303"</f>
        <v>06:12:50.303</v>
      </c>
      <c r="U358" t="str">
        <f t="shared" si="16"/>
        <v>A7E2E0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359</v>
      </c>
      <c r="AJ358">
        <v>39.144609000000003</v>
      </c>
      <c r="AK358" t="s">
        <v>360</v>
      </c>
      <c r="AL358">
        <v>-87.461449999999999</v>
      </c>
      <c r="AM358">
        <v>100</v>
      </c>
      <c r="AN358">
        <v>1700</v>
      </c>
      <c r="AO358" t="s">
        <v>118</v>
      </c>
      <c r="AP358">
        <v>-118</v>
      </c>
      <c r="AQ358">
        <v>41</v>
      </c>
      <c r="AR358">
        <v>832</v>
      </c>
      <c r="AZ358">
        <v>4552</v>
      </c>
      <c r="BA358">
        <v>1</v>
      </c>
      <c r="BB358" t="str">
        <f t="shared" si="17"/>
        <v xml:space="preserve">N607SR  </v>
      </c>
      <c r="BC358">
        <v>1</v>
      </c>
      <c r="BE358">
        <v>0</v>
      </c>
      <c r="BF358">
        <v>0</v>
      </c>
      <c r="BG358">
        <v>0</v>
      </c>
      <c r="BH358">
        <v>1450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"06:12:50.706"</f>
        <v>06:12:50.706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457</v>
      </c>
      <c r="CR358">
        <v>0</v>
      </c>
      <c r="CW358">
        <v>15510816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"08/29/2020 06:12:47.898"</f>
        <v>08/29/2020 06:12:47.898</v>
      </c>
      <c r="C359" t="str">
        <f t="shared" si="15"/>
        <v>FFDFD3C0</v>
      </c>
      <c r="D359" t="s">
        <v>121</v>
      </c>
      <c r="E359">
        <v>13</v>
      </c>
      <c r="F359">
        <v>1013</v>
      </c>
      <c r="G359" t="s">
        <v>122</v>
      </c>
      <c r="J359" t="s">
        <v>123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"06:12:51.133"</f>
        <v>06:12:51.133</v>
      </c>
      <c r="T359" t="str">
        <f>"06:12:50.733"</f>
        <v>06:12:50.733</v>
      </c>
      <c r="U359" t="str">
        <f t="shared" si="16"/>
        <v>A7E2E0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361</v>
      </c>
      <c r="AJ359">
        <v>39.144694999999999</v>
      </c>
      <c r="AK359" t="s">
        <v>362</v>
      </c>
      <c r="AL359">
        <v>-87.461751000000007</v>
      </c>
      <c r="AM359">
        <v>100</v>
      </c>
      <c r="AN359">
        <v>1700</v>
      </c>
      <c r="AO359" t="s">
        <v>118</v>
      </c>
      <c r="AP359">
        <v>-119</v>
      </c>
      <c r="AQ359">
        <v>37</v>
      </c>
      <c r="AR359">
        <v>896</v>
      </c>
      <c r="AZ359">
        <v>4552</v>
      </c>
      <c r="BA359">
        <v>1</v>
      </c>
      <c r="BB359" t="str">
        <f t="shared" si="17"/>
        <v xml:space="preserve">N607SR  </v>
      </c>
      <c r="BC359">
        <v>1</v>
      </c>
      <c r="BE359">
        <v>0</v>
      </c>
      <c r="BF359">
        <v>0</v>
      </c>
      <c r="BG359">
        <v>0</v>
      </c>
      <c r="BH359">
        <v>1450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"06:12:51.134"</f>
        <v>06:12:51.134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457</v>
      </c>
      <c r="CR359">
        <v>0</v>
      </c>
      <c r="CW359">
        <v>15510831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"08/29/2020 06:12:47.898"</f>
        <v>08/29/2020 06:12:47.898</v>
      </c>
      <c r="C360" t="str">
        <f t="shared" si="15"/>
        <v>FFDFD3C0</v>
      </c>
      <c r="D360" t="s">
        <v>121</v>
      </c>
      <c r="E360">
        <v>10</v>
      </c>
      <c r="F360">
        <v>1010</v>
      </c>
      <c r="G360" t="s">
        <v>114</v>
      </c>
      <c r="J360" t="s">
        <v>123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"06:12:51.133"</f>
        <v>06:12:51.133</v>
      </c>
      <c r="T360" t="str">
        <f>"06:12:50.733"</f>
        <v>06:12:50.733</v>
      </c>
      <c r="U360" t="str">
        <f t="shared" si="16"/>
        <v>A7E2E0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361</v>
      </c>
      <c r="AJ360">
        <v>39.144694999999999</v>
      </c>
      <c r="AK360" t="s">
        <v>362</v>
      </c>
      <c r="AL360">
        <v>-87.461751000000007</v>
      </c>
      <c r="AM360">
        <v>100</v>
      </c>
      <c r="AN360">
        <v>1700</v>
      </c>
      <c r="AO360" t="s">
        <v>118</v>
      </c>
      <c r="AP360">
        <v>-119</v>
      </c>
      <c r="AQ360">
        <v>37</v>
      </c>
      <c r="AR360">
        <v>896</v>
      </c>
      <c r="AZ360">
        <v>4552</v>
      </c>
      <c r="BA360">
        <v>1</v>
      </c>
      <c r="BB360" t="str">
        <f t="shared" si="17"/>
        <v xml:space="preserve">N607SR  </v>
      </c>
      <c r="BC360">
        <v>1</v>
      </c>
      <c r="BE360">
        <v>0</v>
      </c>
      <c r="BF360">
        <v>0</v>
      </c>
      <c r="BG360">
        <v>0</v>
      </c>
      <c r="BH360">
        <v>1450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"06:12:51.134"</f>
        <v>06:12:51.134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457</v>
      </c>
      <c r="CR360">
        <v>0</v>
      </c>
      <c r="CW360">
        <v>15510831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"08/29/2020 06:12:47.898"</f>
        <v>08/29/2020 06:12:47.898</v>
      </c>
      <c r="C361" t="str">
        <f t="shared" si="15"/>
        <v>FFDFD3C0</v>
      </c>
      <c r="D361" t="s">
        <v>121</v>
      </c>
      <c r="E361">
        <v>11</v>
      </c>
      <c r="F361">
        <v>1011</v>
      </c>
      <c r="G361" t="s">
        <v>125</v>
      </c>
      <c r="J361" t="s">
        <v>123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"06:12:51.133"</f>
        <v>06:12:51.133</v>
      </c>
      <c r="T361" t="str">
        <f>"06:12:50.733"</f>
        <v>06:12:50.733</v>
      </c>
      <c r="U361" t="str">
        <f t="shared" si="16"/>
        <v>A7E2E0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361</v>
      </c>
      <c r="AJ361">
        <v>39.144694999999999</v>
      </c>
      <c r="AK361" t="s">
        <v>362</v>
      </c>
      <c r="AL361">
        <v>-87.461751000000007</v>
      </c>
      <c r="AM361">
        <v>100</v>
      </c>
      <c r="AN361">
        <v>1700</v>
      </c>
      <c r="AO361" t="s">
        <v>118</v>
      </c>
      <c r="AP361">
        <v>-119</v>
      </c>
      <c r="AQ361">
        <v>37</v>
      </c>
      <c r="AR361">
        <v>896</v>
      </c>
      <c r="AZ361">
        <v>4552</v>
      </c>
      <c r="BA361">
        <v>1</v>
      </c>
      <c r="BB361" t="str">
        <f t="shared" si="17"/>
        <v xml:space="preserve">N607SR  </v>
      </c>
      <c r="BC361">
        <v>1</v>
      </c>
      <c r="BE361">
        <v>0</v>
      </c>
      <c r="BF361">
        <v>0</v>
      </c>
      <c r="BG361">
        <v>0</v>
      </c>
      <c r="BH361">
        <v>1450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"06:12:51.134"</f>
        <v>06:12:51.134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457</v>
      </c>
      <c r="CR361">
        <v>0</v>
      </c>
      <c r="CW361">
        <v>15510831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"08/29/2020 06:12:48.366"</f>
        <v>08/29/2020 06:12:48.366</v>
      </c>
      <c r="C362" t="str">
        <f t="shared" si="15"/>
        <v>FFDFD3C0</v>
      </c>
      <c r="D362" t="s">
        <v>128</v>
      </c>
      <c r="E362">
        <v>5</v>
      </c>
      <c r="H362">
        <v>241</v>
      </c>
      <c r="I362" t="s">
        <v>129</v>
      </c>
      <c r="J362" t="s">
        <v>130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"06:12:51.539"</f>
        <v>06:12:51.539</v>
      </c>
      <c r="T362" t="str">
        <f>"06:12:51.139"</f>
        <v>06:12:51.139</v>
      </c>
      <c r="U362" t="str">
        <f t="shared" si="16"/>
        <v>A7E2E0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363</v>
      </c>
      <c r="AJ362">
        <v>39.144737999999997</v>
      </c>
      <c r="AK362" t="s">
        <v>364</v>
      </c>
      <c r="AL362">
        <v>-87.462029000000001</v>
      </c>
      <c r="AM362">
        <v>100</v>
      </c>
      <c r="AN362">
        <v>1700</v>
      </c>
      <c r="AO362" t="s">
        <v>118</v>
      </c>
      <c r="AP362">
        <v>-120</v>
      </c>
      <c r="AQ362">
        <v>34</v>
      </c>
      <c r="AR362">
        <v>896</v>
      </c>
      <c r="AZ362">
        <v>4552</v>
      </c>
      <c r="BA362">
        <v>1</v>
      </c>
      <c r="BB362" t="str">
        <f t="shared" si="17"/>
        <v xml:space="preserve">N607SR  </v>
      </c>
      <c r="BC362">
        <v>1</v>
      </c>
      <c r="BE362">
        <v>0</v>
      </c>
      <c r="BF362">
        <v>0</v>
      </c>
      <c r="BG362">
        <v>0</v>
      </c>
      <c r="BH362">
        <v>1475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"06:12:51.542"</f>
        <v>06:12:51.542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457</v>
      </c>
      <c r="CR362">
        <v>0</v>
      </c>
      <c r="CW362">
        <v>15510841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"08/29/2020 06:12:48.366"</f>
        <v>08/29/2020 06:12:48.366</v>
      </c>
      <c r="C363" t="str">
        <f t="shared" si="15"/>
        <v>FFDFD3C0</v>
      </c>
      <c r="D363" t="s">
        <v>113</v>
      </c>
      <c r="E363">
        <v>5</v>
      </c>
      <c r="H363">
        <v>163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"06:12:51.539"</f>
        <v>06:12:51.539</v>
      </c>
      <c r="T363" t="str">
        <f>"06:12:51.139"</f>
        <v>06:12:51.139</v>
      </c>
      <c r="U363" t="str">
        <f t="shared" si="16"/>
        <v>A7E2E0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363</v>
      </c>
      <c r="AJ363">
        <v>39.144737999999997</v>
      </c>
      <c r="AK363" t="s">
        <v>364</v>
      </c>
      <c r="AL363">
        <v>-87.462029000000001</v>
      </c>
      <c r="AM363">
        <v>100</v>
      </c>
      <c r="AN363">
        <v>1700</v>
      </c>
      <c r="AO363" t="s">
        <v>118</v>
      </c>
      <c r="AP363">
        <v>-120</v>
      </c>
      <c r="AQ363">
        <v>34</v>
      </c>
      <c r="AR363">
        <v>896</v>
      </c>
      <c r="AZ363">
        <v>4552</v>
      </c>
      <c r="BA363">
        <v>1</v>
      </c>
      <c r="BB363" t="str">
        <f t="shared" si="17"/>
        <v xml:space="preserve">N607SR  </v>
      </c>
      <c r="BC363">
        <v>1</v>
      </c>
      <c r="BE363">
        <v>0</v>
      </c>
      <c r="BF363">
        <v>0</v>
      </c>
      <c r="BG363">
        <v>0</v>
      </c>
      <c r="BH363">
        <v>1475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"06:12:51.542"</f>
        <v>06:12:51.542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457</v>
      </c>
      <c r="CR363">
        <v>0</v>
      </c>
      <c r="CW363">
        <v>15510841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"08/29/2020 06:12:48.772"</f>
        <v>08/29/2020 06:12:48.772</v>
      </c>
      <c r="C364" t="str">
        <f t="shared" si="15"/>
        <v>FFDFD3C0</v>
      </c>
      <c r="D364" t="s">
        <v>121</v>
      </c>
      <c r="E364">
        <v>10</v>
      </c>
      <c r="F364">
        <v>1010</v>
      </c>
      <c r="G364" t="s">
        <v>114</v>
      </c>
      <c r="J364" t="s">
        <v>123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"06:12:51.977"</f>
        <v>06:12:51.977</v>
      </c>
      <c r="T364" t="str">
        <f>"06:12:51.577"</f>
        <v>06:12:51.577</v>
      </c>
      <c r="U364" t="str">
        <f t="shared" si="16"/>
        <v>A7E2E0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365</v>
      </c>
      <c r="AJ364">
        <v>39.144781000000002</v>
      </c>
      <c r="AK364" t="s">
        <v>366</v>
      </c>
      <c r="AL364">
        <v>-87.462287000000003</v>
      </c>
      <c r="AM364">
        <v>100</v>
      </c>
      <c r="AN364">
        <v>1700</v>
      </c>
      <c r="AO364" t="s">
        <v>118</v>
      </c>
      <c r="AP364">
        <v>-121</v>
      </c>
      <c r="AQ364">
        <v>30</v>
      </c>
      <c r="AR364">
        <v>896</v>
      </c>
      <c r="AZ364">
        <v>4552</v>
      </c>
      <c r="BA364">
        <v>1</v>
      </c>
      <c r="BB364" t="str">
        <f t="shared" si="17"/>
        <v xml:space="preserve">N607SR  </v>
      </c>
      <c r="BC364">
        <v>1</v>
      </c>
      <c r="BE364">
        <v>0</v>
      </c>
      <c r="BF364">
        <v>0</v>
      </c>
      <c r="BG364">
        <v>0</v>
      </c>
      <c r="BH364">
        <v>1475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"06:12:51.982"</f>
        <v>06:12:51.982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457</v>
      </c>
      <c r="CR364">
        <v>0</v>
      </c>
      <c r="CW364">
        <v>15510856</v>
      </c>
      <c r="CY364">
        <v>1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"08/29/2020 06:12:48.772"</f>
        <v>08/29/2020 06:12:48.772</v>
      </c>
      <c r="C365" t="str">
        <f t="shared" si="15"/>
        <v>FFDFD3C0</v>
      </c>
      <c r="D365" t="s">
        <v>121</v>
      </c>
      <c r="E365">
        <v>11</v>
      </c>
      <c r="F365">
        <v>1011</v>
      </c>
      <c r="G365" t="s">
        <v>125</v>
      </c>
      <c r="J365" t="s">
        <v>123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"06:12:51.977"</f>
        <v>06:12:51.977</v>
      </c>
      <c r="T365" t="str">
        <f>"06:12:51.577"</f>
        <v>06:12:51.577</v>
      </c>
      <c r="U365" t="str">
        <f t="shared" si="16"/>
        <v>A7E2E0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365</v>
      </c>
      <c r="AJ365">
        <v>39.144781000000002</v>
      </c>
      <c r="AK365" t="s">
        <v>366</v>
      </c>
      <c r="AL365">
        <v>-87.462287000000003</v>
      </c>
      <c r="AM365">
        <v>100</v>
      </c>
      <c r="AN365">
        <v>1700</v>
      </c>
      <c r="AO365" t="s">
        <v>118</v>
      </c>
      <c r="AP365">
        <v>-121</v>
      </c>
      <c r="AQ365">
        <v>30</v>
      </c>
      <c r="AR365">
        <v>896</v>
      </c>
      <c r="AZ365">
        <v>4552</v>
      </c>
      <c r="BA365">
        <v>1</v>
      </c>
      <c r="BB365" t="str">
        <f t="shared" si="17"/>
        <v xml:space="preserve">N607SR  </v>
      </c>
      <c r="BC365">
        <v>1</v>
      </c>
      <c r="BE365">
        <v>0</v>
      </c>
      <c r="BF365">
        <v>0</v>
      </c>
      <c r="BG365">
        <v>0</v>
      </c>
      <c r="BH365">
        <v>1475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"06:12:51.982"</f>
        <v>06:12:51.982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457</v>
      </c>
      <c r="CR365">
        <v>0</v>
      </c>
      <c r="CW365">
        <v>15510856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"08/29/2020 06:12:48.772"</f>
        <v>08/29/2020 06:12:48.772</v>
      </c>
      <c r="C366" t="str">
        <f t="shared" si="15"/>
        <v>FFDFD3C0</v>
      </c>
      <c r="D366" t="s">
        <v>121</v>
      </c>
      <c r="E366">
        <v>13</v>
      </c>
      <c r="F366">
        <v>1013</v>
      </c>
      <c r="G366" t="s">
        <v>122</v>
      </c>
      <c r="J366" t="s">
        <v>123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"06:12:51.977"</f>
        <v>06:12:51.977</v>
      </c>
      <c r="T366" t="str">
        <f>"06:12:51.577"</f>
        <v>06:12:51.577</v>
      </c>
      <c r="U366" t="str">
        <f t="shared" si="16"/>
        <v>A7E2E0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365</v>
      </c>
      <c r="AJ366">
        <v>39.144781000000002</v>
      </c>
      <c r="AK366" t="s">
        <v>366</v>
      </c>
      <c r="AL366">
        <v>-87.462287000000003</v>
      </c>
      <c r="AM366">
        <v>100</v>
      </c>
      <c r="AN366">
        <v>1700</v>
      </c>
      <c r="AO366" t="s">
        <v>118</v>
      </c>
      <c r="AP366">
        <v>-121</v>
      </c>
      <c r="AQ366">
        <v>30</v>
      </c>
      <c r="AR366">
        <v>896</v>
      </c>
      <c r="AZ366">
        <v>4552</v>
      </c>
      <c r="BA366">
        <v>1</v>
      </c>
      <c r="BB366" t="str">
        <f t="shared" si="17"/>
        <v xml:space="preserve">N607SR  </v>
      </c>
      <c r="BC366">
        <v>1</v>
      </c>
      <c r="BE366">
        <v>0</v>
      </c>
      <c r="BF366">
        <v>0</v>
      </c>
      <c r="BG366">
        <v>0</v>
      </c>
      <c r="BH366">
        <v>1475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"06:12:51.982"</f>
        <v>06:12:51.982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457</v>
      </c>
      <c r="CR366">
        <v>0</v>
      </c>
      <c r="CW366">
        <v>15510856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"08/29/2020 06:12:49.227"</f>
        <v>08/29/2020 06:12:49.227</v>
      </c>
      <c r="C367" t="str">
        <f t="shared" si="15"/>
        <v>FFDFD3C0</v>
      </c>
      <c r="D367" t="s">
        <v>128</v>
      </c>
      <c r="E367">
        <v>5</v>
      </c>
      <c r="H367">
        <v>241</v>
      </c>
      <c r="I367" t="s">
        <v>129</v>
      </c>
      <c r="J367" t="s">
        <v>130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"06:12:52.438"</f>
        <v>06:12:52.438</v>
      </c>
      <c r="T367" t="str">
        <f>"06:12:52.037"</f>
        <v>06:12:52.037</v>
      </c>
      <c r="U367" t="str">
        <f t="shared" si="16"/>
        <v>A7E2E0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367</v>
      </c>
      <c r="AJ367">
        <v>39.144844999999997</v>
      </c>
      <c r="AK367" t="s">
        <v>368</v>
      </c>
      <c r="AL367">
        <v>-87.462652000000006</v>
      </c>
      <c r="AM367">
        <v>100</v>
      </c>
      <c r="AN367">
        <v>1700</v>
      </c>
      <c r="AO367" t="s">
        <v>118</v>
      </c>
      <c r="AP367">
        <v>-121</v>
      </c>
      <c r="AQ367">
        <v>27</v>
      </c>
      <c r="AR367">
        <v>896</v>
      </c>
      <c r="AZ367">
        <v>4552</v>
      </c>
      <c r="BA367">
        <v>1</v>
      </c>
      <c r="BB367" t="str">
        <f t="shared" si="17"/>
        <v xml:space="preserve">N607SR  </v>
      </c>
      <c r="BC367">
        <v>1</v>
      </c>
      <c r="BE367">
        <v>0</v>
      </c>
      <c r="BF367">
        <v>0</v>
      </c>
      <c r="BG367">
        <v>0</v>
      </c>
      <c r="BH367">
        <v>1475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"06:12:52.441"</f>
        <v>06:12:52.441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457</v>
      </c>
      <c r="CR367">
        <v>0</v>
      </c>
      <c r="CW367">
        <v>15510869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"08/29/2020 06:12:49.227"</f>
        <v>08/29/2020 06:12:49.227</v>
      </c>
      <c r="C368" t="str">
        <f t="shared" si="15"/>
        <v>FFDFD3C0</v>
      </c>
      <c r="D368" t="s">
        <v>113</v>
      </c>
      <c r="E368">
        <v>5</v>
      </c>
      <c r="H368">
        <v>163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"06:12:52.438"</f>
        <v>06:12:52.438</v>
      </c>
      <c r="T368" t="str">
        <f>"06:12:52.037"</f>
        <v>06:12:52.037</v>
      </c>
      <c r="U368" t="str">
        <f t="shared" si="16"/>
        <v>A7E2E0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367</v>
      </c>
      <c r="AJ368">
        <v>39.144844999999997</v>
      </c>
      <c r="AK368" t="s">
        <v>368</v>
      </c>
      <c r="AL368">
        <v>-87.462652000000006</v>
      </c>
      <c r="AM368">
        <v>100</v>
      </c>
      <c r="AN368">
        <v>1700</v>
      </c>
      <c r="AO368" t="s">
        <v>118</v>
      </c>
      <c r="AP368">
        <v>-121</v>
      </c>
      <c r="AQ368">
        <v>27</v>
      </c>
      <c r="AR368">
        <v>896</v>
      </c>
      <c r="AZ368">
        <v>4552</v>
      </c>
      <c r="BA368">
        <v>1</v>
      </c>
      <c r="BB368" t="str">
        <f t="shared" si="17"/>
        <v xml:space="preserve">N607SR  </v>
      </c>
      <c r="BC368">
        <v>1</v>
      </c>
      <c r="BE368">
        <v>0</v>
      </c>
      <c r="BF368">
        <v>0</v>
      </c>
      <c r="BG368">
        <v>0</v>
      </c>
      <c r="BH368">
        <v>1475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"06:12:52.441"</f>
        <v>06:12:52.441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457</v>
      </c>
      <c r="CR368">
        <v>0</v>
      </c>
      <c r="CW368">
        <v>15510869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"08/29/2020 06:12:49.722"</f>
        <v>08/29/2020 06:12:49.722</v>
      </c>
      <c r="C369" t="str">
        <f t="shared" si="15"/>
        <v>FFDFD3C0</v>
      </c>
      <c r="D369" t="s">
        <v>121</v>
      </c>
      <c r="E369">
        <v>13</v>
      </c>
      <c r="F369">
        <v>1013</v>
      </c>
      <c r="G369" t="s">
        <v>122</v>
      </c>
      <c r="J369" t="s">
        <v>123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"06:12:52.953"</f>
        <v>06:12:52.953</v>
      </c>
      <c r="U369" t="str">
        <f t="shared" si="16"/>
        <v>A7E2E0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369</v>
      </c>
      <c r="AJ369">
        <v>39.144888000000002</v>
      </c>
      <c r="AK369" t="s">
        <v>370</v>
      </c>
      <c r="AL369">
        <v>-87.463059000000001</v>
      </c>
      <c r="AM369">
        <v>100</v>
      </c>
      <c r="AN369">
        <v>1700</v>
      </c>
      <c r="AO369" t="s">
        <v>118</v>
      </c>
      <c r="AP369">
        <v>-123</v>
      </c>
      <c r="AQ369">
        <v>17</v>
      </c>
      <c r="AR369">
        <v>896</v>
      </c>
      <c r="AZ369">
        <v>4552</v>
      </c>
      <c r="BA369">
        <v>1</v>
      </c>
      <c r="BB369" t="str">
        <f t="shared" si="17"/>
        <v xml:space="preserve">N607SR  </v>
      </c>
      <c r="BC369">
        <v>1</v>
      </c>
      <c r="BE369">
        <v>0</v>
      </c>
      <c r="BF369">
        <v>0</v>
      </c>
      <c r="BG369">
        <v>0</v>
      </c>
      <c r="BH369">
        <v>1500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"06:12:52.959"</f>
        <v>06:12:52.959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457</v>
      </c>
      <c r="CR369">
        <v>0</v>
      </c>
      <c r="CW369">
        <v>15510887</v>
      </c>
      <c r="CY369">
        <v>1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"08/29/2020 06:12:49.722"</f>
        <v>08/29/2020 06:12:49.722</v>
      </c>
      <c r="C370" t="str">
        <f t="shared" si="15"/>
        <v>FFDFD3C0</v>
      </c>
      <c r="D370" t="s">
        <v>121</v>
      </c>
      <c r="E370">
        <v>10</v>
      </c>
      <c r="F370">
        <v>1010</v>
      </c>
      <c r="G370" t="s">
        <v>114</v>
      </c>
      <c r="J370" t="s">
        <v>123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"06:12:52.953"</f>
        <v>06:12:52.953</v>
      </c>
      <c r="U370" t="str">
        <f t="shared" si="16"/>
        <v>A7E2E0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369</v>
      </c>
      <c r="AJ370">
        <v>39.144888000000002</v>
      </c>
      <c r="AK370" t="s">
        <v>370</v>
      </c>
      <c r="AL370">
        <v>-87.463059000000001</v>
      </c>
      <c r="AM370">
        <v>100</v>
      </c>
      <c r="AN370">
        <v>1700</v>
      </c>
      <c r="AO370" t="s">
        <v>118</v>
      </c>
      <c r="AP370">
        <v>-123</v>
      </c>
      <c r="AQ370">
        <v>17</v>
      </c>
      <c r="AR370">
        <v>896</v>
      </c>
      <c r="AZ370">
        <v>4552</v>
      </c>
      <c r="BA370">
        <v>1</v>
      </c>
      <c r="BB370" t="str">
        <f t="shared" si="17"/>
        <v xml:space="preserve">N607SR  </v>
      </c>
      <c r="BC370">
        <v>1</v>
      </c>
      <c r="BE370">
        <v>0</v>
      </c>
      <c r="BF370">
        <v>0</v>
      </c>
      <c r="BG370">
        <v>0</v>
      </c>
      <c r="BH370">
        <v>1500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"06:12:52.959"</f>
        <v>06:12:52.959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457</v>
      </c>
      <c r="CR370">
        <v>0</v>
      </c>
      <c r="CW370">
        <v>15510887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"08/29/2020 06:12:49.722"</f>
        <v>08/29/2020 06:12:49.722</v>
      </c>
      <c r="C371" t="str">
        <f t="shared" si="15"/>
        <v>FFDFD3C0</v>
      </c>
      <c r="D371" t="s">
        <v>121</v>
      </c>
      <c r="E371">
        <v>11</v>
      </c>
      <c r="F371">
        <v>1011</v>
      </c>
      <c r="G371" t="s">
        <v>125</v>
      </c>
      <c r="J371" t="s">
        <v>123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"06:12:52.953"</f>
        <v>06:12:52.953</v>
      </c>
      <c r="U371" t="str">
        <f t="shared" si="16"/>
        <v>A7E2E0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369</v>
      </c>
      <c r="AJ371">
        <v>39.144888000000002</v>
      </c>
      <c r="AK371" t="s">
        <v>370</v>
      </c>
      <c r="AL371">
        <v>-87.463059000000001</v>
      </c>
      <c r="AM371">
        <v>100</v>
      </c>
      <c r="AN371">
        <v>1700</v>
      </c>
      <c r="AO371" t="s">
        <v>118</v>
      </c>
      <c r="AP371">
        <v>-123</v>
      </c>
      <c r="AQ371">
        <v>17</v>
      </c>
      <c r="AR371">
        <v>896</v>
      </c>
      <c r="AZ371">
        <v>4552</v>
      </c>
      <c r="BA371">
        <v>1</v>
      </c>
      <c r="BB371" t="str">
        <f t="shared" si="17"/>
        <v xml:space="preserve">N607SR  </v>
      </c>
      <c r="BC371">
        <v>1</v>
      </c>
      <c r="BE371">
        <v>0</v>
      </c>
      <c r="BF371">
        <v>0</v>
      </c>
      <c r="BG371">
        <v>0</v>
      </c>
      <c r="BH371">
        <v>1500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"06:12:52.959"</f>
        <v>06:12:52.959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457</v>
      </c>
      <c r="CR371">
        <v>0</v>
      </c>
      <c r="CW371">
        <v>15510887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"08/29/2020 06:12:50.292"</f>
        <v>08/29/2020 06:12:50.292</v>
      </c>
      <c r="C372" t="str">
        <f t="shared" si="15"/>
        <v>FFDFD3C0</v>
      </c>
      <c r="D372" t="s">
        <v>128</v>
      </c>
      <c r="E372">
        <v>5</v>
      </c>
      <c r="H372">
        <v>241</v>
      </c>
      <c r="I372" t="s">
        <v>129</v>
      </c>
      <c r="J372" t="s">
        <v>130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"06:12:53.500"</f>
        <v>06:12:53.500</v>
      </c>
      <c r="U372" t="str">
        <f t="shared" si="16"/>
        <v>A7E2E0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369</v>
      </c>
      <c r="AJ372">
        <v>39.144888000000002</v>
      </c>
      <c r="AK372" t="s">
        <v>371</v>
      </c>
      <c r="AL372">
        <v>-87.463466999999994</v>
      </c>
      <c r="AM372">
        <v>100</v>
      </c>
      <c r="AN372">
        <v>1800</v>
      </c>
      <c r="AO372" t="s">
        <v>118</v>
      </c>
      <c r="AP372">
        <v>-124</v>
      </c>
      <c r="AQ372">
        <v>11</v>
      </c>
      <c r="AR372">
        <v>896</v>
      </c>
      <c r="AZ372">
        <v>4552</v>
      </c>
      <c r="BA372">
        <v>1</v>
      </c>
      <c r="BB372" t="str">
        <f t="shared" si="17"/>
        <v xml:space="preserve">N607SR  </v>
      </c>
      <c r="BC372">
        <v>1</v>
      </c>
      <c r="BE372">
        <v>0</v>
      </c>
      <c r="BF372">
        <v>0</v>
      </c>
      <c r="BG372">
        <v>0</v>
      </c>
      <c r="BH372">
        <v>1500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"06:12:53.501"</f>
        <v>06:12:53.501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457</v>
      </c>
      <c r="CR372">
        <v>0</v>
      </c>
      <c r="CW372">
        <v>15510906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"08/29/2020 06:12:50.292"</f>
        <v>08/29/2020 06:12:50.292</v>
      </c>
      <c r="C373" t="str">
        <f t="shared" si="15"/>
        <v>FFDFD3C0</v>
      </c>
      <c r="D373" t="s">
        <v>113</v>
      </c>
      <c r="E373">
        <v>5</v>
      </c>
      <c r="H373">
        <v>163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"06:12:53.500"</f>
        <v>06:12:53.500</v>
      </c>
      <c r="U373" t="str">
        <f t="shared" si="16"/>
        <v>A7E2E0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369</v>
      </c>
      <c r="AJ373">
        <v>39.144888000000002</v>
      </c>
      <c r="AK373" t="s">
        <v>371</v>
      </c>
      <c r="AL373">
        <v>-87.463466999999994</v>
      </c>
      <c r="AM373">
        <v>100</v>
      </c>
      <c r="AN373">
        <v>1800</v>
      </c>
      <c r="AO373" t="s">
        <v>118</v>
      </c>
      <c r="AP373">
        <v>-124</v>
      </c>
      <c r="AQ373">
        <v>11</v>
      </c>
      <c r="AR373">
        <v>896</v>
      </c>
      <c r="AZ373">
        <v>4552</v>
      </c>
      <c r="BA373">
        <v>1</v>
      </c>
      <c r="BB373" t="str">
        <f t="shared" si="17"/>
        <v xml:space="preserve">N607SR  </v>
      </c>
      <c r="BC373">
        <v>1</v>
      </c>
      <c r="BE373">
        <v>0</v>
      </c>
      <c r="BF373">
        <v>0</v>
      </c>
      <c r="BG373">
        <v>0</v>
      </c>
      <c r="BH373">
        <v>1500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"06:12:53.501"</f>
        <v>06:12:53.501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457</v>
      </c>
      <c r="CR373">
        <v>0</v>
      </c>
      <c r="CW373">
        <v>15510906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"08/29/2020 06:12:50.839"</f>
        <v>08/29/2020 06:12:50.839</v>
      </c>
      <c r="C374" t="str">
        <f t="shared" si="15"/>
        <v>FFDFD3C0</v>
      </c>
      <c r="D374" t="s">
        <v>121</v>
      </c>
      <c r="E374">
        <v>13</v>
      </c>
      <c r="F374">
        <v>1013</v>
      </c>
      <c r="G374" t="s">
        <v>122</v>
      </c>
      <c r="J374" t="s">
        <v>123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"06:12:54.016"</f>
        <v>06:12:54.016</v>
      </c>
      <c r="T374" t="str">
        <f>"06:12:53.516"</f>
        <v>06:12:53.516</v>
      </c>
      <c r="U374" t="str">
        <f t="shared" si="16"/>
        <v>A7E2E0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369</v>
      </c>
      <c r="AJ374">
        <v>39.144888000000002</v>
      </c>
      <c r="AK374" t="s">
        <v>372</v>
      </c>
      <c r="AL374">
        <v>-87.463875000000002</v>
      </c>
      <c r="AM374">
        <v>100</v>
      </c>
      <c r="AN374">
        <v>1700</v>
      </c>
      <c r="AO374" t="s">
        <v>118</v>
      </c>
      <c r="AP374">
        <v>-124</v>
      </c>
      <c r="AQ374">
        <v>11</v>
      </c>
      <c r="AR374">
        <v>896</v>
      </c>
      <c r="AZ374">
        <v>4552</v>
      </c>
      <c r="BA374">
        <v>1</v>
      </c>
      <c r="BB374" t="str">
        <f t="shared" si="17"/>
        <v xml:space="preserve">N607SR  </v>
      </c>
      <c r="BC374">
        <v>1</v>
      </c>
      <c r="BE374">
        <v>0</v>
      </c>
      <c r="BF374">
        <v>0</v>
      </c>
      <c r="BG374">
        <v>0</v>
      </c>
      <c r="BH374">
        <v>1500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"06:12:54.021"</f>
        <v>06:12:54.021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177</v>
      </c>
      <c r="CR374">
        <v>2</v>
      </c>
      <c r="CW374">
        <v>1611139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"08/29/2020 06:12:50.839"</f>
        <v>08/29/2020 06:12:50.839</v>
      </c>
      <c r="C375" t="str">
        <f t="shared" si="15"/>
        <v>FFDFD3C0</v>
      </c>
      <c r="D375" t="s">
        <v>121</v>
      </c>
      <c r="E375">
        <v>10</v>
      </c>
      <c r="F375">
        <v>1010</v>
      </c>
      <c r="G375" t="s">
        <v>114</v>
      </c>
      <c r="J375" t="s">
        <v>123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"06:12:54.016"</f>
        <v>06:12:54.016</v>
      </c>
      <c r="T375" t="str">
        <f>"06:12:53.516"</f>
        <v>06:12:53.516</v>
      </c>
      <c r="U375" t="str">
        <f t="shared" si="16"/>
        <v>A7E2E0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369</v>
      </c>
      <c r="AJ375">
        <v>39.144888000000002</v>
      </c>
      <c r="AK375" t="s">
        <v>372</v>
      </c>
      <c r="AL375">
        <v>-87.463875000000002</v>
      </c>
      <c r="AM375">
        <v>100</v>
      </c>
      <c r="AN375">
        <v>1700</v>
      </c>
      <c r="AO375" t="s">
        <v>118</v>
      </c>
      <c r="AP375">
        <v>-124</v>
      </c>
      <c r="AQ375">
        <v>11</v>
      </c>
      <c r="AR375">
        <v>896</v>
      </c>
      <c r="AZ375">
        <v>4552</v>
      </c>
      <c r="BA375">
        <v>1</v>
      </c>
      <c r="BB375" t="str">
        <f t="shared" si="17"/>
        <v xml:space="preserve">N607SR  </v>
      </c>
      <c r="BC375">
        <v>1</v>
      </c>
      <c r="BE375">
        <v>0</v>
      </c>
      <c r="BF375">
        <v>0</v>
      </c>
      <c r="BG375">
        <v>0</v>
      </c>
      <c r="BH375">
        <v>1500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"06:12:54.021"</f>
        <v>06:12:54.021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177</v>
      </c>
      <c r="CR375">
        <v>2</v>
      </c>
      <c r="CW375">
        <v>1611139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"08/29/2020 06:12:50.839"</f>
        <v>08/29/2020 06:12:50.839</v>
      </c>
      <c r="C376" t="str">
        <f t="shared" si="15"/>
        <v>FFDFD3C0</v>
      </c>
      <c r="D376" t="s">
        <v>121</v>
      </c>
      <c r="E376">
        <v>11</v>
      </c>
      <c r="F376">
        <v>1011</v>
      </c>
      <c r="G376" t="s">
        <v>125</v>
      </c>
      <c r="J376" t="s">
        <v>123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"06:12:54.016"</f>
        <v>06:12:54.016</v>
      </c>
      <c r="T376" t="str">
        <f>"06:12:53.516"</f>
        <v>06:12:53.516</v>
      </c>
      <c r="U376" t="str">
        <f t="shared" si="16"/>
        <v>A7E2E0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369</v>
      </c>
      <c r="AJ376">
        <v>39.144888000000002</v>
      </c>
      <c r="AK376" t="s">
        <v>372</v>
      </c>
      <c r="AL376">
        <v>-87.463875000000002</v>
      </c>
      <c r="AM376">
        <v>100</v>
      </c>
      <c r="AN376">
        <v>1700</v>
      </c>
      <c r="AO376" t="s">
        <v>118</v>
      </c>
      <c r="AP376">
        <v>-124</v>
      </c>
      <c r="AQ376">
        <v>11</v>
      </c>
      <c r="AR376">
        <v>896</v>
      </c>
      <c r="AZ376">
        <v>4552</v>
      </c>
      <c r="BA376">
        <v>1</v>
      </c>
      <c r="BB376" t="str">
        <f t="shared" si="17"/>
        <v xml:space="preserve">N607SR  </v>
      </c>
      <c r="BC376">
        <v>1</v>
      </c>
      <c r="BE376">
        <v>0</v>
      </c>
      <c r="BF376">
        <v>0</v>
      </c>
      <c r="BG376">
        <v>0</v>
      </c>
      <c r="BH376">
        <v>1500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"06:12:54.021"</f>
        <v>06:12:54.021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177</v>
      </c>
      <c r="CR376">
        <v>2</v>
      </c>
      <c r="CW376">
        <v>1611139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"08/29/2020 06:12:51.310"</f>
        <v>08/29/2020 06:12:51.310</v>
      </c>
      <c r="C377" t="str">
        <f t="shared" si="15"/>
        <v>FFDFD3C0</v>
      </c>
      <c r="D377" t="s">
        <v>113</v>
      </c>
      <c r="E377">
        <v>5</v>
      </c>
      <c r="H377">
        <v>163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"06:12:54.477"</f>
        <v>06:12:54.477</v>
      </c>
      <c r="T377" t="str">
        <f>"06:12:54.077"</f>
        <v>06:12:54.077</v>
      </c>
      <c r="U377" t="str">
        <f t="shared" si="16"/>
        <v>A7E2E0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373</v>
      </c>
      <c r="AJ377">
        <v>39.144931</v>
      </c>
      <c r="AK377" t="s">
        <v>374</v>
      </c>
      <c r="AL377">
        <v>-87.464111000000003</v>
      </c>
      <c r="AM377">
        <v>100</v>
      </c>
      <c r="AN377">
        <v>1800</v>
      </c>
      <c r="AO377" t="s">
        <v>118</v>
      </c>
      <c r="AP377">
        <v>-124</v>
      </c>
      <c r="AQ377">
        <v>5</v>
      </c>
      <c r="AR377">
        <v>832</v>
      </c>
      <c r="AZ377">
        <v>4552</v>
      </c>
      <c r="BA377">
        <v>1</v>
      </c>
      <c r="BB377" t="str">
        <f t="shared" si="17"/>
        <v xml:space="preserve">N607SR  </v>
      </c>
      <c r="BC377">
        <v>1</v>
      </c>
      <c r="BE377">
        <v>0</v>
      </c>
      <c r="BF377">
        <v>0</v>
      </c>
      <c r="BG377">
        <v>0</v>
      </c>
      <c r="BH377">
        <v>1525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"06:12:54.481"</f>
        <v>06:12:54.481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177</v>
      </c>
      <c r="CR377">
        <v>2</v>
      </c>
      <c r="CW377">
        <v>1611234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"08/29/2020 06:12:51.310"</f>
        <v>08/29/2020 06:12:51.310</v>
      </c>
      <c r="C378" t="str">
        <f t="shared" si="15"/>
        <v>FFDFD3C0</v>
      </c>
      <c r="D378" t="s">
        <v>128</v>
      </c>
      <c r="E378">
        <v>5</v>
      </c>
      <c r="H378">
        <v>241</v>
      </c>
      <c r="I378" t="s">
        <v>129</v>
      </c>
      <c r="J378" t="s">
        <v>130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"06:12:54.477"</f>
        <v>06:12:54.477</v>
      </c>
      <c r="T378" t="str">
        <f>"06:12:54.077"</f>
        <v>06:12:54.077</v>
      </c>
      <c r="U378" t="str">
        <f t="shared" si="16"/>
        <v>A7E2E0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373</v>
      </c>
      <c r="AJ378">
        <v>39.144931</v>
      </c>
      <c r="AK378" t="s">
        <v>374</v>
      </c>
      <c r="AL378">
        <v>-87.464111000000003</v>
      </c>
      <c r="AM378">
        <v>100</v>
      </c>
      <c r="AN378">
        <v>1800</v>
      </c>
      <c r="AO378" t="s">
        <v>118</v>
      </c>
      <c r="AP378">
        <v>-124</v>
      </c>
      <c r="AQ378">
        <v>5</v>
      </c>
      <c r="AR378">
        <v>832</v>
      </c>
      <c r="AZ378">
        <v>4552</v>
      </c>
      <c r="BA378">
        <v>1</v>
      </c>
      <c r="BB378" t="str">
        <f t="shared" si="17"/>
        <v xml:space="preserve">N607SR  </v>
      </c>
      <c r="BC378">
        <v>1</v>
      </c>
      <c r="BE378">
        <v>0</v>
      </c>
      <c r="BF378">
        <v>0</v>
      </c>
      <c r="BG378">
        <v>0</v>
      </c>
      <c r="BH378">
        <v>1525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"06:12:54.481"</f>
        <v>06:12:54.481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177</v>
      </c>
      <c r="CR378">
        <v>2</v>
      </c>
      <c r="CW378">
        <v>1611234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"08/29/2020 06:12:51.656"</f>
        <v>08/29/2020 06:12:51.656</v>
      </c>
      <c r="C379" t="str">
        <f t="shared" si="15"/>
        <v>FFDFD3C0</v>
      </c>
      <c r="D379" t="s">
        <v>121</v>
      </c>
      <c r="E379">
        <v>10</v>
      </c>
      <c r="F379">
        <v>1010</v>
      </c>
      <c r="G379" t="s">
        <v>114</v>
      </c>
      <c r="J379" t="s">
        <v>123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"06:12:54.883"</f>
        <v>06:12:54.883</v>
      </c>
      <c r="T379" t="str">
        <f>"06:12:54.483"</f>
        <v>06:12:54.483</v>
      </c>
      <c r="U379" t="str">
        <f t="shared" si="16"/>
        <v>A7E2E0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369</v>
      </c>
      <c r="AJ379">
        <v>39.144888000000002</v>
      </c>
      <c r="AK379" t="s">
        <v>375</v>
      </c>
      <c r="AL379">
        <v>-87.464410999999998</v>
      </c>
      <c r="AM379">
        <v>100</v>
      </c>
      <c r="AN379">
        <v>1800</v>
      </c>
      <c r="AO379" t="s">
        <v>118</v>
      </c>
      <c r="AP379">
        <v>-124</v>
      </c>
      <c r="AQ379">
        <v>2</v>
      </c>
      <c r="AR379">
        <v>832</v>
      </c>
      <c r="AZ379">
        <v>4552</v>
      </c>
      <c r="BA379">
        <v>1</v>
      </c>
      <c r="BB379" t="str">
        <f t="shared" si="17"/>
        <v xml:space="preserve">N607SR  </v>
      </c>
      <c r="BC379">
        <v>1</v>
      </c>
      <c r="BE379">
        <v>0</v>
      </c>
      <c r="BF379">
        <v>0</v>
      </c>
      <c r="BG379">
        <v>0</v>
      </c>
      <c r="BH379">
        <v>1525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"06:12:54.884"</f>
        <v>06:12:54.884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177</v>
      </c>
      <c r="CR379">
        <v>2</v>
      </c>
      <c r="CW379">
        <v>1611307</v>
      </c>
      <c r="CY379">
        <v>1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"08/29/2020 06:12:51.656"</f>
        <v>08/29/2020 06:12:51.656</v>
      </c>
      <c r="C380" t="str">
        <f t="shared" si="15"/>
        <v>FFDFD3C0</v>
      </c>
      <c r="D380" t="s">
        <v>121</v>
      </c>
      <c r="E380">
        <v>11</v>
      </c>
      <c r="F380">
        <v>1011</v>
      </c>
      <c r="G380" t="s">
        <v>125</v>
      </c>
      <c r="J380" t="s">
        <v>123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"06:12:54.883"</f>
        <v>06:12:54.883</v>
      </c>
      <c r="T380" t="str">
        <f>"06:12:54.483"</f>
        <v>06:12:54.483</v>
      </c>
      <c r="U380" t="str">
        <f t="shared" si="16"/>
        <v>A7E2E0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369</v>
      </c>
      <c r="AJ380">
        <v>39.144888000000002</v>
      </c>
      <c r="AK380" t="s">
        <v>375</v>
      </c>
      <c r="AL380">
        <v>-87.464410999999998</v>
      </c>
      <c r="AM380">
        <v>100</v>
      </c>
      <c r="AN380">
        <v>1800</v>
      </c>
      <c r="AO380" t="s">
        <v>118</v>
      </c>
      <c r="AP380">
        <v>-124</v>
      </c>
      <c r="AQ380">
        <v>2</v>
      </c>
      <c r="AR380">
        <v>832</v>
      </c>
      <c r="AZ380">
        <v>4552</v>
      </c>
      <c r="BA380">
        <v>1</v>
      </c>
      <c r="BB380" t="str">
        <f t="shared" si="17"/>
        <v xml:space="preserve">N607SR  </v>
      </c>
      <c r="BC380">
        <v>1</v>
      </c>
      <c r="BE380">
        <v>0</v>
      </c>
      <c r="BF380">
        <v>0</v>
      </c>
      <c r="BG380">
        <v>0</v>
      </c>
      <c r="BH380">
        <v>1525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"06:12:54.884"</f>
        <v>06:12:54.884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6</v>
      </c>
      <c r="CP380" t="s">
        <v>119</v>
      </c>
      <c r="CQ380">
        <v>177</v>
      </c>
      <c r="CR380">
        <v>2</v>
      </c>
      <c r="CW380">
        <v>1611307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"08/29/2020 06:12:51.656"</f>
        <v>08/29/2020 06:12:51.656</v>
      </c>
      <c r="C381" t="str">
        <f t="shared" si="15"/>
        <v>FFDFD3C0</v>
      </c>
      <c r="D381" t="s">
        <v>121</v>
      </c>
      <c r="E381">
        <v>13</v>
      </c>
      <c r="F381">
        <v>1013</v>
      </c>
      <c r="G381" t="s">
        <v>122</v>
      </c>
      <c r="J381" t="s">
        <v>123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"06:12:54.883"</f>
        <v>06:12:54.883</v>
      </c>
      <c r="T381" t="str">
        <f>"06:12:54.483"</f>
        <v>06:12:54.483</v>
      </c>
      <c r="U381" t="str">
        <f t="shared" si="16"/>
        <v>A7E2E0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369</v>
      </c>
      <c r="AJ381">
        <v>39.144888000000002</v>
      </c>
      <c r="AK381" t="s">
        <v>375</v>
      </c>
      <c r="AL381">
        <v>-87.464410999999998</v>
      </c>
      <c r="AM381">
        <v>100</v>
      </c>
      <c r="AN381">
        <v>1800</v>
      </c>
      <c r="AO381" t="s">
        <v>118</v>
      </c>
      <c r="AP381">
        <v>-124</v>
      </c>
      <c r="AQ381">
        <v>2</v>
      </c>
      <c r="AR381">
        <v>832</v>
      </c>
      <c r="AZ381">
        <v>4552</v>
      </c>
      <c r="BA381">
        <v>1</v>
      </c>
      <c r="BB381" t="str">
        <f t="shared" si="17"/>
        <v xml:space="preserve">N607SR  </v>
      </c>
      <c r="BC381">
        <v>1</v>
      </c>
      <c r="BE381">
        <v>0</v>
      </c>
      <c r="BF381">
        <v>0</v>
      </c>
      <c r="BG381">
        <v>0</v>
      </c>
      <c r="BH381">
        <v>1525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"06:12:54.884"</f>
        <v>06:12:54.884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177</v>
      </c>
      <c r="CR381">
        <v>2</v>
      </c>
      <c r="CW381">
        <v>1611307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"08/29/2020 06:12:52.219"</f>
        <v>08/29/2020 06:12:52.219</v>
      </c>
      <c r="C382" t="str">
        <f t="shared" si="15"/>
        <v>FFDFD3C0</v>
      </c>
      <c r="D382" t="s">
        <v>128</v>
      </c>
      <c r="E382">
        <v>5</v>
      </c>
      <c r="H382">
        <v>241</v>
      </c>
      <c r="I382" t="s">
        <v>129</v>
      </c>
      <c r="J382" t="s">
        <v>130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"06:12:55.430"</f>
        <v>06:12:55.430</v>
      </c>
      <c r="T382" t="str">
        <f>"06:12:54.930"</f>
        <v>06:12:54.930</v>
      </c>
      <c r="U382" t="str">
        <f t="shared" si="16"/>
        <v>A7E2E0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369</v>
      </c>
      <c r="AJ382">
        <v>39.144888000000002</v>
      </c>
      <c r="AK382" t="s">
        <v>376</v>
      </c>
      <c r="AL382">
        <v>-87.464905000000002</v>
      </c>
      <c r="AM382">
        <v>100</v>
      </c>
      <c r="AN382">
        <v>1800</v>
      </c>
      <c r="AO382" t="s">
        <v>118</v>
      </c>
      <c r="AP382">
        <v>-124</v>
      </c>
      <c r="AQ382">
        <v>-2</v>
      </c>
      <c r="AR382">
        <v>832</v>
      </c>
      <c r="AZ382">
        <v>4552</v>
      </c>
      <c r="BA382">
        <v>1</v>
      </c>
      <c r="BB382" t="str">
        <f t="shared" si="17"/>
        <v xml:space="preserve">N607SR  </v>
      </c>
      <c r="BC382">
        <v>1</v>
      </c>
      <c r="BE382">
        <v>0</v>
      </c>
      <c r="BF382">
        <v>0</v>
      </c>
      <c r="BG382">
        <v>0</v>
      </c>
      <c r="BH382">
        <v>1525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"06:12:55.433"</f>
        <v>06:12:55.433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177</v>
      </c>
      <c r="CR382">
        <v>2</v>
      </c>
      <c r="CW382">
        <v>1611392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"08/29/2020 06:12:52.219"</f>
        <v>08/29/2020 06:12:52.219</v>
      </c>
      <c r="C383" t="str">
        <f t="shared" si="15"/>
        <v>FFDFD3C0</v>
      </c>
      <c r="D383" t="s">
        <v>113</v>
      </c>
      <c r="E383">
        <v>5</v>
      </c>
      <c r="H383">
        <v>163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"06:12:55.430"</f>
        <v>06:12:55.430</v>
      </c>
      <c r="T383" t="str">
        <f>"06:12:54.930"</f>
        <v>06:12:54.930</v>
      </c>
      <c r="U383" t="str">
        <f t="shared" si="16"/>
        <v>A7E2E0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369</v>
      </c>
      <c r="AJ383">
        <v>39.144888000000002</v>
      </c>
      <c r="AK383" t="s">
        <v>376</v>
      </c>
      <c r="AL383">
        <v>-87.464905000000002</v>
      </c>
      <c r="AM383">
        <v>100</v>
      </c>
      <c r="AN383">
        <v>1800</v>
      </c>
      <c r="AO383" t="s">
        <v>118</v>
      </c>
      <c r="AP383">
        <v>-124</v>
      </c>
      <c r="AQ383">
        <v>-2</v>
      </c>
      <c r="AR383">
        <v>832</v>
      </c>
      <c r="AZ383">
        <v>4552</v>
      </c>
      <c r="BA383">
        <v>1</v>
      </c>
      <c r="BB383" t="str">
        <f t="shared" si="17"/>
        <v xml:space="preserve">N607SR  </v>
      </c>
      <c r="BC383">
        <v>1</v>
      </c>
      <c r="BE383">
        <v>0</v>
      </c>
      <c r="BF383">
        <v>0</v>
      </c>
      <c r="BG383">
        <v>0</v>
      </c>
      <c r="BH383">
        <v>1525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"06:12:55.433"</f>
        <v>06:12:55.433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177</v>
      </c>
      <c r="CR383">
        <v>2</v>
      </c>
      <c r="CW383">
        <v>1611392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"08/29/2020 06:12:52.695"</f>
        <v>08/29/2020 06:12:52.695</v>
      </c>
      <c r="C384" t="str">
        <f t="shared" si="15"/>
        <v>FFDFD3C0</v>
      </c>
      <c r="D384" t="s">
        <v>121</v>
      </c>
      <c r="E384">
        <v>11</v>
      </c>
      <c r="F384">
        <v>1011</v>
      </c>
      <c r="G384" t="s">
        <v>125</v>
      </c>
      <c r="J384" t="s">
        <v>123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"06:12:55.914"</f>
        <v>06:12:55.914</v>
      </c>
      <c r="T384" t="str">
        <f>"06:12:55.514"</f>
        <v>06:12:55.514</v>
      </c>
      <c r="U384" t="str">
        <f t="shared" si="16"/>
        <v>A7E2E0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369</v>
      </c>
      <c r="AJ384">
        <v>39.144888000000002</v>
      </c>
      <c r="AK384" t="s">
        <v>377</v>
      </c>
      <c r="AL384">
        <v>-87.465270000000004</v>
      </c>
      <c r="AM384">
        <v>100</v>
      </c>
      <c r="AN384">
        <v>1800</v>
      </c>
      <c r="AO384" t="s">
        <v>118</v>
      </c>
      <c r="AP384">
        <v>-124</v>
      </c>
      <c r="AQ384">
        <v>-7</v>
      </c>
      <c r="AR384">
        <v>832</v>
      </c>
      <c r="AZ384">
        <v>4552</v>
      </c>
      <c r="BA384">
        <v>1</v>
      </c>
      <c r="BB384" t="str">
        <f t="shared" si="17"/>
        <v xml:space="preserve">N607SR  </v>
      </c>
      <c r="BC384">
        <v>1</v>
      </c>
      <c r="BE384">
        <v>0</v>
      </c>
      <c r="BF384">
        <v>0</v>
      </c>
      <c r="BG384">
        <v>0</v>
      </c>
      <c r="BH384">
        <v>1525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"06:12:55.916"</f>
        <v>06:12:55.916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5</v>
      </c>
      <c r="CP384" t="s">
        <v>119</v>
      </c>
      <c r="CQ384">
        <v>177</v>
      </c>
      <c r="CR384">
        <v>2</v>
      </c>
      <c r="CW384">
        <v>1611469</v>
      </c>
      <c r="CY384">
        <v>1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"08/29/2020 06:12:52.695"</f>
        <v>08/29/2020 06:12:52.695</v>
      </c>
      <c r="C385" t="str">
        <f t="shared" si="15"/>
        <v>FFDFD3C0</v>
      </c>
      <c r="D385" t="s">
        <v>121</v>
      </c>
      <c r="E385">
        <v>13</v>
      </c>
      <c r="F385">
        <v>1013</v>
      </c>
      <c r="G385" t="s">
        <v>122</v>
      </c>
      <c r="J385" t="s">
        <v>123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"06:12:55.914"</f>
        <v>06:12:55.914</v>
      </c>
      <c r="T385" t="str">
        <f>"06:12:55.514"</f>
        <v>06:12:55.514</v>
      </c>
      <c r="U385" t="str">
        <f t="shared" si="16"/>
        <v>A7E2E0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369</v>
      </c>
      <c r="AJ385">
        <v>39.144888000000002</v>
      </c>
      <c r="AK385" t="s">
        <v>377</v>
      </c>
      <c r="AL385">
        <v>-87.465270000000004</v>
      </c>
      <c r="AM385">
        <v>100</v>
      </c>
      <c r="AN385">
        <v>1800</v>
      </c>
      <c r="AO385" t="s">
        <v>118</v>
      </c>
      <c r="AP385">
        <v>-124</v>
      </c>
      <c r="AQ385">
        <v>-7</v>
      </c>
      <c r="AR385">
        <v>832</v>
      </c>
      <c r="AZ385">
        <v>4552</v>
      </c>
      <c r="BA385">
        <v>1</v>
      </c>
      <c r="BB385" t="str">
        <f t="shared" si="17"/>
        <v xml:space="preserve">N607SR  </v>
      </c>
      <c r="BC385">
        <v>1</v>
      </c>
      <c r="BE385">
        <v>0</v>
      </c>
      <c r="BF385">
        <v>0</v>
      </c>
      <c r="BG385">
        <v>0</v>
      </c>
      <c r="BH385">
        <v>1525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"06:12:55.916"</f>
        <v>06:12:55.916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5</v>
      </c>
      <c r="CP385" t="s">
        <v>119</v>
      </c>
      <c r="CQ385">
        <v>177</v>
      </c>
      <c r="CR385">
        <v>2</v>
      </c>
      <c r="CW385">
        <v>1611469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"08/29/2020 06:12:52.695"</f>
        <v>08/29/2020 06:12:52.695</v>
      </c>
      <c r="C386" t="str">
        <f t="shared" ref="C386:C449" si="18">"FFDFD3C0"</f>
        <v>FFDFD3C0</v>
      </c>
      <c r="D386" t="s">
        <v>121</v>
      </c>
      <c r="E386">
        <v>10</v>
      </c>
      <c r="F386">
        <v>1010</v>
      </c>
      <c r="G386" t="s">
        <v>114</v>
      </c>
      <c r="J386" t="s">
        <v>123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"06:12:55.914"</f>
        <v>06:12:55.914</v>
      </c>
      <c r="T386" t="str">
        <f>"06:12:55.514"</f>
        <v>06:12:55.514</v>
      </c>
      <c r="U386" t="str">
        <f t="shared" ref="U386:U449" si="19">"A7E2E0"</f>
        <v>A7E2E0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369</v>
      </c>
      <c r="AJ386">
        <v>39.144888000000002</v>
      </c>
      <c r="AK386" t="s">
        <v>377</v>
      </c>
      <c r="AL386">
        <v>-87.465270000000004</v>
      </c>
      <c r="AM386">
        <v>100</v>
      </c>
      <c r="AN386">
        <v>1800</v>
      </c>
      <c r="AO386" t="s">
        <v>118</v>
      </c>
      <c r="AP386">
        <v>-124</v>
      </c>
      <c r="AQ386">
        <v>-7</v>
      </c>
      <c r="AR386">
        <v>832</v>
      </c>
      <c r="AZ386">
        <v>4552</v>
      </c>
      <c r="BA386">
        <v>1</v>
      </c>
      <c r="BB386" t="str">
        <f t="shared" ref="BB386:BB449" si="20">"N607SR  "</f>
        <v xml:space="preserve">N607SR  </v>
      </c>
      <c r="BC386">
        <v>1</v>
      </c>
      <c r="BE386">
        <v>0</v>
      </c>
      <c r="BF386">
        <v>0</v>
      </c>
      <c r="BG386">
        <v>0</v>
      </c>
      <c r="BH386">
        <v>1525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"06:12:55.916"</f>
        <v>06:12:55.916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5</v>
      </c>
      <c r="CP386" t="s">
        <v>119</v>
      </c>
      <c r="CQ386">
        <v>177</v>
      </c>
      <c r="CR386">
        <v>2</v>
      </c>
      <c r="CW386">
        <v>1611469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"08/29/2020 06:12:53.282"</f>
        <v>08/29/2020 06:12:53.282</v>
      </c>
      <c r="C387" t="str">
        <f t="shared" si="18"/>
        <v>FFDFD3C0</v>
      </c>
      <c r="D387" t="s">
        <v>128</v>
      </c>
      <c r="E387">
        <v>5</v>
      </c>
      <c r="H387">
        <v>241</v>
      </c>
      <c r="I387" t="s">
        <v>129</v>
      </c>
      <c r="J387" t="s">
        <v>130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"06:12:56.492"</f>
        <v>06:12:56.492</v>
      </c>
      <c r="T387" t="str">
        <f>"06:12:55.992"</f>
        <v>06:12:55.992</v>
      </c>
      <c r="U387" t="str">
        <f t="shared" si="19"/>
        <v>A7E2E0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367</v>
      </c>
      <c r="AJ387">
        <v>39.144844999999997</v>
      </c>
      <c r="AK387" t="s">
        <v>378</v>
      </c>
      <c r="AL387">
        <v>-87.465633999999994</v>
      </c>
      <c r="AM387">
        <v>100</v>
      </c>
      <c r="AN387">
        <v>1800</v>
      </c>
      <c r="AO387" t="s">
        <v>118</v>
      </c>
      <c r="AP387">
        <v>-124</v>
      </c>
      <c r="AQ387">
        <v>-10</v>
      </c>
      <c r="AR387">
        <v>832</v>
      </c>
      <c r="AZ387">
        <v>4552</v>
      </c>
      <c r="BA387">
        <v>1</v>
      </c>
      <c r="BB387" t="str">
        <f t="shared" si="20"/>
        <v xml:space="preserve">N607SR  </v>
      </c>
      <c r="BC387">
        <v>1</v>
      </c>
      <c r="BE387">
        <v>0</v>
      </c>
      <c r="BF387">
        <v>0</v>
      </c>
      <c r="BG387">
        <v>0</v>
      </c>
      <c r="BH387">
        <v>1550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"06:12:56.493"</f>
        <v>06:12:56.493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177</v>
      </c>
      <c r="CR387">
        <v>2</v>
      </c>
      <c r="CW387">
        <v>1611572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"08/29/2020 06:12:53.282"</f>
        <v>08/29/2020 06:12:53.282</v>
      </c>
      <c r="C388" t="str">
        <f t="shared" si="18"/>
        <v>FFDFD3C0</v>
      </c>
      <c r="D388" t="s">
        <v>113</v>
      </c>
      <c r="E388">
        <v>5</v>
      </c>
      <c r="H388">
        <v>163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"06:12:56.492"</f>
        <v>06:12:56.492</v>
      </c>
      <c r="T388" t="str">
        <f>"06:12:55.992"</f>
        <v>06:12:55.992</v>
      </c>
      <c r="U388" t="str">
        <f t="shared" si="19"/>
        <v>A7E2E0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367</v>
      </c>
      <c r="AJ388">
        <v>39.144844999999997</v>
      </c>
      <c r="AK388" t="s">
        <v>378</v>
      </c>
      <c r="AL388">
        <v>-87.465633999999994</v>
      </c>
      <c r="AM388">
        <v>100</v>
      </c>
      <c r="AN388">
        <v>1800</v>
      </c>
      <c r="AO388" t="s">
        <v>118</v>
      </c>
      <c r="AP388">
        <v>-124</v>
      </c>
      <c r="AQ388">
        <v>-10</v>
      </c>
      <c r="AR388">
        <v>832</v>
      </c>
      <c r="AZ388">
        <v>4552</v>
      </c>
      <c r="BA388">
        <v>1</v>
      </c>
      <c r="BB388" t="str">
        <f t="shared" si="20"/>
        <v xml:space="preserve">N607SR  </v>
      </c>
      <c r="BC388">
        <v>1</v>
      </c>
      <c r="BE388">
        <v>0</v>
      </c>
      <c r="BF388">
        <v>0</v>
      </c>
      <c r="BG388">
        <v>0</v>
      </c>
      <c r="BH388">
        <v>1550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"06:12:56.493"</f>
        <v>06:12:56.493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177</v>
      </c>
      <c r="CR388">
        <v>2</v>
      </c>
      <c r="CW388">
        <v>1611572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"08/29/2020 06:12:53.759"</f>
        <v>08/29/2020 06:12:53.759</v>
      </c>
      <c r="C389" t="str">
        <f t="shared" si="18"/>
        <v>FFDFD3C0</v>
      </c>
      <c r="D389" t="s">
        <v>121</v>
      </c>
      <c r="E389">
        <v>11</v>
      </c>
      <c r="F389">
        <v>1011</v>
      </c>
      <c r="G389" t="s">
        <v>125</v>
      </c>
      <c r="J389" t="s">
        <v>123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"06:12:56.945"</f>
        <v>06:12:56.945</v>
      </c>
      <c r="T389" t="str">
        <f>"06:12:56.545"</f>
        <v>06:12:56.545</v>
      </c>
      <c r="U389" t="str">
        <f t="shared" si="19"/>
        <v>A7E2E0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365</v>
      </c>
      <c r="AJ389">
        <v>39.144781000000002</v>
      </c>
      <c r="AK389" t="s">
        <v>379</v>
      </c>
      <c r="AL389">
        <v>-87.465978000000007</v>
      </c>
      <c r="AM389">
        <v>100</v>
      </c>
      <c r="AN389">
        <v>1800</v>
      </c>
      <c r="AO389" t="s">
        <v>118</v>
      </c>
      <c r="AP389">
        <v>-124</v>
      </c>
      <c r="AQ389">
        <v>-15</v>
      </c>
      <c r="AR389">
        <v>832</v>
      </c>
      <c r="AZ389">
        <v>4552</v>
      </c>
      <c r="BA389">
        <v>1</v>
      </c>
      <c r="BB389" t="str">
        <f t="shared" si="20"/>
        <v xml:space="preserve">N607SR  </v>
      </c>
      <c r="BC389">
        <v>1</v>
      </c>
      <c r="BE389">
        <v>0</v>
      </c>
      <c r="BF389">
        <v>0</v>
      </c>
      <c r="BG389">
        <v>0</v>
      </c>
      <c r="BH389">
        <v>1550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"06:12:56.952"</f>
        <v>06:12:56.952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177</v>
      </c>
      <c r="CR389">
        <v>2</v>
      </c>
      <c r="CW389">
        <v>1611661</v>
      </c>
      <c r="CY389">
        <v>1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"08/29/2020 06:12:53.759"</f>
        <v>08/29/2020 06:12:53.759</v>
      </c>
      <c r="C390" t="str">
        <f t="shared" si="18"/>
        <v>FFDFD3C0</v>
      </c>
      <c r="D390" t="s">
        <v>121</v>
      </c>
      <c r="E390">
        <v>13</v>
      </c>
      <c r="F390">
        <v>1013</v>
      </c>
      <c r="G390" t="s">
        <v>122</v>
      </c>
      <c r="J390" t="s">
        <v>123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"06:12:56.945"</f>
        <v>06:12:56.945</v>
      </c>
      <c r="T390" t="str">
        <f>"06:12:56.545"</f>
        <v>06:12:56.545</v>
      </c>
      <c r="U390" t="str">
        <f t="shared" si="19"/>
        <v>A7E2E0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365</v>
      </c>
      <c r="AJ390">
        <v>39.144781000000002</v>
      </c>
      <c r="AK390" t="s">
        <v>379</v>
      </c>
      <c r="AL390">
        <v>-87.465978000000007</v>
      </c>
      <c r="AM390">
        <v>100</v>
      </c>
      <c r="AN390">
        <v>1800</v>
      </c>
      <c r="AO390" t="s">
        <v>118</v>
      </c>
      <c r="AP390">
        <v>-124</v>
      </c>
      <c r="AQ390">
        <v>-15</v>
      </c>
      <c r="AR390">
        <v>832</v>
      </c>
      <c r="AZ390">
        <v>4552</v>
      </c>
      <c r="BA390">
        <v>1</v>
      </c>
      <c r="BB390" t="str">
        <f t="shared" si="20"/>
        <v xml:space="preserve">N607SR  </v>
      </c>
      <c r="BC390">
        <v>1</v>
      </c>
      <c r="BE390">
        <v>0</v>
      </c>
      <c r="BF390">
        <v>0</v>
      </c>
      <c r="BG390">
        <v>0</v>
      </c>
      <c r="BH390">
        <v>1550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"06:12:56.952"</f>
        <v>06:12:56.952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177</v>
      </c>
      <c r="CR390">
        <v>2</v>
      </c>
      <c r="CW390">
        <v>1611661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"08/29/2020 06:12:53.759"</f>
        <v>08/29/2020 06:12:53.759</v>
      </c>
      <c r="C391" t="str">
        <f t="shared" si="18"/>
        <v>FFDFD3C0</v>
      </c>
      <c r="D391" t="s">
        <v>121</v>
      </c>
      <c r="E391">
        <v>10</v>
      </c>
      <c r="F391">
        <v>1010</v>
      </c>
      <c r="G391" t="s">
        <v>114</v>
      </c>
      <c r="J391" t="s">
        <v>123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"06:12:56.945"</f>
        <v>06:12:56.945</v>
      </c>
      <c r="T391" t="str">
        <f>"06:12:56.545"</f>
        <v>06:12:56.545</v>
      </c>
      <c r="U391" t="str">
        <f t="shared" si="19"/>
        <v>A7E2E0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365</v>
      </c>
      <c r="AJ391">
        <v>39.144781000000002</v>
      </c>
      <c r="AK391" t="s">
        <v>379</v>
      </c>
      <c r="AL391">
        <v>-87.465978000000007</v>
      </c>
      <c r="AM391">
        <v>100</v>
      </c>
      <c r="AN391">
        <v>1800</v>
      </c>
      <c r="AO391" t="s">
        <v>118</v>
      </c>
      <c r="AP391">
        <v>-124</v>
      </c>
      <c r="AQ391">
        <v>-15</v>
      </c>
      <c r="AR391">
        <v>832</v>
      </c>
      <c r="AZ391">
        <v>4552</v>
      </c>
      <c r="BA391">
        <v>1</v>
      </c>
      <c r="BB391" t="str">
        <f t="shared" si="20"/>
        <v xml:space="preserve">N607SR  </v>
      </c>
      <c r="BC391">
        <v>1</v>
      </c>
      <c r="BE391">
        <v>0</v>
      </c>
      <c r="BF391">
        <v>0</v>
      </c>
      <c r="BG391">
        <v>0</v>
      </c>
      <c r="BH391">
        <v>1550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"06:12:56.952"</f>
        <v>06:12:56.952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177</v>
      </c>
      <c r="CR391">
        <v>2</v>
      </c>
      <c r="CW391">
        <v>1611661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"08/29/2020 06:12:54.245"</f>
        <v>08/29/2020 06:12:54.245</v>
      </c>
      <c r="C392" t="str">
        <f t="shared" si="18"/>
        <v>FFDFD3C0</v>
      </c>
      <c r="D392" t="s">
        <v>128</v>
      </c>
      <c r="E392">
        <v>5</v>
      </c>
      <c r="H392">
        <v>241</v>
      </c>
      <c r="I392" t="s">
        <v>129</v>
      </c>
      <c r="J392" t="s">
        <v>130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"06:12:57.430"</f>
        <v>06:12:57.430</v>
      </c>
      <c r="T392" t="str">
        <f>"06:12:57.030"</f>
        <v>06:12:57.030</v>
      </c>
      <c r="U392" t="str">
        <f t="shared" si="19"/>
        <v>A7E2E0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380</v>
      </c>
      <c r="AJ392">
        <v>39.144759000000001</v>
      </c>
      <c r="AK392" t="s">
        <v>381</v>
      </c>
      <c r="AL392">
        <v>-87.466363999999999</v>
      </c>
      <c r="AM392">
        <v>100</v>
      </c>
      <c r="AN392">
        <v>1800</v>
      </c>
      <c r="AO392" t="s">
        <v>118</v>
      </c>
      <c r="AP392">
        <v>-124</v>
      </c>
      <c r="AQ392">
        <v>-19</v>
      </c>
      <c r="AR392">
        <v>832</v>
      </c>
      <c r="AZ392">
        <v>4552</v>
      </c>
      <c r="BA392">
        <v>1</v>
      </c>
      <c r="BB392" t="str">
        <f t="shared" si="20"/>
        <v xml:space="preserve">N607SR  </v>
      </c>
      <c r="BC392">
        <v>1</v>
      </c>
      <c r="BE392">
        <v>0</v>
      </c>
      <c r="BF392">
        <v>0</v>
      </c>
      <c r="BG392">
        <v>0</v>
      </c>
      <c r="BH392">
        <v>1550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"06:12:57.437"</f>
        <v>06:12:57.437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177</v>
      </c>
      <c r="CR392">
        <v>2</v>
      </c>
      <c r="CW392">
        <v>1611768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"08/29/2020 06:12:54.245"</f>
        <v>08/29/2020 06:12:54.245</v>
      </c>
      <c r="C393" t="str">
        <f t="shared" si="18"/>
        <v>FFDFD3C0</v>
      </c>
      <c r="D393" t="s">
        <v>113</v>
      </c>
      <c r="E393">
        <v>5</v>
      </c>
      <c r="H393">
        <v>163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"06:12:57.430"</f>
        <v>06:12:57.430</v>
      </c>
      <c r="T393" t="str">
        <f>"06:12:57.030"</f>
        <v>06:12:57.030</v>
      </c>
      <c r="U393" t="str">
        <f t="shared" si="19"/>
        <v>A7E2E0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380</v>
      </c>
      <c r="AJ393">
        <v>39.144759000000001</v>
      </c>
      <c r="AK393" t="s">
        <v>381</v>
      </c>
      <c r="AL393">
        <v>-87.466363999999999</v>
      </c>
      <c r="AM393">
        <v>100</v>
      </c>
      <c r="AN393">
        <v>1800</v>
      </c>
      <c r="AO393" t="s">
        <v>118</v>
      </c>
      <c r="AP393">
        <v>-124</v>
      </c>
      <c r="AQ393">
        <v>-19</v>
      </c>
      <c r="AR393">
        <v>832</v>
      </c>
      <c r="AZ393">
        <v>4552</v>
      </c>
      <c r="BA393">
        <v>1</v>
      </c>
      <c r="BB393" t="str">
        <f t="shared" si="20"/>
        <v xml:space="preserve">N607SR  </v>
      </c>
      <c r="BC393">
        <v>1</v>
      </c>
      <c r="BE393">
        <v>0</v>
      </c>
      <c r="BF393">
        <v>0</v>
      </c>
      <c r="BG393">
        <v>0</v>
      </c>
      <c r="BH393">
        <v>1550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"06:12:57.437"</f>
        <v>06:12:57.437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177</v>
      </c>
      <c r="CR393">
        <v>2</v>
      </c>
      <c r="CW393">
        <v>1611768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"08/29/2020 06:12:54.673"</f>
        <v>08/29/2020 06:12:54.673</v>
      </c>
      <c r="C394" t="str">
        <f t="shared" si="18"/>
        <v>FFDFD3C0</v>
      </c>
      <c r="D394" t="s">
        <v>121</v>
      </c>
      <c r="E394">
        <v>11</v>
      </c>
      <c r="F394">
        <v>1011</v>
      </c>
      <c r="G394" t="s">
        <v>125</v>
      </c>
      <c r="J394" t="s">
        <v>123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"06:12:57.844"</f>
        <v>06:12:57.844</v>
      </c>
      <c r="T394" t="str">
        <f>"06:12:57.444"</f>
        <v>06:12:57.444</v>
      </c>
      <c r="U394" t="str">
        <f t="shared" si="19"/>
        <v>A7E2E0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382</v>
      </c>
      <c r="AJ394">
        <v>39.144716000000003</v>
      </c>
      <c r="AK394" t="s">
        <v>383</v>
      </c>
      <c r="AL394">
        <v>-87.466621000000004</v>
      </c>
      <c r="AM394">
        <v>100</v>
      </c>
      <c r="AN394">
        <v>1800</v>
      </c>
      <c r="AO394" t="s">
        <v>118</v>
      </c>
      <c r="AP394">
        <v>-123</v>
      </c>
      <c r="AQ394">
        <v>-24</v>
      </c>
      <c r="AR394">
        <v>832</v>
      </c>
      <c r="AZ394">
        <v>4552</v>
      </c>
      <c r="BA394">
        <v>1</v>
      </c>
      <c r="BB394" t="str">
        <f t="shared" si="20"/>
        <v xml:space="preserve">N607SR  </v>
      </c>
      <c r="BC394">
        <v>1</v>
      </c>
      <c r="BE394">
        <v>0</v>
      </c>
      <c r="BF394">
        <v>0</v>
      </c>
      <c r="BG394">
        <v>0</v>
      </c>
      <c r="BH394">
        <v>1550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"06:12:57.846"</f>
        <v>06:12:57.846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177</v>
      </c>
      <c r="CR394">
        <v>2</v>
      </c>
      <c r="CW394">
        <v>1611838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"08/29/2020 06:12:54.673"</f>
        <v>08/29/2020 06:12:54.673</v>
      </c>
      <c r="C395" t="str">
        <f t="shared" si="18"/>
        <v>FFDFD3C0</v>
      </c>
      <c r="D395" t="s">
        <v>121</v>
      </c>
      <c r="E395">
        <v>10</v>
      </c>
      <c r="F395">
        <v>1010</v>
      </c>
      <c r="G395" t="s">
        <v>114</v>
      </c>
      <c r="J395" t="s">
        <v>123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"06:12:57.844"</f>
        <v>06:12:57.844</v>
      </c>
      <c r="T395" t="str">
        <f>"06:12:57.444"</f>
        <v>06:12:57.444</v>
      </c>
      <c r="U395" t="str">
        <f t="shared" si="19"/>
        <v>A7E2E0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382</v>
      </c>
      <c r="AJ395">
        <v>39.144716000000003</v>
      </c>
      <c r="AK395" t="s">
        <v>383</v>
      </c>
      <c r="AL395">
        <v>-87.466621000000004</v>
      </c>
      <c r="AM395">
        <v>100</v>
      </c>
      <c r="AN395">
        <v>1800</v>
      </c>
      <c r="AO395" t="s">
        <v>118</v>
      </c>
      <c r="AP395">
        <v>-123</v>
      </c>
      <c r="AQ395">
        <v>-24</v>
      </c>
      <c r="AR395">
        <v>832</v>
      </c>
      <c r="AZ395">
        <v>4552</v>
      </c>
      <c r="BA395">
        <v>1</v>
      </c>
      <c r="BB395" t="str">
        <f t="shared" si="20"/>
        <v xml:space="preserve">N607SR  </v>
      </c>
      <c r="BC395">
        <v>1</v>
      </c>
      <c r="BE395">
        <v>0</v>
      </c>
      <c r="BF395">
        <v>0</v>
      </c>
      <c r="BG395">
        <v>0</v>
      </c>
      <c r="BH395">
        <v>1550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"06:12:57.846"</f>
        <v>06:12:57.846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177</v>
      </c>
      <c r="CR395">
        <v>2</v>
      </c>
      <c r="CW395">
        <v>1611838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"08/29/2020 06:12:54.673"</f>
        <v>08/29/2020 06:12:54.673</v>
      </c>
      <c r="C396" t="str">
        <f t="shared" si="18"/>
        <v>FFDFD3C0</v>
      </c>
      <c r="D396" t="s">
        <v>121</v>
      </c>
      <c r="E396">
        <v>13</v>
      </c>
      <c r="F396">
        <v>1013</v>
      </c>
      <c r="G396" t="s">
        <v>122</v>
      </c>
      <c r="J396" t="s">
        <v>123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"06:12:57.844"</f>
        <v>06:12:57.844</v>
      </c>
      <c r="T396" t="str">
        <f>"06:12:57.444"</f>
        <v>06:12:57.444</v>
      </c>
      <c r="U396" t="str">
        <f t="shared" si="19"/>
        <v>A7E2E0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382</v>
      </c>
      <c r="AJ396">
        <v>39.144716000000003</v>
      </c>
      <c r="AK396" t="s">
        <v>383</v>
      </c>
      <c r="AL396">
        <v>-87.466621000000004</v>
      </c>
      <c r="AM396">
        <v>100</v>
      </c>
      <c r="AN396">
        <v>1800</v>
      </c>
      <c r="AO396" t="s">
        <v>118</v>
      </c>
      <c r="AP396">
        <v>-123</v>
      </c>
      <c r="AQ396">
        <v>-24</v>
      </c>
      <c r="AR396">
        <v>832</v>
      </c>
      <c r="AZ396">
        <v>4552</v>
      </c>
      <c r="BA396">
        <v>1</v>
      </c>
      <c r="BB396" t="str">
        <f t="shared" si="20"/>
        <v xml:space="preserve">N607SR  </v>
      </c>
      <c r="BC396">
        <v>1</v>
      </c>
      <c r="BE396">
        <v>0</v>
      </c>
      <c r="BF396">
        <v>0</v>
      </c>
      <c r="BG396">
        <v>0</v>
      </c>
      <c r="BH396">
        <v>1550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"06:12:57.846"</f>
        <v>06:12:57.846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177</v>
      </c>
      <c r="CR396">
        <v>2</v>
      </c>
      <c r="CW396">
        <v>1611838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"08/29/2020 06:12:55.154"</f>
        <v>08/29/2020 06:12:55.154</v>
      </c>
      <c r="C397" t="str">
        <f t="shared" si="18"/>
        <v>FFDFD3C0</v>
      </c>
      <c r="D397" t="s">
        <v>128</v>
      </c>
      <c r="E397">
        <v>5</v>
      </c>
      <c r="H397">
        <v>241</v>
      </c>
      <c r="I397" t="s">
        <v>129</v>
      </c>
      <c r="J397" t="s">
        <v>130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"06:12:58.367"</f>
        <v>06:12:58.367</v>
      </c>
      <c r="T397" t="str">
        <f>"06:12:57.867"</f>
        <v>06:12:57.867</v>
      </c>
      <c r="U397" t="str">
        <f t="shared" si="19"/>
        <v>A7E2E0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359</v>
      </c>
      <c r="AJ397">
        <v>39.144609000000003</v>
      </c>
      <c r="AK397" t="s">
        <v>384</v>
      </c>
      <c r="AL397">
        <v>-87.466986000000006</v>
      </c>
      <c r="AM397">
        <v>100</v>
      </c>
      <c r="AN397">
        <v>1800</v>
      </c>
      <c r="AO397" t="s">
        <v>118</v>
      </c>
      <c r="AP397">
        <v>-122</v>
      </c>
      <c r="AQ397">
        <v>-27</v>
      </c>
      <c r="AR397">
        <v>832</v>
      </c>
      <c r="AZ397">
        <v>4552</v>
      </c>
      <c r="BA397">
        <v>1</v>
      </c>
      <c r="BB397" t="str">
        <f t="shared" si="20"/>
        <v xml:space="preserve">N607SR  </v>
      </c>
      <c r="BC397">
        <v>1</v>
      </c>
      <c r="BE397">
        <v>0</v>
      </c>
      <c r="BF397">
        <v>0</v>
      </c>
      <c r="BG397">
        <v>0</v>
      </c>
      <c r="BH397">
        <v>1575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"06:12:58.374"</f>
        <v>06:12:58.374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457</v>
      </c>
      <c r="CR397">
        <v>0</v>
      </c>
      <c r="CW397">
        <v>15511060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"08/29/2020 06:12:55.154"</f>
        <v>08/29/2020 06:12:55.154</v>
      </c>
      <c r="C398" t="str">
        <f t="shared" si="18"/>
        <v>FFDFD3C0</v>
      </c>
      <c r="D398" t="s">
        <v>113</v>
      </c>
      <c r="E398">
        <v>5</v>
      </c>
      <c r="H398">
        <v>163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"06:12:58.367"</f>
        <v>06:12:58.367</v>
      </c>
      <c r="T398" t="str">
        <f>"06:12:57.867"</f>
        <v>06:12:57.867</v>
      </c>
      <c r="U398" t="str">
        <f t="shared" si="19"/>
        <v>A7E2E0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359</v>
      </c>
      <c r="AJ398">
        <v>39.144609000000003</v>
      </c>
      <c r="AK398" t="s">
        <v>384</v>
      </c>
      <c r="AL398">
        <v>-87.466986000000006</v>
      </c>
      <c r="AM398">
        <v>100</v>
      </c>
      <c r="AN398">
        <v>1800</v>
      </c>
      <c r="AO398" t="s">
        <v>118</v>
      </c>
      <c r="AP398">
        <v>-122</v>
      </c>
      <c r="AQ398">
        <v>-27</v>
      </c>
      <c r="AR398">
        <v>832</v>
      </c>
      <c r="AZ398">
        <v>4552</v>
      </c>
      <c r="BA398">
        <v>1</v>
      </c>
      <c r="BB398" t="str">
        <f t="shared" si="20"/>
        <v xml:space="preserve">N607SR  </v>
      </c>
      <c r="BC398">
        <v>1</v>
      </c>
      <c r="BE398">
        <v>0</v>
      </c>
      <c r="BF398">
        <v>0</v>
      </c>
      <c r="BG398">
        <v>0</v>
      </c>
      <c r="BH398">
        <v>1575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"06:12:58.374"</f>
        <v>06:12:58.374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6</v>
      </c>
      <c r="CP398" t="s">
        <v>119</v>
      </c>
      <c r="CQ398">
        <v>457</v>
      </c>
      <c r="CR398">
        <v>0</v>
      </c>
      <c r="CW398">
        <v>15511060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"08/29/2020 06:12:55.688"</f>
        <v>08/29/2020 06:12:55.688</v>
      </c>
      <c r="C399" t="str">
        <f t="shared" si="18"/>
        <v>FFDFD3C0</v>
      </c>
      <c r="D399" t="s">
        <v>121</v>
      </c>
      <c r="E399">
        <v>11</v>
      </c>
      <c r="F399">
        <v>1011</v>
      </c>
      <c r="G399" t="s">
        <v>125</v>
      </c>
      <c r="J399" t="s">
        <v>123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"06:12:58.898"</f>
        <v>06:12:58.898</v>
      </c>
      <c r="U399" t="str">
        <f t="shared" si="19"/>
        <v>A7E2E0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357</v>
      </c>
      <c r="AJ399">
        <v>39.144523</v>
      </c>
      <c r="AK399" t="s">
        <v>385</v>
      </c>
      <c r="AL399">
        <v>-87.467415000000003</v>
      </c>
      <c r="AM399">
        <v>100</v>
      </c>
      <c r="AN399">
        <v>1800</v>
      </c>
      <c r="AO399" t="s">
        <v>118</v>
      </c>
      <c r="AP399">
        <v>-121</v>
      </c>
      <c r="AQ399">
        <v>-35</v>
      </c>
      <c r="AR399">
        <v>832</v>
      </c>
      <c r="AZ399">
        <v>4552</v>
      </c>
      <c r="BA399">
        <v>1</v>
      </c>
      <c r="BB399" t="str">
        <f t="shared" si="20"/>
        <v xml:space="preserve">N607SR  </v>
      </c>
      <c r="BC399">
        <v>1</v>
      </c>
      <c r="BE399">
        <v>0</v>
      </c>
      <c r="BF399">
        <v>0</v>
      </c>
      <c r="BG399">
        <v>0</v>
      </c>
      <c r="BH399">
        <v>1575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"06:12:58.901"</f>
        <v>06:12:58.901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457</v>
      </c>
      <c r="CR399">
        <v>0</v>
      </c>
      <c r="CW399">
        <v>15511074</v>
      </c>
      <c r="CY399">
        <v>1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"08/29/2020 06:12:55.688"</f>
        <v>08/29/2020 06:12:55.688</v>
      </c>
      <c r="C400" t="str">
        <f t="shared" si="18"/>
        <v>FFDFD3C0</v>
      </c>
      <c r="D400" t="s">
        <v>121</v>
      </c>
      <c r="E400">
        <v>10</v>
      </c>
      <c r="F400">
        <v>1010</v>
      </c>
      <c r="G400" t="s">
        <v>114</v>
      </c>
      <c r="J400" t="s">
        <v>123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"06:12:58.898"</f>
        <v>06:12:58.898</v>
      </c>
      <c r="U400" t="str">
        <f t="shared" si="19"/>
        <v>A7E2E0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357</v>
      </c>
      <c r="AJ400">
        <v>39.144523</v>
      </c>
      <c r="AK400" t="s">
        <v>385</v>
      </c>
      <c r="AL400">
        <v>-87.467415000000003</v>
      </c>
      <c r="AM400">
        <v>100</v>
      </c>
      <c r="AN400">
        <v>1800</v>
      </c>
      <c r="AO400" t="s">
        <v>118</v>
      </c>
      <c r="AP400">
        <v>-121</v>
      </c>
      <c r="AQ400">
        <v>-35</v>
      </c>
      <c r="AR400">
        <v>832</v>
      </c>
      <c r="AZ400">
        <v>4552</v>
      </c>
      <c r="BA400">
        <v>1</v>
      </c>
      <c r="BB400" t="str">
        <f t="shared" si="20"/>
        <v xml:space="preserve">N607SR  </v>
      </c>
      <c r="BC400">
        <v>1</v>
      </c>
      <c r="BE400">
        <v>0</v>
      </c>
      <c r="BF400">
        <v>0</v>
      </c>
      <c r="BG400">
        <v>0</v>
      </c>
      <c r="BH400">
        <v>1575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"06:12:58.901"</f>
        <v>06:12:58.901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457</v>
      </c>
      <c r="CR400">
        <v>0</v>
      </c>
      <c r="CW400">
        <v>15511074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"08/29/2020 06:12:55.688"</f>
        <v>08/29/2020 06:12:55.688</v>
      </c>
      <c r="C401" t="str">
        <f t="shared" si="18"/>
        <v>FFDFD3C0</v>
      </c>
      <c r="D401" t="s">
        <v>121</v>
      </c>
      <c r="E401">
        <v>13</v>
      </c>
      <c r="F401">
        <v>1013</v>
      </c>
      <c r="G401" t="s">
        <v>122</v>
      </c>
      <c r="J401" t="s">
        <v>123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"06:12:58.898"</f>
        <v>06:12:58.898</v>
      </c>
      <c r="U401" t="str">
        <f t="shared" si="19"/>
        <v>A7E2E0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357</v>
      </c>
      <c r="AJ401">
        <v>39.144523</v>
      </c>
      <c r="AK401" t="s">
        <v>385</v>
      </c>
      <c r="AL401">
        <v>-87.467415000000003</v>
      </c>
      <c r="AM401">
        <v>100</v>
      </c>
      <c r="AN401">
        <v>1800</v>
      </c>
      <c r="AO401" t="s">
        <v>118</v>
      </c>
      <c r="AP401">
        <v>-121</v>
      </c>
      <c r="AQ401">
        <v>-35</v>
      </c>
      <c r="AR401">
        <v>832</v>
      </c>
      <c r="AZ401">
        <v>4552</v>
      </c>
      <c r="BA401">
        <v>1</v>
      </c>
      <c r="BB401" t="str">
        <f t="shared" si="20"/>
        <v xml:space="preserve">N607SR  </v>
      </c>
      <c r="BC401">
        <v>1</v>
      </c>
      <c r="BE401">
        <v>0</v>
      </c>
      <c r="BF401">
        <v>0</v>
      </c>
      <c r="BG401">
        <v>0</v>
      </c>
      <c r="BH401">
        <v>1575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"06:12:58.901"</f>
        <v>06:12:58.901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457</v>
      </c>
      <c r="CR401">
        <v>0</v>
      </c>
      <c r="CW401">
        <v>15511074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"08/29/2020 06:12:56.219"</f>
        <v>08/29/2020 06:12:56.219</v>
      </c>
      <c r="C402" t="str">
        <f t="shared" si="18"/>
        <v>FFDFD3C0</v>
      </c>
      <c r="D402" t="s">
        <v>113</v>
      </c>
      <c r="E402">
        <v>5</v>
      </c>
      <c r="H402">
        <v>163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"06:12:59.391"</f>
        <v>06:12:59.391</v>
      </c>
      <c r="T402" t="str">
        <f>"06:12:58.991"</f>
        <v>06:12:58.991</v>
      </c>
      <c r="U402" t="str">
        <f t="shared" si="19"/>
        <v>A7E2E0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386</v>
      </c>
      <c r="AJ402">
        <v>39.144480000000001</v>
      </c>
      <c r="AK402" t="s">
        <v>387</v>
      </c>
      <c r="AL402">
        <v>-87.467715999999996</v>
      </c>
      <c r="AM402">
        <v>100</v>
      </c>
      <c r="AN402">
        <v>1800</v>
      </c>
      <c r="AO402" t="s">
        <v>118</v>
      </c>
      <c r="AP402">
        <v>-121</v>
      </c>
      <c r="AQ402">
        <v>-35</v>
      </c>
      <c r="AR402">
        <v>832</v>
      </c>
      <c r="AZ402">
        <v>4552</v>
      </c>
      <c r="BA402">
        <v>1</v>
      </c>
      <c r="BB402" t="str">
        <f t="shared" si="20"/>
        <v xml:space="preserve">N607SR  </v>
      </c>
      <c r="BC402">
        <v>1</v>
      </c>
      <c r="BE402">
        <v>0</v>
      </c>
      <c r="BF402">
        <v>0</v>
      </c>
      <c r="BG402">
        <v>0</v>
      </c>
      <c r="BH402">
        <v>1575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"06:12:59.396"</f>
        <v>06:12:59.396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177</v>
      </c>
      <c r="CR402">
        <v>2</v>
      </c>
      <c r="CW402">
        <v>1612109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"08/29/2020 06:12:56.219"</f>
        <v>08/29/2020 06:12:56.219</v>
      </c>
      <c r="C403" t="str">
        <f t="shared" si="18"/>
        <v>FFDFD3C0</v>
      </c>
      <c r="D403" t="s">
        <v>128</v>
      </c>
      <c r="E403">
        <v>5</v>
      </c>
      <c r="H403">
        <v>241</v>
      </c>
      <c r="I403" t="s">
        <v>129</v>
      </c>
      <c r="J403" t="s">
        <v>130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"06:12:59.391"</f>
        <v>06:12:59.391</v>
      </c>
      <c r="T403" t="str">
        <f>"06:12:58.991"</f>
        <v>06:12:58.991</v>
      </c>
      <c r="U403" t="str">
        <f t="shared" si="19"/>
        <v>A7E2E0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386</v>
      </c>
      <c r="AJ403">
        <v>39.144480000000001</v>
      </c>
      <c r="AK403" t="s">
        <v>387</v>
      </c>
      <c r="AL403">
        <v>-87.467715999999996</v>
      </c>
      <c r="AM403">
        <v>100</v>
      </c>
      <c r="AN403">
        <v>1800</v>
      </c>
      <c r="AO403" t="s">
        <v>118</v>
      </c>
      <c r="AP403">
        <v>-121</v>
      </c>
      <c r="AQ403">
        <v>-35</v>
      </c>
      <c r="AR403">
        <v>832</v>
      </c>
      <c r="AZ403">
        <v>4552</v>
      </c>
      <c r="BA403">
        <v>1</v>
      </c>
      <c r="BB403" t="str">
        <f t="shared" si="20"/>
        <v xml:space="preserve">N607SR  </v>
      </c>
      <c r="BC403">
        <v>1</v>
      </c>
      <c r="BE403">
        <v>0</v>
      </c>
      <c r="BF403">
        <v>0</v>
      </c>
      <c r="BG403">
        <v>0</v>
      </c>
      <c r="BH403">
        <v>1575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"06:12:59.396"</f>
        <v>06:12:59.396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6</v>
      </c>
      <c r="CP403" t="s">
        <v>119</v>
      </c>
      <c r="CQ403">
        <v>177</v>
      </c>
      <c r="CR403">
        <v>2</v>
      </c>
      <c r="CW403">
        <v>1612109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"08/29/2020 06:12:56.704"</f>
        <v>08/29/2020 06:12:56.704</v>
      </c>
      <c r="C404" t="str">
        <f t="shared" si="18"/>
        <v>FFDFD3C0</v>
      </c>
      <c r="D404" t="s">
        <v>121</v>
      </c>
      <c r="E404">
        <v>11</v>
      </c>
      <c r="F404">
        <v>1011</v>
      </c>
      <c r="G404" t="s">
        <v>125</v>
      </c>
      <c r="J404" t="s">
        <v>123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"06:12:59.898"</f>
        <v>06:12:59.898</v>
      </c>
      <c r="T404" t="str">
        <f>"06:12:59.398"</f>
        <v>06:12:59.398</v>
      </c>
      <c r="U404" t="str">
        <f t="shared" si="19"/>
        <v>A7E2E0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388</v>
      </c>
      <c r="AJ404">
        <v>39.144329999999997</v>
      </c>
      <c r="AK404" t="s">
        <v>389</v>
      </c>
      <c r="AL404">
        <v>-87.468123000000006</v>
      </c>
      <c r="AM404">
        <v>100</v>
      </c>
      <c r="AN404">
        <v>1800</v>
      </c>
      <c r="AO404" t="s">
        <v>118</v>
      </c>
      <c r="AP404">
        <v>-120</v>
      </c>
      <c r="AQ404">
        <v>-38</v>
      </c>
      <c r="AR404">
        <v>832</v>
      </c>
      <c r="AZ404">
        <v>4552</v>
      </c>
      <c r="BA404">
        <v>1</v>
      </c>
      <c r="BB404" t="str">
        <f t="shared" si="20"/>
        <v xml:space="preserve">N607SR  </v>
      </c>
      <c r="BC404">
        <v>1</v>
      </c>
      <c r="BE404">
        <v>0</v>
      </c>
      <c r="BF404">
        <v>0</v>
      </c>
      <c r="BG404">
        <v>0</v>
      </c>
      <c r="BH404">
        <v>1575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"06:12:59.906"</f>
        <v>06:12:59.906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457</v>
      </c>
      <c r="CR404">
        <v>0</v>
      </c>
      <c r="CW404">
        <v>15511102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"08/29/2020 06:12:56.704"</f>
        <v>08/29/2020 06:12:56.704</v>
      </c>
      <c r="C405" t="str">
        <f t="shared" si="18"/>
        <v>FFDFD3C0</v>
      </c>
      <c r="D405" t="s">
        <v>121</v>
      </c>
      <c r="E405">
        <v>10</v>
      </c>
      <c r="F405">
        <v>1010</v>
      </c>
      <c r="G405" t="s">
        <v>114</v>
      </c>
      <c r="J405" t="s">
        <v>123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"06:12:59.898"</f>
        <v>06:12:59.898</v>
      </c>
      <c r="T405" t="str">
        <f>"06:12:59.398"</f>
        <v>06:12:59.398</v>
      </c>
      <c r="U405" t="str">
        <f t="shared" si="19"/>
        <v>A7E2E0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388</v>
      </c>
      <c r="AJ405">
        <v>39.144329999999997</v>
      </c>
      <c r="AK405" t="s">
        <v>389</v>
      </c>
      <c r="AL405">
        <v>-87.468123000000006</v>
      </c>
      <c r="AM405">
        <v>100</v>
      </c>
      <c r="AN405">
        <v>1800</v>
      </c>
      <c r="AO405" t="s">
        <v>118</v>
      </c>
      <c r="AP405">
        <v>-120</v>
      </c>
      <c r="AQ405">
        <v>-38</v>
      </c>
      <c r="AR405">
        <v>832</v>
      </c>
      <c r="AZ405">
        <v>4552</v>
      </c>
      <c r="BA405">
        <v>1</v>
      </c>
      <c r="BB405" t="str">
        <f t="shared" si="20"/>
        <v xml:space="preserve">N607SR  </v>
      </c>
      <c r="BC405">
        <v>1</v>
      </c>
      <c r="BE405">
        <v>0</v>
      </c>
      <c r="BF405">
        <v>0</v>
      </c>
      <c r="BG405">
        <v>0</v>
      </c>
      <c r="BH405">
        <v>1575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"06:12:59.906"</f>
        <v>06:12:59.906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457</v>
      </c>
      <c r="CR405">
        <v>0</v>
      </c>
      <c r="CW405">
        <v>15511102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"08/29/2020 06:12:56.704"</f>
        <v>08/29/2020 06:12:56.704</v>
      </c>
      <c r="C406" t="str">
        <f t="shared" si="18"/>
        <v>FFDFD3C0</v>
      </c>
      <c r="D406" t="s">
        <v>121</v>
      </c>
      <c r="E406">
        <v>13</v>
      </c>
      <c r="F406">
        <v>1013</v>
      </c>
      <c r="G406" t="s">
        <v>122</v>
      </c>
      <c r="J406" t="s">
        <v>123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"06:12:59.898"</f>
        <v>06:12:59.898</v>
      </c>
      <c r="T406" t="str">
        <f>"06:12:59.398"</f>
        <v>06:12:59.398</v>
      </c>
      <c r="U406" t="str">
        <f t="shared" si="19"/>
        <v>A7E2E0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388</v>
      </c>
      <c r="AJ406">
        <v>39.144329999999997</v>
      </c>
      <c r="AK406" t="s">
        <v>389</v>
      </c>
      <c r="AL406">
        <v>-87.468123000000006</v>
      </c>
      <c r="AM406">
        <v>100</v>
      </c>
      <c r="AN406">
        <v>1800</v>
      </c>
      <c r="AO406" t="s">
        <v>118</v>
      </c>
      <c r="AP406">
        <v>-120</v>
      </c>
      <c r="AQ406">
        <v>-38</v>
      </c>
      <c r="AR406">
        <v>832</v>
      </c>
      <c r="AZ406">
        <v>4552</v>
      </c>
      <c r="BA406">
        <v>1</v>
      </c>
      <c r="BB406" t="str">
        <f t="shared" si="20"/>
        <v xml:space="preserve">N607SR  </v>
      </c>
      <c r="BC406">
        <v>1</v>
      </c>
      <c r="BE406">
        <v>0</v>
      </c>
      <c r="BF406">
        <v>0</v>
      </c>
      <c r="BG406">
        <v>0</v>
      </c>
      <c r="BH406">
        <v>1575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"06:12:59.906"</f>
        <v>06:12:59.906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457</v>
      </c>
      <c r="CR406">
        <v>0</v>
      </c>
      <c r="CW406">
        <v>15511102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"08/29/2020 06:12:57.181"</f>
        <v>08/29/2020 06:12:57.181</v>
      </c>
      <c r="C407" t="str">
        <f t="shared" si="18"/>
        <v>FFDFD3C0</v>
      </c>
      <c r="D407" t="s">
        <v>128</v>
      </c>
      <c r="E407">
        <v>5</v>
      </c>
      <c r="H407">
        <v>241</v>
      </c>
      <c r="I407" t="s">
        <v>129</v>
      </c>
      <c r="J407" t="s">
        <v>130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"06:13:00.406"</f>
        <v>06:13:00.406</v>
      </c>
      <c r="U407" t="str">
        <f t="shared" si="19"/>
        <v>A7E2E0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390</v>
      </c>
      <c r="AJ407">
        <v>39.144244</v>
      </c>
      <c r="AK407" t="s">
        <v>391</v>
      </c>
      <c r="AL407">
        <v>-87.468509999999995</v>
      </c>
      <c r="AM407">
        <v>100</v>
      </c>
      <c r="AN407">
        <v>1800</v>
      </c>
      <c r="AO407" t="s">
        <v>118</v>
      </c>
      <c r="AP407">
        <v>-117</v>
      </c>
      <c r="AQ407">
        <v>-47</v>
      </c>
      <c r="AR407">
        <v>832</v>
      </c>
      <c r="AZ407">
        <v>4552</v>
      </c>
      <c r="BA407">
        <v>1</v>
      </c>
      <c r="BB407" t="str">
        <f t="shared" si="20"/>
        <v xml:space="preserve">N607SR  </v>
      </c>
      <c r="BC407">
        <v>1</v>
      </c>
      <c r="BE407">
        <v>0</v>
      </c>
      <c r="BF407">
        <v>0</v>
      </c>
      <c r="BG407">
        <v>0</v>
      </c>
      <c r="BH407">
        <v>1600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"06:13:00.409"</f>
        <v>06:13:00.409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457</v>
      </c>
      <c r="CR407">
        <v>0</v>
      </c>
      <c r="CW407">
        <v>15511115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"08/29/2020 06:12:57.181"</f>
        <v>08/29/2020 06:12:57.181</v>
      </c>
      <c r="C408" t="str">
        <f t="shared" si="18"/>
        <v>FFDFD3C0</v>
      </c>
      <c r="D408" t="s">
        <v>113</v>
      </c>
      <c r="E408">
        <v>5</v>
      </c>
      <c r="H408">
        <v>163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"06:13:00.406"</f>
        <v>06:13:00.406</v>
      </c>
      <c r="U408" t="str">
        <f t="shared" si="19"/>
        <v>A7E2E0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390</v>
      </c>
      <c r="AJ408">
        <v>39.144244</v>
      </c>
      <c r="AK408" t="s">
        <v>391</v>
      </c>
      <c r="AL408">
        <v>-87.468509999999995</v>
      </c>
      <c r="AM408">
        <v>100</v>
      </c>
      <c r="AN408">
        <v>1800</v>
      </c>
      <c r="AO408" t="s">
        <v>118</v>
      </c>
      <c r="AP408">
        <v>-117</v>
      </c>
      <c r="AQ408">
        <v>-47</v>
      </c>
      <c r="AR408">
        <v>832</v>
      </c>
      <c r="AZ408">
        <v>4552</v>
      </c>
      <c r="BA408">
        <v>1</v>
      </c>
      <c r="BB408" t="str">
        <f t="shared" si="20"/>
        <v xml:space="preserve">N607SR  </v>
      </c>
      <c r="BC408">
        <v>1</v>
      </c>
      <c r="BE408">
        <v>0</v>
      </c>
      <c r="BF408">
        <v>0</v>
      </c>
      <c r="BG408">
        <v>0</v>
      </c>
      <c r="BH408">
        <v>1600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"06:13:00.409"</f>
        <v>06:13:00.409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457</v>
      </c>
      <c r="CR408">
        <v>0</v>
      </c>
      <c r="CW408">
        <v>15511115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"08/29/2020 06:12:57.782"</f>
        <v>08/29/2020 06:12:57.782</v>
      </c>
      <c r="C409" t="str">
        <f t="shared" si="18"/>
        <v>FFDFD3C0</v>
      </c>
      <c r="D409" t="s">
        <v>121</v>
      </c>
      <c r="E409">
        <v>13</v>
      </c>
      <c r="F409">
        <v>1013</v>
      </c>
      <c r="G409" t="s">
        <v>122</v>
      </c>
      <c r="J409" t="s">
        <v>123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"06:13:00.984"</f>
        <v>06:13:00.984</v>
      </c>
      <c r="U409" t="str">
        <f t="shared" si="19"/>
        <v>A7E2E0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392</v>
      </c>
      <c r="AJ409">
        <v>39.144094000000003</v>
      </c>
      <c r="AK409" t="s">
        <v>393</v>
      </c>
      <c r="AL409">
        <v>-87.468852999999996</v>
      </c>
      <c r="AM409">
        <v>100</v>
      </c>
      <c r="AN409">
        <v>1800</v>
      </c>
      <c r="AO409" t="s">
        <v>118</v>
      </c>
      <c r="AP409">
        <v>-116</v>
      </c>
      <c r="AQ409">
        <v>-50</v>
      </c>
      <c r="AR409">
        <v>832</v>
      </c>
      <c r="AZ409">
        <v>4552</v>
      </c>
      <c r="BA409">
        <v>1</v>
      </c>
      <c r="BB409" t="str">
        <f t="shared" si="20"/>
        <v xml:space="preserve">N607SR  </v>
      </c>
      <c r="BC409">
        <v>1</v>
      </c>
      <c r="BE409">
        <v>0</v>
      </c>
      <c r="BF409">
        <v>0</v>
      </c>
      <c r="BG409">
        <v>0</v>
      </c>
      <c r="BH409">
        <v>1600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"06:13:00.986"</f>
        <v>06:13:00.986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457</v>
      </c>
      <c r="CR409">
        <v>0</v>
      </c>
      <c r="CW409">
        <v>15511135</v>
      </c>
      <c r="CY409">
        <v>1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"08/29/2020 06:12:57.782"</f>
        <v>08/29/2020 06:12:57.782</v>
      </c>
      <c r="C410" t="str">
        <f t="shared" si="18"/>
        <v>FFDFD3C0</v>
      </c>
      <c r="D410" t="s">
        <v>121</v>
      </c>
      <c r="E410">
        <v>11</v>
      </c>
      <c r="F410">
        <v>1011</v>
      </c>
      <c r="G410" t="s">
        <v>125</v>
      </c>
      <c r="J410" t="s">
        <v>123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"06:13:00.984"</f>
        <v>06:13:00.984</v>
      </c>
      <c r="U410" t="str">
        <f t="shared" si="19"/>
        <v>A7E2E0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392</v>
      </c>
      <c r="AJ410">
        <v>39.144094000000003</v>
      </c>
      <c r="AK410" t="s">
        <v>393</v>
      </c>
      <c r="AL410">
        <v>-87.468852999999996</v>
      </c>
      <c r="AM410">
        <v>100</v>
      </c>
      <c r="AN410">
        <v>1800</v>
      </c>
      <c r="AO410" t="s">
        <v>118</v>
      </c>
      <c r="AP410">
        <v>-116</v>
      </c>
      <c r="AQ410">
        <v>-50</v>
      </c>
      <c r="AR410">
        <v>832</v>
      </c>
      <c r="AZ410">
        <v>4552</v>
      </c>
      <c r="BA410">
        <v>1</v>
      </c>
      <c r="BB410" t="str">
        <f t="shared" si="20"/>
        <v xml:space="preserve">N607SR  </v>
      </c>
      <c r="BC410">
        <v>1</v>
      </c>
      <c r="BE410">
        <v>0</v>
      </c>
      <c r="BF410">
        <v>0</v>
      </c>
      <c r="BG410">
        <v>0</v>
      </c>
      <c r="BH410">
        <v>1600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"06:13:00.986"</f>
        <v>06:13:00.986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457</v>
      </c>
      <c r="CR410">
        <v>0</v>
      </c>
      <c r="CW410">
        <v>15511135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"08/29/2020 06:12:57.782"</f>
        <v>08/29/2020 06:12:57.782</v>
      </c>
      <c r="C411" t="str">
        <f t="shared" si="18"/>
        <v>FFDFD3C0</v>
      </c>
      <c r="D411" t="s">
        <v>121</v>
      </c>
      <c r="E411">
        <v>10</v>
      </c>
      <c r="F411">
        <v>1010</v>
      </c>
      <c r="G411" t="s">
        <v>114</v>
      </c>
      <c r="J411" t="s">
        <v>123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"06:13:00.984"</f>
        <v>06:13:00.984</v>
      </c>
      <c r="U411" t="str">
        <f t="shared" si="19"/>
        <v>A7E2E0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392</v>
      </c>
      <c r="AJ411">
        <v>39.144094000000003</v>
      </c>
      <c r="AK411" t="s">
        <v>393</v>
      </c>
      <c r="AL411">
        <v>-87.468852999999996</v>
      </c>
      <c r="AM411">
        <v>100</v>
      </c>
      <c r="AN411">
        <v>1800</v>
      </c>
      <c r="AO411" t="s">
        <v>118</v>
      </c>
      <c r="AP411">
        <v>-116</v>
      </c>
      <c r="AQ411">
        <v>-50</v>
      </c>
      <c r="AR411">
        <v>832</v>
      </c>
      <c r="AZ411">
        <v>4552</v>
      </c>
      <c r="BA411">
        <v>1</v>
      </c>
      <c r="BB411" t="str">
        <f t="shared" si="20"/>
        <v xml:space="preserve">N607SR  </v>
      </c>
      <c r="BC411">
        <v>1</v>
      </c>
      <c r="BE411">
        <v>0</v>
      </c>
      <c r="BF411">
        <v>0</v>
      </c>
      <c r="BG411">
        <v>0</v>
      </c>
      <c r="BH411">
        <v>1600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"06:13:00.986"</f>
        <v>06:13:00.986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457</v>
      </c>
      <c r="CR411">
        <v>0</v>
      </c>
      <c r="CW411">
        <v>15511135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"08/29/2020 06:12:58.293"</f>
        <v>08/29/2020 06:12:58.293</v>
      </c>
      <c r="C412" t="str">
        <f t="shared" si="18"/>
        <v>FFDFD3C0</v>
      </c>
      <c r="D412" t="s">
        <v>128</v>
      </c>
      <c r="E412">
        <v>5</v>
      </c>
      <c r="H412">
        <v>241</v>
      </c>
      <c r="I412" t="s">
        <v>129</v>
      </c>
      <c r="J412" t="s">
        <v>130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"06:13:01.469"</f>
        <v>06:13:01.469</v>
      </c>
      <c r="T412" t="str">
        <f>"06:13:01.069"</f>
        <v>06:13:01.069</v>
      </c>
      <c r="U412" t="str">
        <f t="shared" si="19"/>
        <v>A7E2E0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347</v>
      </c>
      <c r="AJ412">
        <v>39.143965000000001</v>
      </c>
      <c r="AK412" t="s">
        <v>394</v>
      </c>
      <c r="AL412">
        <v>-87.469175000000007</v>
      </c>
      <c r="AM412">
        <v>100</v>
      </c>
      <c r="AN412">
        <v>1800</v>
      </c>
      <c r="AO412" t="s">
        <v>118</v>
      </c>
      <c r="AP412">
        <v>-116</v>
      </c>
      <c r="AQ412">
        <v>-50</v>
      </c>
      <c r="AR412">
        <v>832</v>
      </c>
      <c r="AZ412">
        <v>4552</v>
      </c>
      <c r="BA412">
        <v>1</v>
      </c>
      <c r="BB412" t="str">
        <f t="shared" si="20"/>
        <v xml:space="preserve">N607SR  </v>
      </c>
      <c r="BC412">
        <v>1</v>
      </c>
      <c r="BE412">
        <v>0</v>
      </c>
      <c r="BF412">
        <v>0</v>
      </c>
      <c r="BG412">
        <v>0</v>
      </c>
      <c r="BH412">
        <v>1600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"06:13:01.471"</f>
        <v>06:13:01.471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457</v>
      </c>
      <c r="CR412">
        <v>0</v>
      </c>
      <c r="CW412">
        <v>15511147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"08/29/2020 06:12:58.293"</f>
        <v>08/29/2020 06:12:58.293</v>
      </c>
      <c r="C413" t="str">
        <f t="shared" si="18"/>
        <v>FFDFD3C0</v>
      </c>
      <c r="D413" t="s">
        <v>113</v>
      </c>
      <c r="E413">
        <v>5</v>
      </c>
      <c r="H413">
        <v>163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"06:13:01.469"</f>
        <v>06:13:01.469</v>
      </c>
      <c r="T413" t="str">
        <f>"06:13:01.069"</f>
        <v>06:13:01.069</v>
      </c>
      <c r="U413" t="str">
        <f t="shared" si="19"/>
        <v>A7E2E0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347</v>
      </c>
      <c r="AJ413">
        <v>39.143965000000001</v>
      </c>
      <c r="AK413" t="s">
        <v>394</v>
      </c>
      <c r="AL413">
        <v>-87.469175000000007</v>
      </c>
      <c r="AM413">
        <v>100</v>
      </c>
      <c r="AN413">
        <v>1800</v>
      </c>
      <c r="AO413" t="s">
        <v>118</v>
      </c>
      <c r="AP413">
        <v>-116</v>
      </c>
      <c r="AQ413">
        <v>-50</v>
      </c>
      <c r="AR413">
        <v>832</v>
      </c>
      <c r="AZ413">
        <v>4552</v>
      </c>
      <c r="BA413">
        <v>1</v>
      </c>
      <c r="BB413" t="str">
        <f t="shared" si="20"/>
        <v xml:space="preserve">N607SR  </v>
      </c>
      <c r="BC413">
        <v>1</v>
      </c>
      <c r="BE413">
        <v>0</v>
      </c>
      <c r="BF413">
        <v>0</v>
      </c>
      <c r="BG413">
        <v>0</v>
      </c>
      <c r="BH413">
        <v>1600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"06:13:01.471"</f>
        <v>06:13:01.471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457</v>
      </c>
      <c r="CR413">
        <v>0</v>
      </c>
      <c r="CW413">
        <v>15511147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"08/29/2020 06:12:58.784"</f>
        <v>08/29/2020 06:12:58.784</v>
      </c>
      <c r="C414" t="str">
        <f t="shared" si="18"/>
        <v>FFDFD3C0</v>
      </c>
      <c r="D414" t="s">
        <v>121</v>
      </c>
      <c r="E414">
        <v>11</v>
      </c>
      <c r="F414">
        <v>1011</v>
      </c>
      <c r="G414" t="s">
        <v>125</v>
      </c>
      <c r="J414" t="s">
        <v>123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"06:13:01.992"</f>
        <v>06:13:01.992</v>
      </c>
      <c r="T414" t="str">
        <f>"06:13:01.492"</f>
        <v>06:13:01.492</v>
      </c>
      <c r="U414" t="str">
        <f t="shared" si="19"/>
        <v>A7E2E0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345</v>
      </c>
      <c r="AJ414">
        <v>39.143836</v>
      </c>
      <c r="AK414" t="s">
        <v>395</v>
      </c>
      <c r="AL414">
        <v>-87.469497000000004</v>
      </c>
      <c r="AM414">
        <v>100</v>
      </c>
      <c r="AN414">
        <v>1800</v>
      </c>
      <c r="AO414" t="s">
        <v>118</v>
      </c>
      <c r="AP414">
        <v>-114</v>
      </c>
      <c r="AQ414">
        <v>-55</v>
      </c>
      <c r="AR414">
        <v>832</v>
      </c>
      <c r="AZ414">
        <v>4552</v>
      </c>
      <c r="BA414">
        <v>1</v>
      </c>
      <c r="BB414" t="str">
        <f t="shared" si="20"/>
        <v xml:space="preserve">N607SR  </v>
      </c>
      <c r="BC414">
        <v>1</v>
      </c>
      <c r="BE414">
        <v>0</v>
      </c>
      <c r="BF414">
        <v>0</v>
      </c>
      <c r="BG414">
        <v>0</v>
      </c>
      <c r="BH414">
        <v>1625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"06:13:01.993"</f>
        <v>06:13:01.993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457</v>
      </c>
      <c r="CR414">
        <v>0</v>
      </c>
      <c r="CW414">
        <v>15511163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"08/29/2020 06:12:58.784"</f>
        <v>08/29/2020 06:12:58.784</v>
      </c>
      <c r="C415" t="str">
        <f t="shared" si="18"/>
        <v>FFDFD3C0</v>
      </c>
      <c r="D415" t="s">
        <v>121</v>
      </c>
      <c r="E415">
        <v>10</v>
      </c>
      <c r="F415">
        <v>1010</v>
      </c>
      <c r="G415" t="s">
        <v>114</v>
      </c>
      <c r="J415" t="s">
        <v>123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"06:13:01.992"</f>
        <v>06:13:01.992</v>
      </c>
      <c r="T415" t="str">
        <f>"06:13:01.492"</f>
        <v>06:13:01.492</v>
      </c>
      <c r="U415" t="str">
        <f t="shared" si="19"/>
        <v>A7E2E0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345</v>
      </c>
      <c r="AJ415">
        <v>39.143836</v>
      </c>
      <c r="AK415" t="s">
        <v>395</v>
      </c>
      <c r="AL415">
        <v>-87.469497000000004</v>
      </c>
      <c r="AM415">
        <v>100</v>
      </c>
      <c r="AN415">
        <v>1800</v>
      </c>
      <c r="AO415" t="s">
        <v>118</v>
      </c>
      <c r="AP415">
        <v>-114</v>
      </c>
      <c r="AQ415">
        <v>-55</v>
      </c>
      <c r="AR415">
        <v>832</v>
      </c>
      <c r="AZ415">
        <v>4552</v>
      </c>
      <c r="BA415">
        <v>1</v>
      </c>
      <c r="BB415" t="str">
        <f t="shared" si="20"/>
        <v xml:space="preserve">N607SR  </v>
      </c>
      <c r="BC415">
        <v>1</v>
      </c>
      <c r="BE415">
        <v>0</v>
      </c>
      <c r="BF415">
        <v>0</v>
      </c>
      <c r="BG415">
        <v>0</v>
      </c>
      <c r="BH415">
        <v>1625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"06:13:01.993"</f>
        <v>06:13:01.993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457</v>
      </c>
      <c r="CR415">
        <v>0</v>
      </c>
      <c r="CW415">
        <v>15511163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"08/29/2020 06:12:58.784"</f>
        <v>08/29/2020 06:12:58.784</v>
      </c>
      <c r="C416" t="str">
        <f t="shared" si="18"/>
        <v>FFDFD3C0</v>
      </c>
      <c r="D416" t="s">
        <v>121</v>
      </c>
      <c r="E416">
        <v>13</v>
      </c>
      <c r="F416">
        <v>1013</v>
      </c>
      <c r="G416" t="s">
        <v>122</v>
      </c>
      <c r="J416" t="s">
        <v>123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"06:13:01.992"</f>
        <v>06:13:01.992</v>
      </c>
      <c r="T416" t="str">
        <f>"06:13:01.492"</f>
        <v>06:13:01.492</v>
      </c>
      <c r="U416" t="str">
        <f t="shared" si="19"/>
        <v>A7E2E0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345</v>
      </c>
      <c r="AJ416">
        <v>39.143836</v>
      </c>
      <c r="AK416" t="s">
        <v>395</v>
      </c>
      <c r="AL416">
        <v>-87.469497000000004</v>
      </c>
      <c r="AM416">
        <v>100</v>
      </c>
      <c r="AN416">
        <v>1800</v>
      </c>
      <c r="AO416" t="s">
        <v>118</v>
      </c>
      <c r="AP416">
        <v>-114</v>
      </c>
      <c r="AQ416">
        <v>-55</v>
      </c>
      <c r="AR416">
        <v>832</v>
      </c>
      <c r="AZ416">
        <v>4552</v>
      </c>
      <c r="BA416">
        <v>1</v>
      </c>
      <c r="BB416" t="str">
        <f t="shared" si="20"/>
        <v xml:space="preserve">N607SR  </v>
      </c>
      <c r="BC416">
        <v>1</v>
      </c>
      <c r="BE416">
        <v>0</v>
      </c>
      <c r="BF416">
        <v>0</v>
      </c>
      <c r="BG416">
        <v>0</v>
      </c>
      <c r="BH416">
        <v>1625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"06:13:01.993"</f>
        <v>06:13:01.993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457</v>
      </c>
      <c r="CR416">
        <v>0</v>
      </c>
      <c r="CW416">
        <v>15511163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"08/29/2020 06:12:59.362"</f>
        <v>08/29/2020 06:12:59.362</v>
      </c>
      <c r="C417" t="str">
        <f t="shared" si="18"/>
        <v>FFDFD3C0</v>
      </c>
      <c r="D417" t="s">
        <v>113</v>
      </c>
      <c r="E417">
        <v>5</v>
      </c>
      <c r="H417">
        <v>163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"06:13:02.531"</f>
        <v>06:13:02.531</v>
      </c>
      <c r="T417" t="str">
        <f>"06:13:02.031"</f>
        <v>06:13:02.031</v>
      </c>
      <c r="U417" t="str">
        <f t="shared" si="19"/>
        <v>A7E2E0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343</v>
      </c>
      <c r="AJ417">
        <v>39.143686000000002</v>
      </c>
      <c r="AK417" t="s">
        <v>396</v>
      </c>
      <c r="AL417">
        <v>-87.469926000000001</v>
      </c>
      <c r="AM417">
        <v>100</v>
      </c>
      <c r="AN417">
        <v>1800</v>
      </c>
      <c r="AO417" t="s">
        <v>118</v>
      </c>
      <c r="AP417">
        <v>-113</v>
      </c>
      <c r="AQ417">
        <v>-58</v>
      </c>
      <c r="AR417">
        <v>832</v>
      </c>
      <c r="AZ417">
        <v>4552</v>
      </c>
      <c r="BA417">
        <v>1</v>
      </c>
      <c r="BB417" t="str">
        <f t="shared" si="20"/>
        <v xml:space="preserve">N607SR  </v>
      </c>
      <c r="BC417">
        <v>1</v>
      </c>
      <c r="BE417">
        <v>0</v>
      </c>
      <c r="BF417">
        <v>0</v>
      </c>
      <c r="BG417">
        <v>0</v>
      </c>
      <c r="BH417">
        <v>1625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"06:13:02.536"</f>
        <v>06:13:02.536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457</v>
      </c>
      <c r="CR417">
        <v>0</v>
      </c>
      <c r="CW417">
        <v>15511176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"08/29/2020 06:12:59.362"</f>
        <v>08/29/2020 06:12:59.362</v>
      </c>
      <c r="C418" t="str">
        <f t="shared" si="18"/>
        <v>FFDFD3C0</v>
      </c>
      <c r="D418" t="s">
        <v>128</v>
      </c>
      <c r="E418">
        <v>5</v>
      </c>
      <c r="H418">
        <v>241</v>
      </c>
      <c r="I418" t="s">
        <v>129</v>
      </c>
      <c r="J418" t="s">
        <v>130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"06:13:02.531"</f>
        <v>06:13:02.531</v>
      </c>
      <c r="T418" t="str">
        <f>"06:13:02.031"</f>
        <v>06:13:02.031</v>
      </c>
      <c r="U418" t="str">
        <f t="shared" si="19"/>
        <v>A7E2E0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343</v>
      </c>
      <c r="AJ418">
        <v>39.143686000000002</v>
      </c>
      <c r="AK418" t="s">
        <v>396</v>
      </c>
      <c r="AL418">
        <v>-87.469926000000001</v>
      </c>
      <c r="AM418">
        <v>100</v>
      </c>
      <c r="AN418">
        <v>1800</v>
      </c>
      <c r="AO418" t="s">
        <v>118</v>
      </c>
      <c r="AP418">
        <v>-113</v>
      </c>
      <c r="AQ418">
        <v>-58</v>
      </c>
      <c r="AR418">
        <v>832</v>
      </c>
      <c r="AZ418">
        <v>4552</v>
      </c>
      <c r="BA418">
        <v>1</v>
      </c>
      <c r="BB418" t="str">
        <f t="shared" si="20"/>
        <v xml:space="preserve">N607SR  </v>
      </c>
      <c r="BC418">
        <v>1</v>
      </c>
      <c r="BE418">
        <v>0</v>
      </c>
      <c r="BF418">
        <v>0</v>
      </c>
      <c r="BG418">
        <v>0</v>
      </c>
      <c r="BH418">
        <v>1625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"06:13:02.536"</f>
        <v>06:13:02.536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457</v>
      </c>
      <c r="CR418">
        <v>0</v>
      </c>
      <c r="CW418">
        <v>15511176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"08/29/2020 06:12:59.896"</f>
        <v>08/29/2020 06:12:59.896</v>
      </c>
      <c r="C419" t="str">
        <f t="shared" si="18"/>
        <v>FFDFD3C0</v>
      </c>
      <c r="D419" t="s">
        <v>121</v>
      </c>
      <c r="E419">
        <v>11</v>
      </c>
      <c r="F419">
        <v>1011</v>
      </c>
      <c r="G419" t="s">
        <v>125</v>
      </c>
      <c r="J419" t="s">
        <v>123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"06:13:03.102"</f>
        <v>06:13:03.102</v>
      </c>
      <c r="T419" t="str">
        <f>"06:13:02.602"</f>
        <v>06:13:02.602</v>
      </c>
      <c r="U419" t="str">
        <f t="shared" si="19"/>
        <v>A7E2E0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397</v>
      </c>
      <c r="AJ419">
        <v>39.143472000000003</v>
      </c>
      <c r="AK419" t="s">
        <v>398</v>
      </c>
      <c r="AL419">
        <v>-87.470269000000002</v>
      </c>
      <c r="AM419">
        <v>100</v>
      </c>
      <c r="AN419">
        <v>1900</v>
      </c>
      <c r="AO419" t="s">
        <v>118</v>
      </c>
      <c r="AP419">
        <v>-111</v>
      </c>
      <c r="AQ419">
        <v>-62</v>
      </c>
      <c r="AR419">
        <v>832</v>
      </c>
      <c r="AZ419">
        <v>4552</v>
      </c>
      <c r="BA419">
        <v>1</v>
      </c>
      <c r="BB419" t="str">
        <f t="shared" si="20"/>
        <v xml:space="preserve">N607SR  </v>
      </c>
      <c r="BC419">
        <v>1</v>
      </c>
      <c r="BE419">
        <v>0</v>
      </c>
      <c r="BF419">
        <v>0</v>
      </c>
      <c r="BG419">
        <v>0</v>
      </c>
      <c r="BH419">
        <v>1725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"06:13:03.104"</f>
        <v>06:13:03.104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457</v>
      </c>
      <c r="CR419">
        <v>0</v>
      </c>
      <c r="CW419">
        <v>15511192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"08/29/2020 06:12:59.896"</f>
        <v>08/29/2020 06:12:59.896</v>
      </c>
      <c r="C420" t="str">
        <f t="shared" si="18"/>
        <v>FFDFD3C0</v>
      </c>
      <c r="D420" t="s">
        <v>121</v>
      </c>
      <c r="E420">
        <v>10</v>
      </c>
      <c r="F420">
        <v>1010</v>
      </c>
      <c r="G420" t="s">
        <v>114</v>
      </c>
      <c r="J420" t="s">
        <v>123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"06:13:03.102"</f>
        <v>06:13:03.102</v>
      </c>
      <c r="T420" t="str">
        <f>"06:13:02.602"</f>
        <v>06:13:02.602</v>
      </c>
      <c r="U420" t="str">
        <f t="shared" si="19"/>
        <v>A7E2E0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397</v>
      </c>
      <c r="AJ420">
        <v>39.143472000000003</v>
      </c>
      <c r="AK420" t="s">
        <v>398</v>
      </c>
      <c r="AL420">
        <v>-87.470269000000002</v>
      </c>
      <c r="AM420">
        <v>100</v>
      </c>
      <c r="AN420">
        <v>1900</v>
      </c>
      <c r="AO420" t="s">
        <v>118</v>
      </c>
      <c r="AP420">
        <v>-111</v>
      </c>
      <c r="AQ420">
        <v>-62</v>
      </c>
      <c r="AR420">
        <v>832</v>
      </c>
      <c r="AZ420">
        <v>4552</v>
      </c>
      <c r="BA420">
        <v>1</v>
      </c>
      <c r="BB420" t="str">
        <f t="shared" si="20"/>
        <v xml:space="preserve">N607SR  </v>
      </c>
      <c r="BC420">
        <v>1</v>
      </c>
      <c r="BE420">
        <v>0</v>
      </c>
      <c r="BF420">
        <v>0</v>
      </c>
      <c r="BG420">
        <v>0</v>
      </c>
      <c r="BH420">
        <v>1725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"06:13:03.104"</f>
        <v>06:13:03.104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457</v>
      </c>
      <c r="CR420">
        <v>0</v>
      </c>
      <c r="CW420">
        <v>15511192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"08/29/2020 06:12:59.896"</f>
        <v>08/29/2020 06:12:59.896</v>
      </c>
      <c r="C421" t="str">
        <f t="shared" si="18"/>
        <v>FFDFD3C0</v>
      </c>
      <c r="D421" t="s">
        <v>121</v>
      </c>
      <c r="E421">
        <v>13</v>
      </c>
      <c r="F421">
        <v>1013</v>
      </c>
      <c r="G421" t="s">
        <v>122</v>
      </c>
      <c r="J421" t="s">
        <v>123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"06:13:03.102"</f>
        <v>06:13:03.102</v>
      </c>
      <c r="T421" t="str">
        <f>"06:13:02.602"</f>
        <v>06:13:02.602</v>
      </c>
      <c r="U421" t="str">
        <f t="shared" si="19"/>
        <v>A7E2E0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397</v>
      </c>
      <c r="AJ421">
        <v>39.143472000000003</v>
      </c>
      <c r="AK421" t="s">
        <v>398</v>
      </c>
      <c r="AL421">
        <v>-87.470269000000002</v>
      </c>
      <c r="AM421">
        <v>100</v>
      </c>
      <c r="AN421">
        <v>1900</v>
      </c>
      <c r="AO421" t="s">
        <v>118</v>
      </c>
      <c r="AP421">
        <v>-111</v>
      </c>
      <c r="AQ421">
        <v>-62</v>
      </c>
      <c r="AR421">
        <v>832</v>
      </c>
      <c r="AZ421">
        <v>4552</v>
      </c>
      <c r="BA421">
        <v>1</v>
      </c>
      <c r="BB421" t="str">
        <f t="shared" si="20"/>
        <v xml:space="preserve">N607SR  </v>
      </c>
      <c r="BC421">
        <v>1</v>
      </c>
      <c r="BE421">
        <v>0</v>
      </c>
      <c r="BF421">
        <v>0</v>
      </c>
      <c r="BG421">
        <v>0</v>
      </c>
      <c r="BH421">
        <v>1725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"06:13:03.104"</f>
        <v>06:13:03.104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457</v>
      </c>
      <c r="CR421">
        <v>0</v>
      </c>
      <c r="CW421">
        <v>15511192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"08/29/2020 06:13:00.321"</f>
        <v>08/29/2020 06:13:00.321</v>
      </c>
      <c r="C422" t="str">
        <f t="shared" si="18"/>
        <v>FFDFD3C0</v>
      </c>
      <c r="D422" t="s">
        <v>128</v>
      </c>
      <c r="E422">
        <v>5</v>
      </c>
      <c r="H422">
        <v>241</v>
      </c>
      <c r="I422" t="s">
        <v>129</v>
      </c>
      <c r="J422" t="s">
        <v>130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"06:13:03.516"</f>
        <v>06:13:03.516</v>
      </c>
      <c r="T422" t="str">
        <f>"06:13:03.116"</f>
        <v>06:13:03.116</v>
      </c>
      <c r="U422" t="str">
        <f t="shared" si="19"/>
        <v>A7E2E0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339</v>
      </c>
      <c r="AJ422">
        <v>39.143363999999998</v>
      </c>
      <c r="AK422" t="s">
        <v>399</v>
      </c>
      <c r="AL422">
        <v>-87.470569999999995</v>
      </c>
      <c r="AM422">
        <v>100</v>
      </c>
      <c r="AN422">
        <v>1900</v>
      </c>
      <c r="AO422" t="s">
        <v>118</v>
      </c>
      <c r="AP422">
        <v>-109</v>
      </c>
      <c r="AQ422">
        <v>-67</v>
      </c>
      <c r="AR422">
        <v>832</v>
      </c>
      <c r="AZ422">
        <v>4552</v>
      </c>
      <c r="BA422">
        <v>1</v>
      </c>
      <c r="BB422" t="str">
        <f t="shared" si="20"/>
        <v xml:space="preserve">N607SR  </v>
      </c>
      <c r="BC422">
        <v>1</v>
      </c>
      <c r="BE422">
        <v>0</v>
      </c>
      <c r="BF422">
        <v>0</v>
      </c>
      <c r="BG422">
        <v>0</v>
      </c>
      <c r="BH422">
        <v>1625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"06:13:03.522"</f>
        <v>06:13:03.522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457</v>
      </c>
      <c r="CR422">
        <v>0</v>
      </c>
      <c r="CW422">
        <v>15511201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"08/29/2020 06:13:00.321"</f>
        <v>08/29/2020 06:13:00.321</v>
      </c>
      <c r="C423" t="str">
        <f t="shared" si="18"/>
        <v>FFDFD3C0</v>
      </c>
      <c r="D423" t="s">
        <v>113</v>
      </c>
      <c r="E423">
        <v>5</v>
      </c>
      <c r="H423">
        <v>163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"06:13:03.516"</f>
        <v>06:13:03.516</v>
      </c>
      <c r="T423" t="str">
        <f>"06:13:03.116"</f>
        <v>06:13:03.116</v>
      </c>
      <c r="U423" t="str">
        <f t="shared" si="19"/>
        <v>A7E2E0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339</v>
      </c>
      <c r="AJ423">
        <v>39.143363999999998</v>
      </c>
      <c r="AK423" t="s">
        <v>399</v>
      </c>
      <c r="AL423">
        <v>-87.470569999999995</v>
      </c>
      <c r="AM423">
        <v>100</v>
      </c>
      <c r="AN423">
        <v>1900</v>
      </c>
      <c r="AO423" t="s">
        <v>118</v>
      </c>
      <c r="AP423">
        <v>-109</v>
      </c>
      <c r="AQ423">
        <v>-67</v>
      </c>
      <c r="AR423">
        <v>832</v>
      </c>
      <c r="AZ423">
        <v>4552</v>
      </c>
      <c r="BA423">
        <v>1</v>
      </c>
      <c r="BB423" t="str">
        <f t="shared" si="20"/>
        <v xml:space="preserve">N607SR  </v>
      </c>
      <c r="BC423">
        <v>1</v>
      </c>
      <c r="BE423">
        <v>0</v>
      </c>
      <c r="BF423">
        <v>0</v>
      </c>
      <c r="BG423">
        <v>0</v>
      </c>
      <c r="BH423">
        <v>1625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"06:13:03.522"</f>
        <v>06:13:03.522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457</v>
      </c>
      <c r="CR423">
        <v>0</v>
      </c>
      <c r="CW423">
        <v>15511201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"08/29/2020 06:13:00.859"</f>
        <v>08/29/2020 06:13:00.859</v>
      </c>
      <c r="C424" t="str">
        <f t="shared" si="18"/>
        <v>FFDFD3C0</v>
      </c>
      <c r="D424" t="s">
        <v>121</v>
      </c>
      <c r="E424">
        <v>11</v>
      </c>
      <c r="F424">
        <v>1011</v>
      </c>
      <c r="G424" t="s">
        <v>125</v>
      </c>
      <c r="J424" t="s">
        <v>123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"06:13:04.063"</f>
        <v>06:13:04.063</v>
      </c>
      <c r="U424" t="str">
        <f t="shared" si="19"/>
        <v>A7E2E0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400</v>
      </c>
      <c r="AJ424">
        <v>39.143171000000002</v>
      </c>
      <c r="AK424" t="s">
        <v>401</v>
      </c>
      <c r="AL424">
        <v>-87.470890999999995</v>
      </c>
      <c r="AM424">
        <v>100</v>
      </c>
      <c r="AN424">
        <v>1900</v>
      </c>
      <c r="AO424" t="s">
        <v>118</v>
      </c>
      <c r="AP424">
        <v>-105</v>
      </c>
      <c r="AQ424">
        <v>-74</v>
      </c>
      <c r="AR424">
        <v>832</v>
      </c>
      <c r="AZ424">
        <v>4552</v>
      </c>
      <c r="BA424">
        <v>1</v>
      </c>
      <c r="BB424" t="str">
        <f t="shared" si="20"/>
        <v xml:space="preserve">N607SR  </v>
      </c>
      <c r="BC424">
        <v>1</v>
      </c>
      <c r="BE424">
        <v>0</v>
      </c>
      <c r="BF424">
        <v>0</v>
      </c>
      <c r="BG424">
        <v>0</v>
      </c>
      <c r="BH424">
        <v>1650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"06:13:04.063"</f>
        <v>06:13:04.063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457</v>
      </c>
      <c r="CR424">
        <v>0</v>
      </c>
      <c r="CW424">
        <v>15511217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"08/29/2020 06:13:00.859"</f>
        <v>08/29/2020 06:13:00.859</v>
      </c>
      <c r="C425" t="str">
        <f t="shared" si="18"/>
        <v>FFDFD3C0</v>
      </c>
      <c r="D425" t="s">
        <v>121</v>
      </c>
      <c r="E425">
        <v>10</v>
      </c>
      <c r="F425">
        <v>1010</v>
      </c>
      <c r="G425" t="s">
        <v>114</v>
      </c>
      <c r="J425" t="s">
        <v>123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"06:13:04.063"</f>
        <v>06:13:04.063</v>
      </c>
      <c r="U425" t="str">
        <f t="shared" si="19"/>
        <v>A7E2E0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400</v>
      </c>
      <c r="AJ425">
        <v>39.143171000000002</v>
      </c>
      <c r="AK425" t="s">
        <v>401</v>
      </c>
      <c r="AL425">
        <v>-87.470890999999995</v>
      </c>
      <c r="AM425">
        <v>100</v>
      </c>
      <c r="AN425">
        <v>1900</v>
      </c>
      <c r="AO425" t="s">
        <v>118</v>
      </c>
      <c r="AP425">
        <v>-105</v>
      </c>
      <c r="AQ425">
        <v>-74</v>
      </c>
      <c r="AR425">
        <v>832</v>
      </c>
      <c r="AZ425">
        <v>4552</v>
      </c>
      <c r="BA425">
        <v>1</v>
      </c>
      <c r="BB425" t="str">
        <f t="shared" si="20"/>
        <v xml:space="preserve">N607SR  </v>
      </c>
      <c r="BC425">
        <v>1</v>
      </c>
      <c r="BE425">
        <v>0</v>
      </c>
      <c r="BF425">
        <v>0</v>
      </c>
      <c r="BG425">
        <v>0</v>
      </c>
      <c r="BH425">
        <v>1650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"06:13:04.063"</f>
        <v>06:13:04.063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457</v>
      </c>
      <c r="CR425">
        <v>0</v>
      </c>
      <c r="CW425">
        <v>15511217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"08/29/2020 06:13:00.859"</f>
        <v>08/29/2020 06:13:00.859</v>
      </c>
      <c r="C426" t="str">
        <f t="shared" si="18"/>
        <v>FFDFD3C0</v>
      </c>
      <c r="D426" t="s">
        <v>121</v>
      </c>
      <c r="E426">
        <v>13</v>
      </c>
      <c r="F426">
        <v>1013</v>
      </c>
      <c r="G426" t="s">
        <v>122</v>
      </c>
      <c r="J426" t="s">
        <v>123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"06:13:04.063"</f>
        <v>06:13:04.063</v>
      </c>
      <c r="U426" t="str">
        <f t="shared" si="19"/>
        <v>A7E2E0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400</v>
      </c>
      <c r="AJ426">
        <v>39.143171000000002</v>
      </c>
      <c r="AK426" t="s">
        <v>401</v>
      </c>
      <c r="AL426">
        <v>-87.470890999999995</v>
      </c>
      <c r="AM426">
        <v>100</v>
      </c>
      <c r="AN426">
        <v>1900</v>
      </c>
      <c r="AO426" t="s">
        <v>118</v>
      </c>
      <c r="AP426">
        <v>-105</v>
      </c>
      <c r="AQ426">
        <v>-74</v>
      </c>
      <c r="AR426">
        <v>832</v>
      </c>
      <c r="AZ426">
        <v>4552</v>
      </c>
      <c r="BA426">
        <v>1</v>
      </c>
      <c r="BB426" t="str">
        <f t="shared" si="20"/>
        <v xml:space="preserve">N607SR  </v>
      </c>
      <c r="BC426">
        <v>1</v>
      </c>
      <c r="BE426">
        <v>0</v>
      </c>
      <c r="BF426">
        <v>0</v>
      </c>
      <c r="BG426">
        <v>0</v>
      </c>
      <c r="BH426">
        <v>1650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"06:13:04.063"</f>
        <v>06:13:04.063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457</v>
      </c>
      <c r="CR426">
        <v>0</v>
      </c>
      <c r="CW426">
        <v>15511217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"08/29/2020 06:13:01.281"</f>
        <v>08/29/2020 06:13:01.281</v>
      </c>
      <c r="C427" t="str">
        <f t="shared" si="18"/>
        <v>FFDFD3C0</v>
      </c>
      <c r="D427" t="s">
        <v>128</v>
      </c>
      <c r="E427">
        <v>5</v>
      </c>
      <c r="H427">
        <v>241</v>
      </c>
      <c r="I427" t="s">
        <v>129</v>
      </c>
      <c r="J427" t="s">
        <v>130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"06:13:04.492"</f>
        <v>06:13:04.492</v>
      </c>
      <c r="T427" t="str">
        <f>"06:13:04.092"</f>
        <v>06:13:04.092</v>
      </c>
      <c r="U427" t="str">
        <f t="shared" si="19"/>
        <v>A7E2E0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335</v>
      </c>
      <c r="AJ427">
        <v>39.143020999999997</v>
      </c>
      <c r="AK427" t="s">
        <v>402</v>
      </c>
      <c r="AL427">
        <v>-87.471127999999993</v>
      </c>
      <c r="AM427">
        <v>100</v>
      </c>
      <c r="AN427">
        <v>1900</v>
      </c>
      <c r="AO427" t="s">
        <v>118</v>
      </c>
      <c r="AP427">
        <v>-105</v>
      </c>
      <c r="AQ427">
        <v>-74</v>
      </c>
      <c r="AR427">
        <v>832</v>
      </c>
      <c r="AZ427">
        <v>4552</v>
      </c>
      <c r="BA427">
        <v>1</v>
      </c>
      <c r="BB427" t="str">
        <f t="shared" si="20"/>
        <v xml:space="preserve">N607SR  </v>
      </c>
      <c r="BC427">
        <v>1</v>
      </c>
      <c r="BE427">
        <v>0</v>
      </c>
      <c r="BF427">
        <v>0</v>
      </c>
      <c r="BG427">
        <v>0</v>
      </c>
      <c r="BH427">
        <v>1650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"06:13:04.495"</f>
        <v>06:13:04.495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457</v>
      </c>
      <c r="CR427">
        <v>0</v>
      </c>
      <c r="CW427">
        <v>15511229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"08/29/2020 06:13:01.281"</f>
        <v>08/29/2020 06:13:01.281</v>
      </c>
      <c r="C428" t="str">
        <f t="shared" si="18"/>
        <v>FFDFD3C0</v>
      </c>
      <c r="D428" t="s">
        <v>113</v>
      </c>
      <c r="E428">
        <v>5</v>
      </c>
      <c r="H428">
        <v>163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"06:13:04.492"</f>
        <v>06:13:04.492</v>
      </c>
      <c r="T428" t="str">
        <f>"06:13:04.092"</f>
        <v>06:13:04.092</v>
      </c>
      <c r="U428" t="str">
        <f t="shared" si="19"/>
        <v>A7E2E0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335</v>
      </c>
      <c r="AJ428">
        <v>39.143020999999997</v>
      </c>
      <c r="AK428" t="s">
        <v>402</v>
      </c>
      <c r="AL428">
        <v>-87.471127999999993</v>
      </c>
      <c r="AM428">
        <v>100</v>
      </c>
      <c r="AN428">
        <v>1900</v>
      </c>
      <c r="AO428" t="s">
        <v>118</v>
      </c>
      <c r="AP428">
        <v>-105</v>
      </c>
      <c r="AQ428">
        <v>-74</v>
      </c>
      <c r="AR428">
        <v>832</v>
      </c>
      <c r="AZ428">
        <v>4552</v>
      </c>
      <c r="BA428">
        <v>1</v>
      </c>
      <c r="BB428" t="str">
        <f t="shared" si="20"/>
        <v xml:space="preserve">N607SR  </v>
      </c>
      <c r="BC428">
        <v>1</v>
      </c>
      <c r="BE428">
        <v>0</v>
      </c>
      <c r="BF428">
        <v>0</v>
      </c>
      <c r="BG428">
        <v>0</v>
      </c>
      <c r="BH428">
        <v>1650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"06:13:04.495"</f>
        <v>06:13:04.495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457</v>
      </c>
      <c r="CR428">
        <v>0</v>
      </c>
      <c r="CW428">
        <v>15511229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"08/29/2020 06:13:01.836"</f>
        <v>08/29/2020 06:13:01.836</v>
      </c>
      <c r="C429" t="str">
        <f t="shared" si="18"/>
        <v>FFDFD3C0</v>
      </c>
      <c r="D429" t="s">
        <v>121</v>
      </c>
      <c r="E429">
        <v>13</v>
      </c>
      <c r="F429">
        <v>1013</v>
      </c>
      <c r="G429" t="s">
        <v>122</v>
      </c>
      <c r="J429" t="s">
        <v>123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"06:13:05.063"</f>
        <v>06:13:05.063</v>
      </c>
      <c r="T429" t="str">
        <f>"06:13:04.563"</f>
        <v>06:13:04.563</v>
      </c>
      <c r="U429" t="str">
        <f t="shared" si="19"/>
        <v>A7E2E0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333</v>
      </c>
      <c r="AJ429">
        <v>39.142806999999998</v>
      </c>
      <c r="AK429" t="s">
        <v>403</v>
      </c>
      <c r="AL429">
        <v>-87.471491999999998</v>
      </c>
      <c r="AM429">
        <v>100</v>
      </c>
      <c r="AN429">
        <v>1900</v>
      </c>
      <c r="AO429" t="s">
        <v>118</v>
      </c>
      <c r="AP429">
        <v>-103</v>
      </c>
      <c r="AQ429">
        <v>-76</v>
      </c>
      <c r="AR429">
        <v>832</v>
      </c>
      <c r="AZ429">
        <v>4552</v>
      </c>
      <c r="BA429">
        <v>1</v>
      </c>
      <c r="BB429" t="str">
        <f t="shared" si="20"/>
        <v xml:space="preserve">N607SR  </v>
      </c>
      <c r="BC429">
        <v>1</v>
      </c>
      <c r="BE429">
        <v>0</v>
      </c>
      <c r="BF429">
        <v>0</v>
      </c>
      <c r="BG429">
        <v>0</v>
      </c>
      <c r="BH429">
        <v>1650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"06:13:05.065"</f>
        <v>06:13:05.065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457</v>
      </c>
      <c r="CR429">
        <v>0</v>
      </c>
      <c r="CW429">
        <v>15511248</v>
      </c>
      <c r="CY429">
        <v>1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"08/29/2020 06:13:01.836"</f>
        <v>08/29/2020 06:13:01.836</v>
      </c>
      <c r="C430" t="str">
        <f t="shared" si="18"/>
        <v>FFDFD3C0</v>
      </c>
      <c r="D430" t="s">
        <v>121</v>
      </c>
      <c r="E430">
        <v>10</v>
      </c>
      <c r="F430">
        <v>1010</v>
      </c>
      <c r="G430" t="s">
        <v>114</v>
      </c>
      <c r="J430" t="s">
        <v>123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"06:13:05.063"</f>
        <v>06:13:05.063</v>
      </c>
      <c r="T430" t="str">
        <f>"06:13:04.563"</f>
        <v>06:13:04.563</v>
      </c>
      <c r="U430" t="str">
        <f t="shared" si="19"/>
        <v>A7E2E0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333</v>
      </c>
      <c r="AJ430">
        <v>39.142806999999998</v>
      </c>
      <c r="AK430" t="s">
        <v>403</v>
      </c>
      <c r="AL430">
        <v>-87.471491999999998</v>
      </c>
      <c r="AM430">
        <v>100</v>
      </c>
      <c r="AN430">
        <v>1900</v>
      </c>
      <c r="AO430" t="s">
        <v>118</v>
      </c>
      <c r="AP430">
        <v>-103</v>
      </c>
      <c r="AQ430">
        <v>-76</v>
      </c>
      <c r="AR430">
        <v>832</v>
      </c>
      <c r="AZ430">
        <v>4552</v>
      </c>
      <c r="BA430">
        <v>1</v>
      </c>
      <c r="BB430" t="str">
        <f t="shared" si="20"/>
        <v xml:space="preserve">N607SR  </v>
      </c>
      <c r="BC430">
        <v>1</v>
      </c>
      <c r="BE430">
        <v>0</v>
      </c>
      <c r="BF430">
        <v>0</v>
      </c>
      <c r="BG430">
        <v>0</v>
      </c>
      <c r="BH430">
        <v>1650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"06:13:05.065"</f>
        <v>06:13:05.065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457</v>
      </c>
      <c r="CR430">
        <v>0</v>
      </c>
      <c r="CW430">
        <v>15511248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"08/29/2020 06:13:01.836"</f>
        <v>08/29/2020 06:13:01.836</v>
      </c>
      <c r="C431" t="str">
        <f t="shared" si="18"/>
        <v>FFDFD3C0</v>
      </c>
      <c r="D431" t="s">
        <v>121</v>
      </c>
      <c r="E431">
        <v>11</v>
      </c>
      <c r="F431">
        <v>1011</v>
      </c>
      <c r="G431" t="s">
        <v>125</v>
      </c>
      <c r="J431" t="s">
        <v>123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"06:13:05.063"</f>
        <v>06:13:05.063</v>
      </c>
      <c r="T431" t="str">
        <f>"06:13:04.563"</f>
        <v>06:13:04.563</v>
      </c>
      <c r="U431" t="str">
        <f t="shared" si="19"/>
        <v>A7E2E0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333</v>
      </c>
      <c r="AJ431">
        <v>39.142806999999998</v>
      </c>
      <c r="AK431" t="s">
        <v>403</v>
      </c>
      <c r="AL431">
        <v>-87.471491999999998</v>
      </c>
      <c r="AM431">
        <v>100</v>
      </c>
      <c r="AN431">
        <v>1900</v>
      </c>
      <c r="AO431" t="s">
        <v>118</v>
      </c>
      <c r="AP431">
        <v>-103</v>
      </c>
      <c r="AQ431">
        <v>-76</v>
      </c>
      <c r="AR431">
        <v>832</v>
      </c>
      <c r="AZ431">
        <v>4552</v>
      </c>
      <c r="BA431">
        <v>1</v>
      </c>
      <c r="BB431" t="str">
        <f t="shared" si="20"/>
        <v xml:space="preserve">N607SR  </v>
      </c>
      <c r="BC431">
        <v>1</v>
      </c>
      <c r="BE431">
        <v>0</v>
      </c>
      <c r="BF431">
        <v>0</v>
      </c>
      <c r="BG431">
        <v>0</v>
      </c>
      <c r="BH431">
        <v>1650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"06:13:05.065"</f>
        <v>06:13:05.065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457</v>
      </c>
      <c r="CR431">
        <v>0</v>
      </c>
      <c r="CW431">
        <v>15511248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"08/29/2020 06:13:02.347"</f>
        <v>08/29/2020 06:13:02.347</v>
      </c>
      <c r="C432" t="str">
        <f t="shared" si="18"/>
        <v>FFDFD3C0</v>
      </c>
      <c r="D432" t="s">
        <v>128</v>
      </c>
      <c r="E432">
        <v>5</v>
      </c>
      <c r="H432">
        <v>241</v>
      </c>
      <c r="I432" t="s">
        <v>129</v>
      </c>
      <c r="J432" t="s">
        <v>130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"06:13:05.563"</f>
        <v>06:13:05.563</v>
      </c>
      <c r="T432" t="str">
        <f>"06:13:05.162"</f>
        <v>06:13:05.162</v>
      </c>
      <c r="U432" t="str">
        <f t="shared" si="19"/>
        <v>A7E2E0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331</v>
      </c>
      <c r="AJ432">
        <v>39.142634999999999</v>
      </c>
      <c r="AK432" t="s">
        <v>404</v>
      </c>
      <c r="AL432">
        <v>-87.471771000000004</v>
      </c>
      <c r="AM432">
        <v>100</v>
      </c>
      <c r="AN432">
        <v>1900</v>
      </c>
      <c r="AO432" t="s">
        <v>118</v>
      </c>
      <c r="AP432">
        <v>-101</v>
      </c>
      <c r="AQ432">
        <v>-80</v>
      </c>
      <c r="AR432">
        <v>832</v>
      </c>
      <c r="AZ432">
        <v>4552</v>
      </c>
      <c r="BA432">
        <v>1</v>
      </c>
      <c r="BB432" t="str">
        <f t="shared" si="20"/>
        <v xml:space="preserve">N607SR  </v>
      </c>
      <c r="BC432">
        <v>1</v>
      </c>
      <c r="BE432">
        <v>0</v>
      </c>
      <c r="BF432">
        <v>0</v>
      </c>
      <c r="BG432">
        <v>0</v>
      </c>
      <c r="BH432">
        <v>1675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"06:13:05.567"</f>
        <v>06:13:05.567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457</v>
      </c>
      <c r="CR432">
        <v>0</v>
      </c>
      <c r="CW432">
        <v>15511259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"08/29/2020 06:13:02.347"</f>
        <v>08/29/2020 06:13:02.347</v>
      </c>
      <c r="C433" t="str">
        <f t="shared" si="18"/>
        <v>FFDFD3C0</v>
      </c>
      <c r="D433" t="s">
        <v>113</v>
      </c>
      <c r="E433">
        <v>5</v>
      </c>
      <c r="H433">
        <v>163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"06:13:05.563"</f>
        <v>06:13:05.563</v>
      </c>
      <c r="T433" t="str">
        <f>"06:13:05.162"</f>
        <v>06:13:05.162</v>
      </c>
      <c r="U433" t="str">
        <f t="shared" si="19"/>
        <v>A7E2E0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331</v>
      </c>
      <c r="AJ433">
        <v>39.142634999999999</v>
      </c>
      <c r="AK433" t="s">
        <v>404</v>
      </c>
      <c r="AL433">
        <v>-87.471771000000004</v>
      </c>
      <c r="AM433">
        <v>100</v>
      </c>
      <c r="AN433">
        <v>1900</v>
      </c>
      <c r="AO433" t="s">
        <v>118</v>
      </c>
      <c r="AP433">
        <v>-101</v>
      </c>
      <c r="AQ433">
        <v>-80</v>
      </c>
      <c r="AR433">
        <v>832</v>
      </c>
      <c r="AZ433">
        <v>4552</v>
      </c>
      <c r="BA433">
        <v>1</v>
      </c>
      <c r="BB433" t="str">
        <f t="shared" si="20"/>
        <v xml:space="preserve">N607SR  </v>
      </c>
      <c r="BC433">
        <v>1</v>
      </c>
      <c r="BE433">
        <v>0</v>
      </c>
      <c r="BF433">
        <v>0</v>
      </c>
      <c r="BG433">
        <v>0</v>
      </c>
      <c r="BH433">
        <v>1675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"06:13:05.567"</f>
        <v>06:13:05.567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457</v>
      </c>
      <c r="CR433">
        <v>0</v>
      </c>
      <c r="CW433">
        <v>15511259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"08/29/2020 06:13:02.783"</f>
        <v>08/29/2020 06:13:02.783</v>
      </c>
      <c r="C434" t="str">
        <f t="shared" si="18"/>
        <v>FFDFD3C0</v>
      </c>
      <c r="D434" t="s">
        <v>121</v>
      </c>
      <c r="E434">
        <v>10</v>
      </c>
      <c r="F434">
        <v>1010</v>
      </c>
      <c r="G434" t="s">
        <v>114</v>
      </c>
      <c r="J434" t="s">
        <v>123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"06:13:06.023"</f>
        <v>06:13:06.023</v>
      </c>
      <c r="T434" t="str">
        <f>"06:13:05.623"</f>
        <v>06:13:05.623</v>
      </c>
      <c r="U434" t="str">
        <f t="shared" si="19"/>
        <v>A7E2E0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329</v>
      </c>
      <c r="AJ434">
        <v>39.142420000000001</v>
      </c>
      <c r="AK434" t="s">
        <v>405</v>
      </c>
      <c r="AL434">
        <v>-87.472049999999996</v>
      </c>
      <c r="AM434">
        <v>100</v>
      </c>
      <c r="AN434">
        <v>1900</v>
      </c>
      <c r="AO434" t="s">
        <v>118</v>
      </c>
      <c r="AP434">
        <v>-99</v>
      </c>
      <c r="AQ434">
        <v>-82</v>
      </c>
      <c r="AR434">
        <v>832</v>
      </c>
      <c r="AZ434">
        <v>4552</v>
      </c>
      <c r="BA434">
        <v>1</v>
      </c>
      <c r="BB434" t="str">
        <f t="shared" si="20"/>
        <v xml:space="preserve">N607SR  </v>
      </c>
      <c r="BC434">
        <v>1</v>
      </c>
      <c r="BE434">
        <v>0</v>
      </c>
      <c r="BF434">
        <v>0</v>
      </c>
      <c r="BG434">
        <v>0</v>
      </c>
      <c r="BH434">
        <v>1675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"06:13:06.029"</f>
        <v>06:13:06.029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457</v>
      </c>
      <c r="CR434">
        <v>0</v>
      </c>
      <c r="CW434">
        <v>15511276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"08/29/2020 06:13:02.783"</f>
        <v>08/29/2020 06:13:02.783</v>
      </c>
      <c r="C435" t="str">
        <f t="shared" si="18"/>
        <v>FFDFD3C0</v>
      </c>
      <c r="D435" t="s">
        <v>121</v>
      </c>
      <c r="E435">
        <v>11</v>
      </c>
      <c r="F435">
        <v>1011</v>
      </c>
      <c r="G435" t="s">
        <v>125</v>
      </c>
      <c r="J435" t="s">
        <v>123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"06:13:06.023"</f>
        <v>06:13:06.023</v>
      </c>
      <c r="T435" t="str">
        <f>"06:13:05.623"</f>
        <v>06:13:05.623</v>
      </c>
      <c r="U435" t="str">
        <f t="shared" si="19"/>
        <v>A7E2E0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329</v>
      </c>
      <c r="AJ435">
        <v>39.142420000000001</v>
      </c>
      <c r="AK435" t="s">
        <v>405</v>
      </c>
      <c r="AL435">
        <v>-87.472049999999996</v>
      </c>
      <c r="AM435">
        <v>100</v>
      </c>
      <c r="AN435">
        <v>1900</v>
      </c>
      <c r="AO435" t="s">
        <v>118</v>
      </c>
      <c r="AP435">
        <v>-99</v>
      </c>
      <c r="AQ435">
        <v>-82</v>
      </c>
      <c r="AR435">
        <v>832</v>
      </c>
      <c r="AZ435">
        <v>4552</v>
      </c>
      <c r="BA435">
        <v>1</v>
      </c>
      <c r="BB435" t="str">
        <f t="shared" si="20"/>
        <v xml:space="preserve">N607SR  </v>
      </c>
      <c r="BC435">
        <v>1</v>
      </c>
      <c r="BE435">
        <v>0</v>
      </c>
      <c r="BF435">
        <v>0</v>
      </c>
      <c r="BG435">
        <v>0</v>
      </c>
      <c r="BH435">
        <v>1675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"06:13:06.029"</f>
        <v>06:13:06.029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457</v>
      </c>
      <c r="CR435">
        <v>0</v>
      </c>
      <c r="CW435">
        <v>15511276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"08/29/2020 06:13:02.783"</f>
        <v>08/29/2020 06:13:02.783</v>
      </c>
      <c r="C436" t="str">
        <f t="shared" si="18"/>
        <v>FFDFD3C0</v>
      </c>
      <c r="D436" t="s">
        <v>121</v>
      </c>
      <c r="E436">
        <v>13</v>
      </c>
      <c r="F436">
        <v>1013</v>
      </c>
      <c r="G436" t="s">
        <v>122</v>
      </c>
      <c r="J436" t="s">
        <v>123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"06:13:06.023"</f>
        <v>06:13:06.023</v>
      </c>
      <c r="T436" t="str">
        <f>"06:13:05.623"</f>
        <v>06:13:05.623</v>
      </c>
      <c r="U436" t="str">
        <f t="shared" si="19"/>
        <v>A7E2E0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329</v>
      </c>
      <c r="AJ436">
        <v>39.142420000000001</v>
      </c>
      <c r="AK436" t="s">
        <v>405</v>
      </c>
      <c r="AL436">
        <v>-87.472049999999996</v>
      </c>
      <c r="AM436">
        <v>100</v>
      </c>
      <c r="AN436">
        <v>1900</v>
      </c>
      <c r="AO436" t="s">
        <v>118</v>
      </c>
      <c r="AP436">
        <v>-99</v>
      </c>
      <c r="AQ436">
        <v>-82</v>
      </c>
      <c r="AR436">
        <v>832</v>
      </c>
      <c r="AZ436">
        <v>4552</v>
      </c>
      <c r="BA436">
        <v>1</v>
      </c>
      <c r="BB436" t="str">
        <f t="shared" si="20"/>
        <v xml:space="preserve">N607SR  </v>
      </c>
      <c r="BC436">
        <v>1</v>
      </c>
      <c r="BE436">
        <v>0</v>
      </c>
      <c r="BF436">
        <v>0</v>
      </c>
      <c r="BG436">
        <v>0</v>
      </c>
      <c r="BH436">
        <v>1675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"06:13:06.029"</f>
        <v>06:13:06.029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457</v>
      </c>
      <c r="CR436">
        <v>0</v>
      </c>
      <c r="CW436">
        <v>15511276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"08/29/2020 06:13:03.308"</f>
        <v>08/29/2020 06:13:03.308</v>
      </c>
      <c r="C437" t="str">
        <f t="shared" si="18"/>
        <v>FFDFD3C0</v>
      </c>
      <c r="D437" t="s">
        <v>113</v>
      </c>
      <c r="E437">
        <v>5</v>
      </c>
      <c r="H437">
        <v>163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"06:13:06.531"</f>
        <v>06:13:06.531</v>
      </c>
      <c r="U437" t="str">
        <f t="shared" si="19"/>
        <v>A7E2E0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406</v>
      </c>
      <c r="AJ437">
        <v>39.142226999999998</v>
      </c>
      <c r="AK437" t="s">
        <v>407</v>
      </c>
      <c r="AL437">
        <v>-87.472307999999998</v>
      </c>
      <c r="AM437">
        <v>100</v>
      </c>
      <c r="AN437">
        <v>1900</v>
      </c>
      <c r="AO437" t="s">
        <v>118</v>
      </c>
      <c r="AP437">
        <v>-95</v>
      </c>
      <c r="AQ437">
        <v>-88</v>
      </c>
      <c r="AR437">
        <v>832</v>
      </c>
      <c r="AZ437">
        <v>4552</v>
      </c>
      <c r="BA437">
        <v>1</v>
      </c>
      <c r="BB437" t="str">
        <f t="shared" si="20"/>
        <v xml:space="preserve">N607SR  </v>
      </c>
      <c r="BC437">
        <v>1</v>
      </c>
      <c r="BE437">
        <v>0</v>
      </c>
      <c r="BF437">
        <v>0</v>
      </c>
      <c r="BG437">
        <v>0</v>
      </c>
      <c r="BH437">
        <v>1675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"06:13:06.538"</f>
        <v>06:13:06.538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457</v>
      </c>
      <c r="CR437">
        <v>0</v>
      </c>
      <c r="CW437">
        <v>15511288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"08/29/2020 06:13:03.308"</f>
        <v>08/29/2020 06:13:03.308</v>
      </c>
      <c r="C438" t="str">
        <f t="shared" si="18"/>
        <v>FFDFD3C0</v>
      </c>
      <c r="D438" t="s">
        <v>128</v>
      </c>
      <c r="E438">
        <v>5</v>
      </c>
      <c r="H438">
        <v>241</v>
      </c>
      <c r="I438" t="s">
        <v>129</v>
      </c>
      <c r="J438" t="s">
        <v>130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"06:13:06.531"</f>
        <v>06:13:06.531</v>
      </c>
      <c r="U438" t="str">
        <f t="shared" si="19"/>
        <v>A7E2E0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406</v>
      </c>
      <c r="AJ438">
        <v>39.142226999999998</v>
      </c>
      <c r="AK438" t="s">
        <v>407</v>
      </c>
      <c r="AL438">
        <v>-87.472307999999998</v>
      </c>
      <c r="AM438">
        <v>100</v>
      </c>
      <c r="AN438">
        <v>1900</v>
      </c>
      <c r="AO438" t="s">
        <v>118</v>
      </c>
      <c r="AP438">
        <v>-95</v>
      </c>
      <c r="AQ438">
        <v>-88</v>
      </c>
      <c r="AR438">
        <v>832</v>
      </c>
      <c r="AZ438">
        <v>4552</v>
      </c>
      <c r="BA438">
        <v>1</v>
      </c>
      <c r="BB438" t="str">
        <f t="shared" si="20"/>
        <v xml:space="preserve">N607SR  </v>
      </c>
      <c r="BC438">
        <v>1</v>
      </c>
      <c r="BE438">
        <v>0</v>
      </c>
      <c r="BF438">
        <v>0</v>
      </c>
      <c r="BG438">
        <v>0</v>
      </c>
      <c r="BH438">
        <v>1675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"06:13:06.538"</f>
        <v>06:13:06.538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457</v>
      </c>
      <c r="CR438">
        <v>0</v>
      </c>
      <c r="CW438">
        <v>15511288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"08/29/2020 06:13:03.744"</f>
        <v>08/29/2020 06:13:03.744</v>
      </c>
      <c r="C439" t="str">
        <f t="shared" si="18"/>
        <v>FFDFD3C0</v>
      </c>
      <c r="D439" t="s">
        <v>121</v>
      </c>
      <c r="E439">
        <v>10</v>
      </c>
      <c r="F439">
        <v>1010</v>
      </c>
      <c r="G439" t="s">
        <v>114</v>
      </c>
      <c r="J439" t="s">
        <v>123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"06:13:07.000"</f>
        <v>06:13:07.000</v>
      </c>
      <c r="T439" t="str">
        <f>"06:13:06.600"</f>
        <v>06:13:06.600</v>
      </c>
      <c r="U439" t="str">
        <f t="shared" si="19"/>
        <v>A7E2E0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408</v>
      </c>
      <c r="AJ439">
        <v>39.142012999999999</v>
      </c>
      <c r="AK439" t="s">
        <v>409</v>
      </c>
      <c r="AL439">
        <v>-87.472587000000004</v>
      </c>
      <c r="AM439">
        <v>100</v>
      </c>
      <c r="AN439">
        <v>1900</v>
      </c>
      <c r="AO439" t="s">
        <v>118</v>
      </c>
      <c r="AP439">
        <v>-95</v>
      </c>
      <c r="AQ439">
        <v>-88</v>
      </c>
      <c r="AR439">
        <v>832</v>
      </c>
      <c r="AZ439">
        <v>4552</v>
      </c>
      <c r="BA439">
        <v>1</v>
      </c>
      <c r="BB439" t="str">
        <f t="shared" si="20"/>
        <v xml:space="preserve">N607SR  </v>
      </c>
      <c r="BC439">
        <v>1</v>
      </c>
      <c r="BE439">
        <v>0</v>
      </c>
      <c r="BF439">
        <v>0</v>
      </c>
      <c r="BG439">
        <v>0</v>
      </c>
      <c r="BH439">
        <v>1675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"06:13:07.007"</f>
        <v>06:13:07.007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5</v>
      </c>
      <c r="CP439" t="s">
        <v>119</v>
      </c>
      <c r="CQ439">
        <v>177</v>
      </c>
      <c r="CR439">
        <v>2</v>
      </c>
      <c r="CW439">
        <v>1613374</v>
      </c>
      <c r="CY439">
        <v>1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"08/29/2020 06:13:03.744"</f>
        <v>08/29/2020 06:13:03.744</v>
      </c>
      <c r="C440" t="str">
        <f t="shared" si="18"/>
        <v>FFDFD3C0</v>
      </c>
      <c r="D440" t="s">
        <v>121</v>
      </c>
      <c r="E440">
        <v>11</v>
      </c>
      <c r="F440">
        <v>1011</v>
      </c>
      <c r="G440" t="s">
        <v>125</v>
      </c>
      <c r="J440" t="s">
        <v>123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"06:13:07.000"</f>
        <v>06:13:07.000</v>
      </c>
      <c r="T440" t="str">
        <f>"06:13:06.600"</f>
        <v>06:13:06.600</v>
      </c>
      <c r="U440" t="str">
        <f t="shared" si="19"/>
        <v>A7E2E0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408</v>
      </c>
      <c r="AJ440">
        <v>39.142012999999999</v>
      </c>
      <c r="AK440" t="s">
        <v>409</v>
      </c>
      <c r="AL440">
        <v>-87.472587000000004</v>
      </c>
      <c r="AM440">
        <v>100</v>
      </c>
      <c r="AN440">
        <v>1900</v>
      </c>
      <c r="AO440" t="s">
        <v>118</v>
      </c>
      <c r="AP440">
        <v>-95</v>
      </c>
      <c r="AQ440">
        <v>-88</v>
      </c>
      <c r="AR440">
        <v>832</v>
      </c>
      <c r="AZ440">
        <v>4552</v>
      </c>
      <c r="BA440">
        <v>1</v>
      </c>
      <c r="BB440" t="str">
        <f t="shared" si="20"/>
        <v xml:space="preserve">N607SR  </v>
      </c>
      <c r="BC440">
        <v>1</v>
      </c>
      <c r="BE440">
        <v>0</v>
      </c>
      <c r="BF440">
        <v>0</v>
      </c>
      <c r="BG440">
        <v>0</v>
      </c>
      <c r="BH440">
        <v>1675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"06:13:07.007"</f>
        <v>06:13:07.007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5</v>
      </c>
      <c r="CP440" t="s">
        <v>119</v>
      </c>
      <c r="CQ440">
        <v>177</v>
      </c>
      <c r="CR440">
        <v>2</v>
      </c>
      <c r="CW440">
        <v>1613374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"08/29/2020 06:13:03.744"</f>
        <v>08/29/2020 06:13:03.744</v>
      </c>
      <c r="C441" t="str">
        <f t="shared" si="18"/>
        <v>FFDFD3C0</v>
      </c>
      <c r="D441" t="s">
        <v>121</v>
      </c>
      <c r="E441">
        <v>13</v>
      </c>
      <c r="F441">
        <v>1013</v>
      </c>
      <c r="G441" t="s">
        <v>122</v>
      </c>
      <c r="J441" t="s">
        <v>123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"06:13:07.000"</f>
        <v>06:13:07.000</v>
      </c>
      <c r="T441" t="str">
        <f>"06:13:06.600"</f>
        <v>06:13:06.600</v>
      </c>
      <c r="U441" t="str">
        <f t="shared" si="19"/>
        <v>A7E2E0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408</v>
      </c>
      <c r="AJ441">
        <v>39.142012999999999</v>
      </c>
      <c r="AK441" t="s">
        <v>409</v>
      </c>
      <c r="AL441">
        <v>-87.472587000000004</v>
      </c>
      <c r="AM441">
        <v>100</v>
      </c>
      <c r="AN441">
        <v>1900</v>
      </c>
      <c r="AO441" t="s">
        <v>118</v>
      </c>
      <c r="AP441">
        <v>-95</v>
      </c>
      <c r="AQ441">
        <v>-88</v>
      </c>
      <c r="AR441">
        <v>832</v>
      </c>
      <c r="AZ441">
        <v>4552</v>
      </c>
      <c r="BA441">
        <v>1</v>
      </c>
      <c r="BB441" t="str">
        <f t="shared" si="20"/>
        <v xml:space="preserve">N607SR  </v>
      </c>
      <c r="BC441">
        <v>1</v>
      </c>
      <c r="BE441">
        <v>0</v>
      </c>
      <c r="BF441">
        <v>0</v>
      </c>
      <c r="BG441">
        <v>0</v>
      </c>
      <c r="BH441">
        <v>1675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"06:13:07.007"</f>
        <v>06:13:07.007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5</v>
      </c>
      <c r="CP441" t="s">
        <v>119</v>
      </c>
      <c r="CQ441">
        <v>177</v>
      </c>
      <c r="CR441">
        <v>2</v>
      </c>
      <c r="CW441">
        <v>1613374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"08/29/2020 06:13:04.269"</f>
        <v>08/29/2020 06:13:04.269</v>
      </c>
      <c r="C442" t="str">
        <f t="shared" si="18"/>
        <v>FFDFD3C0</v>
      </c>
      <c r="D442" t="s">
        <v>128</v>
      </c>
      <c r="E442">
        <v>5</v>
      </c>
      <c r="H442">
        <v>241</v>
      </c>
      <c r="I442" t="s">
        <v>129</v>
      </c>
      <c r="J442" t="s">
        <v>130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"06:13:07.477"</f>
        <v>06:13:07.477</v>
      </c>
      <c r="T442" t="str">
        <f>"06:13:07.077"</f>
        <v>06:13:07.077</v>
      </c>
      <c r="U442" t="str">
        <f t="shared" si="19"/>
        <v>A7E2E0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410</v>
      </c>
      <c r="AJ442">
        <v>39.141818999999998</v>
      </c>
      <c r="AK442" t="s">
        <v>411</v>
      </c>
      <c r="AL442">
        <v>-87.472843999999995</v>
      </c>
      <c r="AM442">
        <v>100</v>
      </c>
      <c r="AN442">
        <v>1900</v>
      </c>
      <c r="AO442" t="s">
        <v>118</v>
      </c>
      <c r="AP442">
        <v>-92</v>
      </c>
      <c r="AQ442">
        <v>-91</v>
      </c>
      <c r="AR442">
        <v>832</v>
      </c>
      <c r="AZ442">
        <v>4552</v>
      </c>
      <c r="BA442">
        <v>1</v>
      </c>
      <c r="BB442" t="str">
        <f t="shared" si="20"/>
        <v xml:space="preserve">N607SR  </v>
      </c>
      <c r="BC442">
        <v>1</v>
      </c>
      <c r="BE442">
        <v>0</v>
      </c>
      <c r="BF442">
        <v>0</v>
      </c>
      <c r="BG442">
        <v>0</v>
      </c>
      <c r="BH442">
        <v>1700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"06:13:07.477"</f>
        <v>06:13:07.477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5</v>
      </c>
      <c r="CP442" t="s">
        <v>119</v>
      </c>
      <c r="CQ442">
        <v>177</v>
      </c>
      <c r="CR442">
        <v>2</v>
      </c>
      <c r="CW442">
        <v>1613442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"08/29/2020 06:13:04.269"</f>
        <v>08/29/2020 06:13:04.269</v>
      </c>
      <c r="C443" t="str">
        <f t="shared" si="18"/>
        <v>FFDFD3C0</v>
      </c>
      <c r="D443" t="s">
        <v>113</v>
      </c>
      <c r="E443">
        <v>5</v>
      </c>
      <c r="H443">
        <v>163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"06:13:07.477"</f>
        <v>06:13:07.477</v>
      </c>
      <c r="T443" t="str">
        <f>"06:13:07.077"</f>
        <v>06:13:07.077</v>
      </c>
      <c r="U443" t="str">
        <f t="shared" si="19"/>
        <v>A7E2E0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410</v>
      </c>
      <c r="AJ443">
        <v>39.141818999999998</v>
      </c>
      <c r="AK443" t="s">
        <v>411</v>
      </c>
      <c r="AL443">
        <v>-87.472843999999995</v>
      </c>
      <c r="AM443">
        <v>100</v>
      </c>
      <c r="AN443">
        <v>1900</v>
      </c>
      <c r="AO443" t="s">
        <v>118</v>
      </c>
      <c r="AP443">
        <v>-92</v>
      </c>
      <c r="AQ443">
        <v>-91</v>
      </c>
      <c r="AR443">
        <v>832</v>
      </c>
      <c r="AZ443">
        <v>4552</v>
      </c>
      <c r="BA443">
        <v>1</v>
      </c>
      <c r="BB443" t="str">
        <f t="shared" si="20"/>
        <v xml:space="preserve">N607SR  </v>
      </c>
      <c r="BC443">
        <v>1</v>
      </c>
      <c r="BE443">
        <v>0</v>
      </c>
      <c r="BF443">
        <v>0</v>
      </c>
      <c r="BG443">
        <v>0</v>
      </c>
      <c r="BH443">
        <v>1700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"06:13:07.477"</f>
        <v>06:13:07.477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5</v>
      </c>
      <c r="CP443" t="s">
        <v>119</v>
      </c>
      <c r="CQ443">
        <v>177</v>
      </c>
      <c r="CR443">
        <v>2</v>
      </c>
      <c r="CW443">
        <v>1613442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"08/29/2020 06:13:04.805"</f>
        <v>08/29/2020 06:13:04.805</v>
      </c>
      <c r="C444" t="str">
        <f t="shared" si="18"/>
        <v>FFDFD3C0</v>
      </c>
      <c r="D444" t="s">
        <v>121</v>
      </c>
      <c r="E444">
        <v>10</v>
      </c>
      <c r="F444">
        <v>1010</v>
      </c>
      <c r="G444" t="s">
        <v>114</v>
      </c>
      <c r="J444" t="s">
        <v>123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"06:13:08.008"</f>
        <v>06:13:08.008</v>
      </c>
      <c r="T444" t="str">
        <f>"06:13:07.508"</f>
        <v>06:13:07.508</v>
      </c>
      <c r="U444" t="str">
        <f t="shared" si="19"/>
        <v>A7E2E0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319</v>
      </c>
      <c r="AJ444">
        <v>39.141582999999997</v>
      </c>
      <c r="AK444" t="s">
        <v>412</v>
      </c>
      <c r="AL444">
        <v>-87.473145000000002</v>
      </c>
      <c r="AM444">
        <v>100</v>
      </c>
      <c r="AN444">
        <v>1900</v>
      </c>
      <c r="AO444" t="s">
        <v>118</v>
      </c>
      <c r="AP444">
        <v>-91</v>
      </c>
      <c r="AQ444">
        <v>-93</v>
      </c>
      <c r="AR444">
        <v>832</v>
      </c>
      <c r="AZ444">
        <v>4552</v>
      </c>
      <c r="BA444">
        <v>1</v>
      </c>
      <c r="BB444" t="str">
        <f t="shared" si="20"/>
        <v xml:space="preserve">N607SR  </v>
      </c>
      <c r="BC444">
        <v>1</v>
      </c>
      <c r="BE444">
        <v>0</v>
      </c>
      <c r="BF444">
        <v>0</v>
      </c>
      <c r="BG444">
        <v>0</v>
      </c>
      <c r="BH444">
        <v>1700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"06:13:08.008"</f>
        <v>06:13:08.008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457</v>
      </c>
      <c r="CR444">
        <v>0</v>
      </c>
      <c r="CW444">
        <v>15511331</v>
      </c>
      <c r="CY444">
        <v>1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"08/29/2020 06:13:04.805"</f>
        <v>08/29/2020 06:13:04.805</v>
      </c>
      <c r="C445" t="str">
        <f t="shared" si="18"/>
        <v>FFDFD3C0</v>
      </c>
      <c r="D445" t="s">
        <v>121</v>
      </c>
      <c r="E445">
        <v>11</v>
      </c>
      <c r="F445">
        <v>1011</v>
      </c>
      <c r="G445" t="s">
        <v>125</v>
      </c>
      <c r="J445" t="s">
        <v>123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"06:13:08.008"</f>
        <v>06:13:08.008</v>
      </c>
      <c r="T445" t="str">
        <f>"06:13:07.508"</f>
        <v>06:13:07.508</v>
      </c>
      <c r="U445" t="str">
        <f t="shared" si="19"/>
        <v>A7E2E0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319</v>
      </c>
      <c r="AJ445">
        <v>39.141582999999997</v>
      </c>
      <c r="AK445" t="s">
        <v>412</v>
      </c>
      <c r="AL445">
        <v>-87.473145000000002</v>
      </c>
      <c r="AM445">
        <v>100</v>
      </c>
      <c r="AN445">
        <v>1900</v>
      </c>
      <c r="AO445" t="s">
        <v>118</v>
      </c>
      <c r="AP445">
        <v>-91</v>
      </c>
      <c r="AQ445">
        <v>-93</v>
      </c>
      <c r="AR445">
        <v>832</v>
      </c>
      <c r="AZ445">
        <v>4552</v>
      </c>
      <c r="BA445">
        <v>1</v>
      </c>
      <c r="BB445" t="str">
        <f t="shared" si="20"/>
        <v xml:space="preserve">N607SR  </v>
      </c>
      <c r="BC445">
        <v>1</v>
      </c>
      <c r="BE445">
        <v>0</v>
      </c>
      <c r="BF445">
        <v>0</v>
      </c>
      <c r="BG445">
        <v>0</v>
      </c>
      <c r="BH445">
        <v>1700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"06:13:08.008"</f>
        <v>06:13:08.008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457</v>
      </c>
      <c r="CR445">
        <v>0</v>
      </c>
      <c r="CW445">
        <v>15511331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"08/29/2020 06:13:04.805"</f>
        <v>08/29/2020 06:13:04.805</v>
      </c>
      <c r="C446" t="str">
        <f t="shared" si="18"/>
        <v>FFDFD3C0</v>
      </c>
      <c r="D446" t="s">
        <v>121</v>
      </c>
      <c r="E446">
        <v>13</v>
      </c>
      <c r="F446">
        <v>1013</v>
      </c>
      <c r="G446" t="s">
        <v>122</v>
      </c>
      <c r="J446" t="s">
        <v>123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"06:13:08.008"</f>
        <v>06:13:08.008</v>
      </c>
      <c r="T446" t="str">
        <f>"06:13:07.508"</f>
        <v>06:13:07.508</v>
      </c>
      <c r="U446" t="str">
        <f t="shared" si="19"/>
        <v>A7E2E0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319</v>
      </c>
      <c r="AJ446">
        <v>39.141582999999997</v>
      </c>
      <c r="AK446" t="s">
        <v>412</v>
      </c>
      <c r="AL446">
        <v>-87.473145000000002</v>
      </c>
      <c r="AM446">
        <v>100</v>
      </c>
      <c r="AN446">
        <v>1900</v>
      </c>
      <c r="AO446" t="s">
        <v>118</v>
      </c>
      <c r="AP446">
        <v>-91</v>
      </c>
      <c r="AQ446">
        <v>-93</v>
      </c>
      <c r="AR446">
        <v>832</v>
      </c>
      <c r="AZ446">
        <v>4552</v>
      </c>
      <c r="BA446">
        <v>1</v>
      </c>
      <c r="BB446" t="str">
        <f t="shared" si="20"/>
        <v xml:space="preserve">N607SR  </v>
      </c>
      <c r="BC446">
        <v>1</v>
      </c>
      <c r="BE446">
        <v>0</v>
      </c>
      <c r="BF446">
        <v>0</v>
      </c>
      <c r="BG446">
        <v>0</v>
      </c>
      <c r="BH446">
        <v>1700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"06:13:08.008"</f>
        <v>06:13:08.008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457</v>
      </c>
      <c r="CR446">
        <v>0</v>
      </c>
      <c r="CW446">
        <v>15511331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"08/29/2020 06:13:05.384"</f>
        <v>08/29/2020 06:13:05.384</v>
      </c>
      <c r="C447" t="str">
        <f t="shared" si="18"/>
        <v>FFDFD3C0</v>
      </c>
      <c r="D447" t="s">
        <v>128</v>
      </c>
      <c r="E447">
        <v>5</v>
      </c>
      <c r="H447">
        <v>241</v>
      </c>
      <c r="I447" t="s">
        <v>129</v>
      </c>
      <c r="J447" t="s">
        <v>130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"06:13:08.563"</f>
        <v>06:13:08.563</v>
      </c>
      <c r="T447" t="str">
        <f>"06:13:08.063"</f>
        <v>06:13:08.063</v>
      </c>
      <c r="U447" t="str">
        <f t="shared" si="19"/>
        <v>A7E2E0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413</v>
      </c>
      <c r="AJ447">
        <v>39.141347000000003</v>
      </c>
      <c r="AK447" t="s">
        <v>414</v>
      </c>
      <c r="AL447">
        <v>-87.473381000000003</v>
      </c>
      <c r="AM447">
        <v>100</v>
      </c>
      <c r="AN447">
        <v>1900</v>
      </c>
      <c r="AO447" t="s">
        <v>118</v>
      </c>
      <c r="AP447">
        <v>-88</v>
      </c>
      <c r="AQ447">
        <v>-96</v>
      </c>
      <c r="AR447">
        <v>832</v>
      </c>
      <c r="AZ447">
        <v>4552</v>
      </c>
      <c r="BA447">
        <v>1</v>
      </c>
      <c r="BB447" t="str">
        <f t="shared" si="20"/>
        <v xml:space="preserve">N607SR  </v>
      </c>
      <c r="BC447">
        <v>1</v>
      </c>
      <c r="BE447">
        <v>0</v>
      </c>
      <c r="BF447">
        <v>0</v>
      </c>
      <c r="BG447">
        <v>0</v>
      </c>
      <c r="BH447">
        <v>1700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"06:13:08.570"</f>
        <v>06:13:08.570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457</v>
      </c>
      <c r="CR447">
        <v>0</v>
      </c>
      <c r="CW447">
        <v>15511347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"08/29/2020 06:13:05.384"</f>
        <v>08/29/2020 06:13:05.384</v>
      </c>
      <c r="C448" t="str">
        <f t="shared" si="18"/>
        <v>FFDFD3C0</v>
      </c>
      <c r="D448" t="s">
        <v>113</v>
      </c>
      <c r="E448">
        <v>5</v>
      </c>
      <c r="H448">
        <v>163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"06:13:08.563"</f>
        <v>06:13:08.563</v>
      </c>
      <c r="T448" t="str">
        <f>"06:13:08.063"</f>
        <v>06:13:08.063</v>
      </c>
      <c r="U448" t="str">
        <f t="shared" si="19"/>
        <v>A7E2E0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413</v>
      </c>
      <c r="AJ448">
        <v>39.141347000000003</v>
      </c>
      <c r="AK448" t="s">
        <v>414</v>
      </c>
      <c r="AL448">
        <v>-87.473381000000003</v>
      </c>
      <c r="AM448">
        <v>100</v>
      </c>
      <c r="AN448">
        <v>1900</v>
      </c>
      <c r="AO448" t="s">
        <v>118</v>
      </c>
      <c r="AP448">
        <v>-88</v>
      </c>
      <c r="AQ448">
        <v>-96</v>
      </c>
      <c r="AR448">
        <v>832</v>
      </c>
      <c r="AZ448">
        <v>4552</v>
      </c>
      <c r="BA448">
        <v>1</v>
      </c>
      <c r="BB448" t="str">
        <f t="shared" si="20"/>
        <v xml:space="preserve">N607SR  </v>
      </c>
      <c r="BC448">
        <v>1</v>
      </c>
      <c r="BE448">
        <v>0</v>
      </c>
      <c r="BF448">
        <v>0</v>
      </c>
      <c r="BG448">
        <v>0</v>
      </c>
      <c r="BH448">
        <v>1700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"06:13:08.570"</f>
        <v>06:13:08.570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457</v>
      </c>
      <c r="CR448">
        <v>0</v>
      </c>
      <c r="CW448">
        <v>15511347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"08/29/2020 06:13:05.969"</f>
        <v>08/29/2020 06:13:05.969</v>
      </c>
      <c r="C449" t="str">
        <f t="shared" si="18"/>
        <v>FFDFD3C0</v>
      </c>
      <c r="D449" t="s">
        <v>121</v>
      </c>
      <c r="E449">
        <v>10</v>
      </c>
      <c r="F449">
        <v>1010</v>
      </c>
      <c r="G449" t="s">
        <v>114</v>
      </c>
      <c r="J449" t="s">
        <v>123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"06:13:09.164"</f>
        <v>06:13:09.164</v>
      </c>
      <c r="U449" t="str">
        <f t="shared" si="19"/>
        <v>A7E2E0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415</v>
      </c>
      <c r="AJ449">
        <v>39.141089999999998</v>
      </c>
      <c r="AK449" t="s">
        <v>416</v>
      </c>
      <c r="AL449">
        <v>-87.473680999999999</v>
      </c>
      <c r="AM449">
        <v>100</v>
      </c>
      <c r="AN449">
        <v>2000</v>
      </c>
      <c r="AO449" t="s">
        <v>118</v>
      </c>
      <c r="AP449">
        <v>-84</v>
      </c>
      <c r="AQ449">
        <v>-100</v>
      </c>
      <c r="AR449">
        <v>832</v>
      </c>
      <c r="AZ449">
        <v>4552</v>
      </c>
      <c r="BA449">
        <v>1</v>
      </c>
      <c r="BB449" t="str">
        <f t="shared" si="20"/>
        <v xml:space="preserve">N607SR  </v>
      </c>
      <c r="BC449">
        <v>1</v>
      </c>
      <c r="BE449">
        <v>0</v>
      </c>
      <c r="BF449">
        <v>0</v>
      </c>
      <c r="BG449">
        <v>0</v>
      </c>
      <c r="BH449">
        <v>1725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"06:13:09.166"</f>
        <v>06:13:09.166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457</v>
      </c>
      <c r="CR449">
        <v>0</v>
      </c>
      <c r="CW449">
        <v>15511367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"08/29/2020 06:13:05.969"</f>
        <v>08/29/2020 06:13:05.969</v>
      </c>
      <c r="C450" t="str">
        <f t="shared" ref="C450:C513" si="21">"FFDFD3C0"</f>
        <v>FFDFD3C0</v>
      </c>
      <c r="D450" t="s">
        <v>121</v>
      </c>
      <c r="E450">
        <v>11</v>
      </c>
      <c r="F450">
        <v>1011</v>
      </c>
      <c r="G450" t="s">
        <v>125</v>
      </c>
      <c r="J450" t="s">
        <v>123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"06:13:09.164"</f>
        <v>06:13:09.164</v>
      </c>
      <c r="U450" t="str">
        <f t="shared" ref="U450:U513" si="22">"A7E2E0"</f>
        <v>A7E2E0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415</v>
      </c>
      <c r="AJ450">
        <v>39.141089999999998</v>
      </c>
      <c r="AK450" t="s">
        <v>416</v>
      </c>
      <c r="AL450">
        <v>-87.473680999999999</v>
      </c>
      <c r="AM450">
        <v>100</v>
      </c>
      <c r="AN450">
        <v>2000</v>
      </c>
      <c r="AO450" t="s">
        <v>118</v>
      </c>
      <c r="AP450">
        <v>-84</v>
      </c>
      <c r="AQ450">
        <v>-100</v>
      </c>
      <c r="AR450">
        <v>832</v>
      </c>
      <c r="AZ450">
        <v>4552</v>
      </c>
      <c r="BA450">
        <v>1</v>
      </c>
      <c r="BB450" t="str">
        <f t="shared" ref="BB450:BB513" si="23">"N607SR  "</f>
        <v xml:space="preserve">N607SR  </v>
      </c>
      <c r="BC450">
        <v>1</v>
      </c>
      <c r="BE450">
        <v>0</v>
      </c>
      <c r="BF450">
        <v>0</v>
      </c>
      <c r="BG450">
        <v>0</v>
      </c>
      <c r="BH450">
        <v>1725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"06:13:09.166"</f>
        <v>06:13:09.166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457</v>
      </c>
      <c r="CR450">
        <v>0</v>
      </c>
      <c r="CW450">
        <v>15511367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"08/29/2020 06:13:05.969"</f>
        <v>08/29/2020 06:13:05.969</v>
      </c>
      <c r="C451" t="str">
        <f t="shared" si="21"/>
        <v>FFDFD3C0</v>
      </c>
      <c r="D451" t="s">
        <v>121</v>
      </c>
      <c r="E451">
        <v>13</v>
      </c>
      <c r="F451">
        <v>1013</v>
      </c>
      <c r="G451" t="s">
        <v>122</v>
      </c>
      <c r="J451" t="s">
        <v>123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"06:13:09.164"</f>
        <v>06:13:09.164</v>
      </c>
      <c r="U451" t="str">
        <f t="shared" si="22"/>
        <v>A7E2E0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415</v>
      </c>
      <c r="AJ451">
        <v>39.141089999999998</v>
      </c>
      <c r="AK451" t="s">
        <v>416</v>
      </c>
      <c r="AL451">
        <v>-87.473680999999999</v>
      </c>
      <c r="AM451">
        <v>100</v>
      </c>
      <c r="AN451">
        <v>2000</v>
      </c>
      <c r="AO451" t="s">
        <v>118</v>
      </c>
      <c r="AP451">
        <v>-84</v>
      </c>
      <c r="AQ451">
        <v>-100</v>
      </c>
      <c r="AR451">
        <v>832</v>
      </c>
      <c r="AZ451">
        <v>4552</v>
      </c>
      <c r="BA451">
        <v>1</v>
      </c>
      <c r="BB451" t="str">
        <f t="shared" si="23"/>
        <v xml:space="preserve">N607SR  </v>
      </c>
      <c r="BC451">
        <v>1</v>
      </c>
      <c r="BE451">
        <v>0</v>
      </c>
      <c r="BF451">
        <v>0</v>
      </c>
      <c r="BG451">
        <v>0</v>
      </c>
      <c r="BH451">
        <v>1725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"06:13:09.166"</f>
        <v>06:13:09.166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457</v>
      </c>
      <c r="CR451">
        <v>0</v>
      </c>
      <c r="CW451">
        <v>15511367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"08/29/2020 06:13:06.447"</f>
        <v>08/29/2020 06:13:06.447</v>
      </c>
      <c r="C452" t="str">
        <f t="shared" si="21"/>
        <v>FFDFD3C0</v>
      </c>
      <c r="D452" t="s">
        <v>128</v>
      </c>
      <c r="E452">
        <v>5</v>
      </c>
      <c r="H452">
        <v>241</v>
      </c>
      <c r="I452" t="s">
        <v>129</v>
      </c>
      <c r="J452" t="s">
        <v>130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"06:13:09.617"</f>
        <v>06:13:09.617</v>
      </c>
      <c r="U452" t="str">
        <f t="shared" si="22"/>
        <v>A7E2E0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417</v>
      </c>
      <c r="AJ452">
        <v>39.140832000000003</v>
      </c>
      <c r="AK452" t="s">
        <v>418</v>
      </c>
      <c r="AL452">
        <v>-87.473938000000004</v>
      </c>
      <c r="AM452">
        <v>100</v>
      </c>
      <c r="AN452">
        <v>2000</v>
      </c>
      <c r="AO452" t="s">
        <v>118</v>
      </c>
      <c r="AP452">
        <v>-82</v>
      </c>
      <c r="AQ452">
        <v>-102</v>
      </c>
      <c r="AR452">
        <v>832</v>
      </c>
      <c r="AZ452">
        <v>4552</v>
      </c>
      <c r="BA452">
        <v>1</v>
      </c>
      <c r="BB452" t="str">
        <f t="shared" si="23"/>
        <v xml:space="preserve">N607SR  </v>
      </c>
      <c r="BC452">
        <v>1</v>
      </c>
      <c r="BE452">
        <v>0</v>
      </c>
      <c r="BF452">
        <v>0</v>
      </c>
      <c r="BG452">
        <v>0</v>
      </c>
      <c r="BH452">
        <v>1725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"06:13:09.624"</f>
        <v>06:13:09.624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457</v>
      </c>
      <c r="CR452">
        <v>0</v>
      </c>
      <c r="CW452">
        <v>15511379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"08/29/2020 06:13:06.447"</f>
        <v>08/29/2020 06:13:06.447</v>
      </c>
      <c r="C453" t="str">
        <f t="shared" si="21"/>
        <v>FFDFD3C0</v>
      </c>
      <c r="D453" t="s">
        <v>113</v>
      </c>
      <c r="E453">
        <v>5</v>
      </c>
      <c r="H453">
        <v>163</v>
      </c>
      <c r="I453" t="s">
        <v>114</v>
      </c>
      <c r="J453" t="s">
        <v>115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"06:13:09.617"</f>
        <v>06:13:09.617</v>
      </c>
      <c r="U453" t="str">
        <f t="shared" si="22"/>
        <v>A7E2E0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417</v>
      </c>
      <c r="AJ453">
        <v>39.140832000000003</v>
      </c>
      <c r="AK453" t="s">
        <v>418</v>
      </c>
      <c r="AL453">
        <v>-87.473938000000004</v>
      </c>
      <c r="AM453">
        <v>100</v>
      </c>
      <c r="AN453">
        <v>2000</v>
      </c>
      <c r="AO453" t="s">
        <v>118</v>
      </c>
      <c r="AP453">
        <v>-82</v>
      </c>
      <c r="AQ453">
        <v>-102</v>
      </c>
      <c r="AR453">
        <v>832</v>
      </c>
      <c r="AZ453">
        <v>4552</v>
      </c>
      <c r="BA453">
        <v>1</v>
      </c>
      <c r="BB453" t="str">
        <f t="shared" si="23"/>
        <v xml:space="preserve">N607SR  </v>
      </c>
      <c r="BC453">
        <v>1</v>
      </c>
      <c r="BE453">
        <v>0</v>
      </c>
      <c r="BF453">
        <v>0</v>
      </c>
      <c r="BG453">
        <v>0</v>
      </c>
      <c r="BH453">
        <v>1725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"06:13:09.624"</f>
        <v>06:13:09.624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457</v>
      </c>
      <c r="CR453">
        <v>0</v>
      </c>
      <c r="CW453">
        <v>15511379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"08/29/2020 06:13:06.930"</f>
        <v>08/29/2020 06:13:06.930</v>
      </c>
      <c r="C454" t="str">
        <f t="shared" si="21"/>
        <v>FFDFD3C0</v>
      </c>
      <c r="D454" t="s">
        <v>121</v>
      </c>
      <c r="E454">
        <v>10</v>
      </c>
      <c r="F454">
        <v>1010</v>
      </c>
      <c r="G454" t="s">
        <v>114</v>
      </c>
      <c r="J454" t="s">
        <v>123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"06:13:10.133"</f>
        <v>06:13:10.133</v>
      </c>
      <c r="T454" t="str">
        <f>"06:13:09.633"</f>
        <v>06:13:09.633</v>
      </c>
      <c r="U454" t="str">
        <f t="shared" si="22"/>
        <v>A7E2E0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309</v>
      </c>
      <c r="AJ454">
        <v>39.140574999999998</v>
      </c>
      <c r="AK454" t="s">
        <v>419</v>
      </c>
      <c r="AL454">
        <v>-87.474153000000001</v>
      </c>
      <c r="AM454">
        <v>100</v>
      </c>
      <c r="AN454">
        <v>2000</v>
      </c>
      <c r="AO454" t="s">
        <v>118</v>
      </c>
      <c r="AP454">
        <v>-82</v>
      </c>
      <c r="AQ454">
        <v>-102</v>
      </c>
      <c r="AR454">
        <v>832</v>
      </c>
      <c r="AZ454">
        <v>4552</v>
      </c>
      <c r="BA454">
        <v>1</v>
      </c>
      <c r="BB454" t="str">
        <f t="shared" si="23"/>
        <v xml:space="preserve">N607SR  </v>
      </c>
      <c r="BC454">
        <v>1</v>
      </c>
      <c r="BE454">
        <v>0</v>
      </c>
      <c r="BF454">
        <v>0</v>
      </c>
      <c r="BG454">
        <v>0</v>
      </c>
      <c r="BH454">
        <v>1725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"06:13:10.135"</f>
        <v>06:13:10.135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457</v>
      </c>
      <c r="CR454">
        <v>0</v>
      </c>
      <c r="CW454">
        <v>15511395</v>
      </c>
      <c r="CY454">
        <v>1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"08/29/2020 06:13:06.930"</f>
        <v>08/29/2020 06:13:06.930</v>
      </c>
      <c r="C455" t="str">
        <f t="shared" si="21"/>
        <v>FFDFD3C0</v>
      </c>
      <c r="D455" t="s">
        <v>121</v>
      </c>
      <c r="E455">
        <v>13</v>
      </c>
      <c r="F455">
        <v>1013</v>
      </c>
      <c r="G455" t="s">
        <v>122</v>
      </c>
      <c r="J455" t="s">
        <v>123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"06:13:10.133"</f>
        <v>06:13:10.133</v>
      </c>
      <c r="T455" t="str">
        <f>"06:13:09.633"</f>
        <v>06:13:09.633</v>
      </c>
      <c r="U455" t="str">
        <f t="shared" si="22"/>
        <v>A7E2E0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309</v>
      </c>
      <c r="AJ455">
        <v>39.140574999999998</v>
      </c>
      <c r="AK455" t="s">
        <v>419</v>
      </c>
      <c r="AL455">
        <v>-87.474153000000001</v>
      </c>
      <c r="AM455">
        <v>100</v>
      </c>
      <c r="AN455">
        <v>2000</v>
      </c>
      <c r="AO455" t="s">
        <v>118</v>
      </c>
      <c r="AP455">
        <v>-82</v>
      </c>
      <c r="AQ455">
        <v>-102</v>
      </c>
      <c r="AR455">
        <v>832</v>
      </c>
      <c r="AZ455">
        <v>4552</v>
      </c>
      <c r="BA455">
        <v>1</v>
      </c>
      <c r="BB455" t="str">
        <f t="shared" si="23"/>
        <v xml:space="preserve">N607SR  </v>
      </c>
      <c r="BC455">
        <v>1</v>
      </c>
      <c r="BE455">
        <v>0</v>
      </c>
      <c r="BF455">
        <v>0</v>
      </c>
      <c r="BG455">
        <v>0</v>
      </c>
      <c r="BH455">
        <v>1725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"06:13:10.135"</f>
        <v>06:13:10.135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457</v>
      </c>
      <c r="CR455">
        <v>0</v>
      </c>
      <c r="CW455">
        <v>15511395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"08/29/2020 06:13:06.930"</f>
        <v>08/29/2020 06:13:06.930</v>
      </c>
      <c r="C456" t="str">
        <f t="shared" si="21"/>
        <v>FFDFD3C0</v>
      </c>
      <c r="D456" t="s">
        <v>121</v>
      </c>
      <c r="E456">
        <v>11</v>
      </c>
      <c r="F456">
        <v>1011</v>
      </c>
      <c r="G456" t="s">
        <v>125</v>
      </c>
      <c r="J456" t="s">
        <v>123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"06:13:10.133"</f>
        <v>06:13:10.133</v>
      </c>
      <c r="T456" t="str">
        <f>"06:13:09.633"</f>
        <v>06:13:09.633</v>
      </c>
      <c r="U456" t="str">
        <f t="shared" si="22"/>
        <v>A7E2E0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309</v>
      </c>
      <c r="AJ456">
        <v>39.140574999999998</v>
      </c>
      <c r="AK456" t="s">
        <v>419</v>
      </c>
      <c r="AL456">
        <v>-87.474153000000001</v>
      </c>
      <c r="AM456">
        <v>100</v>
      </c>
      <c r="AN456">
        <v>2000</v>
      </c>
      <c r="AO456" t="s">
        <v>118</v>
      </c>
      <c r="AP456">
        <v>-82</v>
      </c>
      <c r="AQ456">
        <v>-102</v>
      </c>
      <c r="AR456">
        <v>832</v>
      </c>
      <c r="AZ456">
        <v>4552</v>
      </c>
      <c r="BA456">
        <v>1</v>
      </c>
      <c r="BB456" t="str">
        <f t="shared" si="23"/>
        <v xml:space="preserve">N607SR  </v>
      </c>
      <c r="BC456">
        <v>1</v>
      </c>
      <c r="BE456">
        <v>0</v>
      </c>
      <c r="BF456">
        <v>0</v>
      </c>
      <c r="BG456">
        <v>0</v>
      </c>
      <c r="BH456">
        <v>1725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"06:13:10.135"</f>
        <v>06:13:10.135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457</v>
      </c>
      <c r="CR456">
        <v>0</v>
      </c>
      <c r="CW456">
        <v>15511395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"08/29/2020 06:13:07.360"</f>
        <v>08/29/2020 06:13:07.360</v>
      </c>
      <c r="C457" t="str">
        <f t="shared" si="21"/>
        <v>FFDFD3C0</v>
      </c>
      <c r="D457" t="s">
        <v>128</v>
      </c>
      <c r="E457">
        <v>5</v>
      </c>
      <c r="H457">
        <v>241</v>
      </c>
      <c r="I457" t="s">
        <v>129</v>
      </c>
      <c r="J457" t="s">
        <v>130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"06:13:10.578"</f>
        <v>06:13:10.578</v>
      </c>
      <c r="T457" t="str">
        <f>"06:13:10.178"</f>
        <v>06:13:10.178</v>
      </c>
      <c r="U457" t="str">
        <f t="shared" si="22"/>
        <v>A7E2E0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420</v>
      </c>
      <c r="AJ457">
        <v>39.140402999999999</v>
      </c>
      <c r="AK457" t="s">
        <v>421</v>
      </c>
      <c r="AL457">
        <v>-87.474389000000002</v>
      </c>
      <c r="AM457">
        <v>100</v>
      </c>
      <c r="AN457">
        <v>2000</v>
      </c>
      <c r="AO457" t="s">
        <v>118</v>
      </c>
      <c r="AP457">
        <v>-81</v>
      </c>
      <c r="AQ457">
        <v>-104</v>
      </c>
      <c r="AR457">
        <v>832</v>
      </c>
      <c r="AZ457">
        <v>4552</v>
      </c>
      <c r="BA457">
        <v>1</v>
      </c>
      <c r="BB457" t="str">
        <f t="shared" si="23"/>
        <v xml:space="preserve">N607SR  </v>
      </c>
      <c r="BC457">
        <v>1</v>
      </c>
      <c r="BE457">
        <v>0</v>
      </c>
      <c r="BF457">
        <v>0</v>
      </c>
      <c r="BG457">
        <v>0</v>
      </c>
      <c r="BH457">
        <v>1725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"06:13:10.584"</f>
        <v>06:13:10.584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457</v>
      </c>
      <c r="CR457">
        <v>0</v>
      </c>
      <c r="CW457">
        <v>15511408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"08/29/2020 06:13:07.360"</f>
        <v>08/29/2020 06:13:07.360</v>
      </c>
      <c r="C458" t="str">
        <f t="shared" si="21"/>
        <v>FFDFD3C0</v>
      </c>
      <c r="D458" t="s">
        <v>113</v>
      </c>
      <c r="E458">
        <v>5</v>
      </c>
      <c r="H458">
        <v>163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"06:13:10.578"</f>
        <v>06:13:10.578</v>
      </c>
      <c r="T458" t="str">
        <f>"06:13:10.178"</f>
        <v>06:13:10.178</v>
      </c>
      <c r="U458" t="str">
        <f t="shared" si="22"/>
        <v>A7E2E0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420</v>
      </c>
      <c r="AJ458">
        <v>39.140402999999999</v>
      </c>
      <c r="AK458" t="s">
        <v>421</v>
      </c>
      <c r="AL458">
        <v>-87.474389000000002</v>
      </c>
      <c r="AM458">
        <v>100</v>
      </c>
      <c r="AN458">
        <v>2000</v>
      </c>
      <c r="AO458" t="s">
        <v>118</v>
      </c>
      <c r="AP458">
        <v>-81</v>
      </c>
      <c r="AQ458">
        <v>-104</v>
      </c>
      <c r="AR458">
        <v>832</v>
      </c>
      <c r="AZ458">
        <v>4552</v>
      </c>
      <c r="BA458">
        <v>1</v>
      </c>
      <c r="BB458" t="str">
        <f t="shared" si="23"/>
        <v xml:space="preserve">N607SR  </v>
      </c>
      <c r="BC458">
        <v>1</v>
      </c>
      <c r="BE458">
        <v>0</v>
      </c>
      <c r="BF458">
        <v>0</v>
      </c>
      <c r="BG458">
        <v>0</v>
      </c>
      <c r="BH458">
        <v>1725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"06:13:10.584"</f>
        <v>06:13:10.584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457</v>
      </c>
      <c r="CR458">
        <v>0</v>
      </c>
      <c r="CW458">
        <v>15511408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"08/29/2020 06:13:07.891"</f>
        <v>08/29/2020 06:13:07.891</v>
      </c>
      <c r="C459" t="str">
        <f t="shared" si="21"/>
        <v>FFDFD3C0</v>
      </c>
      <c r="D459" t="s">
        <v>121</v>
      </c>
      <c r="E459">
        <v>10</v>
      </c>
      <c r="F459">
        <v>1010</v>
      </c>
      <c r="G459" t="s">
        <v>114</v>
      </c>
      <c r="J459" t="s">
        <v>123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"06:13:11.078"</f>
        <v>06:13:11.078</v>
      </c>
      <c r="U459" t="str">
        <f t="shared" si="22"/>
        <v>A7E2E0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305</v>
      </c>
      <c r="AJ459">
        <v>39.140146000000001</v>
      </c>
      <c r="AK459" t="s">
        <v>422</v>
      </c>
      <c r="AL459">
        <v>-87.474603999999999</v>
      </c>
      <c r="AM459">
        <v>100</v>
      </c>
      <c r="AN459">
        <v>2000</v>
      </c>
      <c r="AO459" t="s">
        <v>118</v>
      </c>
      <c r="AP459">
        <v>-77</v>
      </c>
      <c r="AQ459">
        <v>-107</v>
      </c>
      <c r="AR459">
        <v>832</v>
      </c>
      <c r="AZ459">
        <v>4552</v>
      </c>
      <c r="BA459">
        <v>1</v>
      </c>
      <c r="BB459" t="str">
        <f t="shared" si="23"/>
        <v xml:space="preserve">N607SR  </v>
      </c>
      <c r="BC459">
        <v>1</v>
      </c>
      <c r="BE459">
        <v>0</v>
      </c>
      <c r="BF459">
        <v>0</v>
      </c>
      <c r="BG459">
        <v>0</v>
      </c>
      <c r="BH459">
        <v>1750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"06:13:11.082"</f>
        <v>06:13:11.082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457</v>
      </c>
      <c r="CR459">
        <v>0</v>
      </c>
      <c r="CW459">
        <v>15511424</v>
      </c>
      <c r="CY459">
        <v>1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"08/29/2020 06:13:07.891"</f>
        <v>08/29/2020 06:13:07.891</v>
      </c>
      <c r="C460" t="str">
        <f t="shared" si="21"/>
        <v>FFDFD3C0</v>
      </c>
      <c r="D460" t="s">
        <v>121</v>
      </c>
      <c r="E460">
        <v>13</v>
      </c>
      <c r="F460">
        <v>1013</v>
      </c>
      <c r="G460" t="s">
        <v>122</v>
      </c>
      <c r="J460" t="s">
        <v>123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"06:13:11.078"</f>
        <v>06:13:11.078</v>
      </c>
      <c r="U460" t="str">
        <f t="shared" si="22"/>
        <v>A7E2E0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305</v>
      </c>
      <c r="AJ460">
        <v>39.140146000000001</v>
      </c>
      <c r="AK460" t="s">
        <v>422</v>
      </c>
      <c r="AL460">
        <v>-87.474603999999999</v>
      </c>
      <c r="AM460">
        <v>100</v>
      </c>
      <c r="AN460">
        <v>2000</v>
      </c>
      <c r="AO460" t="s">
        <v>118</v>
      </c>
      <c r="AP460">
        <v>-77</v>
      </c>
      <c r="AQ460">
        <v>-107</v>
      </c>
      <c r="AR460">
        <v>832</v>
      </c>
      <c r="AZ460">
        <v>4552</v>
      </c>
      <c r="BA460">
        <v>1</v>
      </c>
      <c r="BB460" t="str">
        <f t="shared" si="23"/>
        <v xml:space="preserve">N607SR  </v>
      </c>
      <c r="BC460">
        <v>1</v>
      </c>
      <c r="BE460">
        <v>0</v>
      </c>
      <c r="BF460">
        <v>0</v>
      </c>
      <c r="BG460">
        <v>0</v>
      </c>
      <c r="BH460">
        <v>1750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"06:13:11.082"</f>
        <v>06:13:11.082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457</v>
      </c>
      <c r="CR460">
        <v>0</v>
      </c>
      <c r="CW460">
        <v>15511424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"08/29/2020 06:13:07.891"</f>
        <v>08/29/2020 06:13:07.891</v>
      </c>
      <c r="C461" t="str">
        <f t="shared" si="21"/>
        <v>FFDFD3C0</v>
      </c>
      <c r="D461" t="s">
        <v>121</v>
      </c>
      <c r="E461">
        <v>11</v>
      </c>
      <c r="F461">
        <v>1011</v>
      </c>
      <c r="G461" t="s">
        <v>125</v>
      </c>
      <c r="J461" t="s">
        <v>123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"06:13:11.078"</f>
        <v>06:13:11.078</v>
      </c>
      <c r="U461" t="str">
        <f t="shared" si="22"/>
        <v>A7E2E0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305</v>
      </c>
      <c r="AJ461">
        <v>39.140146000000001</v>
      </c>
      <c r="AK461" t="s">
        <v>422</v>
      </c>
      <c r="AL461">
        <v>-87.474603999999999</v>
      </c>
      <c r="AM461">
        <v>100</v>
      </c>
      <c r="AN461">
        <v>2000</v>
      </c>
      <c r="AO461" t="s">
        <v>118</v>
      </c>
      <c r="AP461">
        <v>-77</v>
      </c>
      <c r="AQ461">
        <v>-107</v>
      </c>
      <c r="AR461">
        <v>832</v>
      </c>
      <c r="AZ461">
        <v>4552</v>
      </c>
      <c r="BA461">
        <v>1</v>
      </c>
      <c r="BB461" t="str">
        <f t="shared" si="23"/>
        <v xml:space="preserve">N607SR  </v>
      </c>
      <c r="BC461">
        <v>1</v>
      </c>
      <c r="BE461">
        <v>0</v>
      </c>
      <c r="BF461">
        <v>0</v>
      </c>
      <c r="BG461">
        <v>0</v>
      </c>
      <c r="BH461">
        <v>1750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"06:13:11.082"</f>
        <v>06:13:11.082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457</v>
      </c>
      <c r="CR461">
        <v>0</v>
      </c>
      <c r="CW461">
        <v>15511424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"08/29/2020 06:13:08.420"</f>
        <v>08/29/2020 06:13:08.420</v>
      </c>
      <c r="C462" t="str">
        <f t="shared" si="21"/>
        <v>FFDFD3C0</v>
      </c>
      <c r="D462" t="s">
        <v>128</v>
      </c>
      <c r="E462">
        <v>5</v>
      </c>
      <c r="H462">
        <v>241</v>
      </c>
      <c r="I462" t="s">
        <v>129</v>
      </c>
      <c r="J462" t="s">
        <v>130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"06:13:11.625"</f>
        <v>06:13:11.625</v>
      </c>
      <c r="T462" t="str">
        <f>"06:13:11.125"</f>
        <v>06:13:11.125</v>
      </c>
      <c r="U462" t="str">
        <f t="shared" si="22"/>
        <v>A7E2E0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303</v>
      </c>
      <c r="AJ462">
        <v>39.139867000000002</v>
      </c>
      <c r="AK462" t="s">
        <v>423</v>
      </c>
      <c r="AL462">
        <v>-87.474861000000004</v>
      </c>
      <c r="AM462">
        <v>100</v>
      </c>
      <c r="AN462">
        <v>2000</v>
      </c>
      <c r="AO462" t="s">
        <v>118</v>
      </c>
      <c r="AP462">
        <v>-77</v>
      </c>
      <c r="AQ462">
        <v>-107</v>
      </c>
      <c r="AR462">
        <v>832</v>
      </c>
      <c r="AZ462">
        <v>4552</v>
      </c>
      <c r="BA462">
        <v>1</v>
      </c>
      <c r="BB462" t="str">
        <f t="shared" si="23"/>
        <v xml:space="preserve">N607SR  </v>
      </c>
      <c r="BC462">
        <v>1</v>
      </c>
      <c r="BE462">
        <v>1</v>
      </c>
      <c r="BF462">
        <v>3</v>
      </c>
      <c r="BG462">
        <v>0</v>
      </c>
      <c r="BH462">
        <v>1750</v>
      </c>
      <c r="BI462">
        <v>1</v>
      </c>
      <c r="BJ462">
        <v>1</v>
      </c>
      <c r="BK462">
        <v>1</v>
      </c>
      <c r="BL462">
        <v>0</v>
      </c>
      <c r="BO462">
        <v>1</v>
      </c>
      <c r="BP462">
        <v>0</v>
      </c>
      <c r="BW462" t="str">
        <f>"06:13:11.626"</f>
        <v>06:13:11.626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457</v>
      </c>
      <c r="CR462">
        <v>0</v>
      </c>
      <c r="CW462">
        <v>15511435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"08/29/2020 06:13:08.420"</f>
        <v>08/29/2020 06:13:08.420</v>
      </c>
      <c r="C463" t="str">
        <f t="shared" si="21"/>
        <v>FFDFD3C0</v>
      </c>
      <c r="D463" t="s">
        <v>113</v>
      </c>
      <c r="E463">
        <v>5</v>
      </c>
      <c r="H463">
        <v>163</v>
      </c>
      <c r="I463" t="s">
        <v>114</v>
      </c>
      <c r="J463" t="s">
        <v>115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"06:13:11.625"</f>
        <v>06:13:11.625</v>
      </c>
      <c r="T463" t="str">
        <f>"06:13:11.125"</f>
        <v>06:13:11.125</v>
      </c>
      <c r="U463" t="str">
        <f t="shared" si="22"/>
        <v>A7E2E0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303</v>
      </c>
      <c r="AJ463">
        <v>39.139867000000002</v>
      </c>
      <c r="AK463" t="s">
        <v>423</v>
      </c>
      <c r="AL463">
        <v>-87.474861000000004</v>
      </c>
      <c r="AM463">
        <v>100</v>
      </c>
      <c r="AN463">
        <v>2000</v>
      </c>
      <c r="AO463" t="s">
        <v>118</v>
      </c>
      <c r="AP463">
        <v>-77</v>
      </c>
      <c r="AQ463">
        <v>-107</v>
      </c>
      <c r="AR463">
        <v>832</v>
      </c>
      <c r="AZ463">
        <v>4552</v>
      </c>
      <c r="BA463">
        <v>1</v>
      </c>
      <c r="BB463" t="str">
        <f t="shared" si="23"/>
        <v xml:space="preserve">N607SR  </v>
      </c>
      <c r="BC463">
        <v>1</v>
      </c>
      <c r="BE463">
        <v>1</v>
      </c>
      <c r="BF463">
        <v>3</v>
      </c>
      <c r="BG463">
        <v>0</v>
      </c>
      <c r="BH463">
        <v>1750</v>
      </c>
      <c r="BI463">
        <v>1</v>
      </c>
      <c r="BJ463">
        <v>1</v>
      </c>
      <c r="BK463">
        <v>1</v>
      </c>
      <c r="BL463">
        <v>0</v>
      </c>
      <c r="BO463">
        <v>1</v>
      </c>
      <c r="BP463">
        <v>0</v>
      </c>
      <c r="BW463" t="str">
        <f>"06:13:11.626"</f>
        <v>06:13:11.626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457</v>
      </c>
      <c r="CR463">
        <v>0</v>
      </c>
      <c r="CW463">
        <v>15511435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"08/29/2020 06:13:08.900"</f>
        <v>08/29/2020 06:13:08.900</v>
      </c>
      <c r="C464" t="str">
        <f t="shared" si="21"/>
        <v>FFDFD3C0</v>
      </c>
      <c r="D464" t="s">
        <v>121</v>
      </c>
      <c r="E464">
        <v>10</v>
      </c>
      <c r="F464">
        <v>1010</v>
      </c>
      <c r="G464" t="s">
        <v>114</v>
      </c>
      <c r="J464" t="s">
        <v>123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"06:13:12.117"</f>
        <v>06:13:12.117</v>
      </c>
      <c r="U464" t="str">
        <f t="shared" si="22"/>
        <v>A7E2E0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424</v>
      </c>
      <c r="AJ464">
        <v>39.139609</v>
      </c>
      <c r="AK464" t="s">
        <v>425</v>
      </c>
      <c r="AL464">
        <v>-87.475119000000007</v>
      </c>
      <c r="AM464">
        <v>100</v>
      </c>
      <c r="AN464">
        <v>2000</v>
      </c>
      <c r="AO464" t="s">
        <v>118</v>
      </c>
      <c r="AP464">
        <v>-74</v>
      </c>
      <c r="AQ464">
        <v>-110</v>
      </c>
      <c r="AR464">
        <v>832</v>
      </c>
      <c r="AZ464">
        <v>4552</v>
      </c>
      <c r="BA464">
        <v>1</v>
      </c>
      <c r="BB464" t="str">
        <f t="shared" si="23"/>
        <v xml:space="preserve">N607SR  </v>
      </c>
      <c r="BC464">
        <v>1</v>
      </c>
      <c r="BE464">
        <v>1</v>
      </c>
      <c r="BF464">
        <v>3</v>
      </c>
      <c r="BG464">
        <v>0</v>
      </c>
      <c r="BH464">
        <v>1775</v>
      </c>
      <c r="BI464">
        <v>1</v>
      </c>
      <c r="BJ464">
        <v>1</v>
      </c>
      <c r="BK464">
        <v>1</v>
      </c>
      <c r="BL464">
        <v>0</v>
      </c>
      <c r="BO464">
        <v>1</v>
      </c>
      <c r="BP464">
        <v>0</v>
      </c>
      <c r="BW464" t="str">
        <f>"06:13:12.119"</f>
        <v>06:13:12.119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457</v>
      </c>
      <c r="CR464">
        <v>0</v>
      </c>
      <c r="CW464">
        <v>15511451</v>
      </c>
      <c r="CY464">
        <v>1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"08/29/2020 06:13:08.900"</f>
        <v>08/29/2020 06:13:08.900</v>
      </c>
      <c r="C465" t="str">
        <f t="shared" si="21"/>
        <v>FFDFD3C0</v>
      </c>
      <c r="D465" t="s">
        <v>121</v>
      </c>
      <c r="E465">
        <v>13</v>
      </c>
      <c r="F465">
        <v>1013</v>
      </c>
      <c r="G465" t="s">
        <v>122</v>
      </c>
      <c r="J465" t="s">
        <v>123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"06:13:12.117"</f>
        <v>06:13:12.117</v>
      </c>
      <c r="U465" t="str">
        <f t="shared" si="22"/>
        <v>A7E2E0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424</v>
      </c>
      <c r="AJ465">
        <v>39.139609</v>
      </c>
      <c r="AK465" t="s">
        <v>425</v>
      </c>
      <c r="AL465">
        <v>-87.475119000000007</v>
      </c>
      <c r="AM465">
        <v>100</v>
      </c>
      <c r="AN465">
        <v>2000</v>
      </c>
      <c r="AO465" t="s">
        <v>118</v>
      </c>
      <c r="AP465">
        <v>-74</v>
      </c>
      <c r="AQ465">
        <v>-110</v>
      </c>
      <c r="AR465">
        <v>832</v>
      </c>
      <c r="AZ465">
        <v>4552</v>
      </c>
      <c r="BA465">
        <v>1</v>
      </c>
      <c r="BB465" t="str">
        <f t="shared" si="23"/>
        <v xml:space="preserve">N607SR  </v>
      </c>
      <c r="BC465">
        <v>1</v>
      </c>
      <c r="BE465">
        <v>1</v>
      </c>
      <c r="BF465">
        <v>3</v>
      </c>
      <c r="BG465">
        <v>0</v>
      </c>
      <c r="BH465">
        <v>1775</v>
      </c>
      <c r="BI465">
        <v>1</v>
      </c>
      <c r="BJ465">
        <v>1</v>
      </c>
      <c r="BK465">
        <v>1</v>
      </c>
      <c r="BL465">
        <v>0</v>
      </c>
      <c r="BO465">
        <v>1</v>
      </c>
      <c r="BP465">
        <v>0</v>
      </c>
      <c r="BW465" t="str">
        <f>"06:13:12.119"</f>
        <v>06:13:12.119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457</v>
      </c>
      <c r="CR465">
        <v>0</v>
      </c>
      <c r="CW465">
        <v>15511451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"08/29/2020 06:13:08.900"</f>
        <v>08/29/2020 06:13:08.900</v>
      </c>
      <c r="C466" t="str">
        <f t="shared" si="21"/>
        <v>FFDFD3C0</v>
      </c>
      <c r="D466" t="s">
        <v>121</v>
      </c>
      <c r="E466">
        <v>11</v>
      </c>
      <c r="F466">
        <v>1011</v>
      </c>
      <c r="G466" t="s">
        <v>125</v>
      </c>
      <c r="J466" t="s">
        <v>123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"06:13:12.117"</f>
        <v>06:13:12.117</v>
      </c>
      <c r="U466" t="str">
        <f t="shared" si="22"/>
        <v>A7E2E0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424</v>
      </c>
      <c r="AJ466">
        <v>39.139609</v>
      </c>
      <c r="AK466" t="s">
        <v>425</v>
      </c>
      <c r="AL466">
        <v>-87.475119000000007</v>
      </c>
      <c r="AM466">
        <v>100</v>
      </c>
      <c r="AN466">
        <v>2000</v>
      </c>
      <c r="AO466" t="s">
        <v>118</v>
      </c>
      <c r="AP466">
        <v>-74</v>
      </c>
      <c r="AQ466">
        <v>-110</v>
      </c>
      <c r="AR466">
        <v>832</v>
      </c>
      <c r="AZ466">
        <v>4552</v>
      </c>
      <c r="BA466">
        <v>1</v>
      </c>
      <c r="BB466" t="str">
        <f t="shared" si="23"/>
        <v xml:space="preserve">N607SR  </v>
      </c>
      <c r="BC466">
        <v>1</v>
      </c>
      <c r="BE466">
        <v>1</v>
      </c>
      <c r="BF466">
        <v>3</v>
      </c>
      <c r="BG466">
        <v>0</v>
      </c>
      <c r="BH466">
        <v>1775</v>
      </c>
      <c r="BI466">
        <v>1</v>
      </c>
      <c r="BJ466">
        <v>1</v>
      </c>
      <c r="BK466">
        <v>1</v>
      </c>
      <c r="BL466">
        <v>0</v>
      </c>
      <c r="BO466">
        <v>1</v>
      </c>
      <c r="BP466">
        <v>0</v>
      </c>
      <c r="BW466" t="str">
        <f>"06:13:12.119"</f>
        <v>06:13:12.119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457</v>
      </c>
      <c r="CR466">
        <v>0</v>
      </c>
      <c r="CW466">
        <v>15511451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"08/29/2020 06:13:09.285"</f>
        <v>08/29/2020 06:13:09.285</v>
      </c>
      <c r="C467" t="str">
        <f t="shared" si="21"/>
        <v>FFDFD3C0</v>
      </c>
      <c r="D467" t="s">
        <v>113</v>
      </c>
      <c r="E467">
        <v>5</v>
      </c>
      <c r="H467">
        <v>163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"06:13:12.539"</f>
        <v>06:13:12.539</v>
      </c>
      <c r="T467" t="str">
        <f>"06:13:12.139"</f>
        <v>06:13:12.139</v>
      </c>
      <c r="U467" t="str">
        <f t="shared" si="22"/>
        <v>A7E2E0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426</v>
      </c>
      <c r="AJ467">
        <v>39.139395</v>
      </c>
      <c r="AK467" t="s">
        <v>427</v>
      </c>
      <c r="AL467">
        <v>-87.475226000000006</v>
      </c>
      <c r="AM467">
        <v>100</v>
      </c>
      <c r="AN467">
        <v>2000</v>
      </c>
      <c r="AO467" t="s">
        <v>118</v>
      </c>
      <c r="AP467">
        <v>-74</v>
      </c>
      <c r="AQ467">
        <v>-110</v>
      </c>
      <c r="AR467">
        <v>832</v>
      </c>
      <c r="AZ467">
        <v>4552</v>
      </c>
      <c r="BA467">
        <v>1</v>
      </c>
      <c r="BB467" t="str">
        <f t="shared" si="23"/>
        <v xml:space="preserve">N607SR  </v>
      </c>
      <c r="BC467">
        <v>1</v>
      </c>
      <c r="BE467">
        <v>1</v>
      </c>
      <c r="BF467">
        <v>3</v>
      </c>
      <c r="BG467">
        <v>0</v>
      </c>
      <c r="BH467">
        <v>1775</v>
      </c>
      <c r="BI467">
        <v>1</v>
      </c>
      <c r="BJ467">
        <v>1</v>
      </c>
      <c r="BK467">
        <v>1</v>
      </c>
      <c r="BL467">
        <v>0</v>
      </c>
      <c r="BO467">
        <v>1</v>
      </c>
      <c r="BP467">
        <v>0</v>
      </c>
      <c r="BW467" t="str">
        <f>"06:13:12.542"</f>
        <v>06:13:12.542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457</v>
      </c>
      <c r="CR467">
        <v>0</v>
      </c>
      <c r="CW467">
        <v>15511462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"08/29/2020 06:13:09.285"</f>
        <v>08/29/2020 06:13:09.285</v>
      </c>
      <c r="C468" t="str">
        <f t="shared" si="21"/>
        <v>FFDFD3C0</v>
      </c>
      <c r="D468" t="s">
        <v>128</v>
      </c>
      <c r="E468">
        <v>5</v>
      </c>
      <c r="H468">
        <v>241</v>
      </c>
      <c r="I468" t="s">
        <v>129</v>
      </c>
      <c r="J468" t="s">
        <v>130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"06:13:12.539"</f>
        <v>06:13:12.539</v>
      </c>
      <c r="T468" t="str">
        <f>"06:13:12.139"</f>
        <v>06:13:12.139</v>
      </c>
      <c r="U468" t="str">
        <f t="shared" si="22"/>
        <v>A7E2E0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426</v>
      </c>
      <c r="AJ468">
        <v>39.139395</v>
      </c>
      <c r="AK468" t="s">
        <v>427</v>
      </c>
      <c r="AL468">
        <v>-87.475226000000006</v>
      </c>
      <c r="AM468">
        <v>100</v>
      </c>
      <c r="AN468">
        <v>2000</v>
      </c>
      <c r="AO468" t="s">
        <v>118</v>
      </c>
      <c r="AP468">
        <v>-74</v>
      </c>
      <c r="AQ468">
        <v>-110</v>
      </c>
      <c r="AR468">
        <v>832</v>
      </c>
      <c r="AZ468">
        <v>4552</v>
      </c>
      <c r="BA468">
        <v>1</v>
      </c>
      <c r="BB468" t="str">
        <f t="shared" si="23"/>
        <v xml:space="preserve">N607SR  </v>
      </c>
      <c r="BC468">
        <v>1</v>
      </c>
      <c r="BE468">
        <v>1</v>
      </c>
      <c r="BF468">
        <v>3</v>
      </c>
      <c r="BG468">
        <v>0</v>
      </c>
      <c r="BH468">
        <v>1775</v>
      </c>
      <c r="BI468">
        <v>1</v>
      </c>
      <c r="BJ468">
        <v>1</v>
      </c>
      <c r="BK468">
        <v>1</v>
      </c>
      <c r="BL468">
        <v>0</v>
      </c>
      <c r="BO468">
        <v>1</v>
      </c>
      <c r="BP468">
        <v>0</v>
      </c>
      <c r="BW468" t="str">
        <f>"06:13:12.542"</f>
        <v>06:13:12.542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457</v>
      </c>
      <c r="CR468">
        <v>0</v>
      </c>
      <c r="CW468">
        <v>15511462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"08/29/2020 06:13:09.789"</f>
        <v>08/29/2020 06:13:09.789</v>
      </c>
      <c r="C469" t="str">
        <f t="shared" si="21"/>
        <v>FFDFD3C0</v>
      </c>
      <c r="D469" t="s">
        <v>121</v>
      </c>
      <c r="E469">
        <v>13</v>
      </c>
      <c r="F469">
        <v>1013</v>
      </c>
      <c r="G469" t="s">
        <v>122</v>
      </c>
      <c r="J469" t="s">
        <v>123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"06:13:12.969"</f>
        <v>06:13:12.969</v>
      </c>
      <c r="U469" t="str">
        <f t="shared" si="22"/>
        <v>A7E2E0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297</v>
      </c>
      <c r="AJ469">
        <v>39.139201999999997</v>
      </c>
      <c r="AK469" t="s">
        <v>428</v>
      </c>
      <c r="AL469">
        <v>-87.475419000000002</v>
      </c>
      <c r="AM469">
        <v>100</v>
      </c>
      <c r="AN469">
        <v>2000</v>
      </c>
      <c r="AO469" t="s">
        <v>118</v>
      </c>
      <c r="AP469">
        <v>-71</v>
      </c>
      <c r="AQ469">
        <v>-112</v>
      </c>
      <c r="AR469">
        <v>896</v>
      </c>
      <c r="AZ469">
        <v>4552</v>
      </c>
      <c r="BA469">
        <v>1</v>
      </c>
      <c r="BB469" t="str">
        <f t="shared" si="23"/>
        <v xml:space="preserve">N607SR  </v>
      </c>
      <c r="BC469">
        <v>1</v>
      </c>
      <c r="BE469">
        <v>1</v>
      </c>
      <c r="BF469">
        <v>3</v>
      </c>
      <c r="BG469">
        <v>0</v>
      </c>
      <c r="BH469">
        <v>1775</v>
      </c>
      <c r="BI469">
        <v>1</v>
      </c>
      <c r="BJ469">
        <v>1</v>
      </c>
      <c r="BK469">
        <v>1</v>
      </c>
      <c r="BL469">
        <v>0</v>
      </c>
      <c r="BO469">
        <v>1</v>
      </c>
      <c r="BP469">
        <v>0</v>
      </c>
      <c r="BW469" t="str">
        <f>"06:13:12.974"</f>
        <v>06:13:12.974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457</v>
      </c>
      <c r="CR469">
        <v>0</v>
      </c>
      <c r="CW469">
        <v>15511477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"08/29/2020 06:13:09.789"</f>
        <v>08/29/2020 06:13:09.789</v>
      </c>
      <c r="C470" t="str">
        <f t="shared" si="21"/>
        <v>FFDFD3C0</v>
      </c>
      <c r="D470" t="s">
        <v>121</v>
      </c>
      <c r="E470">
        <v>11</v>
      </c>
      <c r="F470">
        <v>1011</v>
      </c>
      <c r="G470" t="s">
        <v>125</v>
      </c>
      <c r="J470" t="s">
        <v>123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"06:13:12.969"</f>
        <v>06:13:12.969</v>
      </c>
      <c r="U470" t="str">
        <f t="shared" si="22"/>
        <v>A7E2E0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297</v>
      </c>
      <c r="AJ470">
        <v>39.139201999999997</v>
      </c>
      <c r="AK470" t="s">
        <v>428</v>
      </c>
      <c r="AL470">
        <v>-87.475419000000002</v>
      </c>
      <c r="AM470">
        <v>100</v>
      </c>
      <c r="AN470">
        <v>2000</v>
      </c>
      <c r="AO470" t="s">
        <v>118</v>
      </c>
      <c r="AP470">
        <v>-71</v>
      </c>
      <c r="AQ470">
        <v>-112</v>
      </c>
      <c r="AR470">
        <v>896</v>
      </c>
      <c r="AZ470">
        <v>4552</v>
      </c>
      <c r="BA470">
        <v>1</v>
      </c>
      <c r="BB470" t="str">
        <f t="shared" si="23"/>
        <v xml:space="preserve">N607SR  </v>
      </c>
      <c r="BC470">
        <v>1</v>
      </c>
      <c r="BE470">
        <v>1</v>
      </c>
      <c r="BF470">
        <v>3</v>
      </c>
      <c r="BG470">
        <v>0</v>
      </c>
      <c r="BH470">
        <v>1775</v>
      </c>
      <c r="BI470">
        <v>1</v>
      </c>
      <c r="BJ470">
        <v>1</v>
      </c>
      <c r="BK470">
        <v>1</v>
      </c>
      <c r="BL470">
        <v>0</v>
      </c>
      <c r="BO470">
        <v>1</v>
      </c>
      <c r="BP470">
        <v>0</v>
      </c>
      <c r="BW470" t="str">
        <f>"06:13:12.974"</f>
        <v>06:13:12.974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457</v>
      </c>
      <c r="CR470">
        <v>0</v>
      </c>
      <c r="CW470">
        <v>15511477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"08/29/2020 06:13:09.789"</f>
        <v>08/29/2020 06:13:09.789</v>
      </c>
      <c r="C471" t="str">
        <f t="shared" si="21"/>
        <v>FFDFD3C0</v>
      </c>
      <c r="D471" t="s">
        <v>121</v>
      </c>
      <c r="E471">
        <v>10</v>
      </c>
      <c r="F471">
        <v>1010</v>
      </c>
      <c r="G471" t="s">
        <v>114</v>
      </c>
      <c r="J471" t="s">
        <v>123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"06:13:12.969"</f>
        <v>06:13:12.969</v>
      </c>
      <c r="U471" t="str">
        <f t="shared" si="22"/>
        <v>A7E2E0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297</v>
      </c>
      <c r="AJ471">
        <v>39.139201999999997</v>
      </c>
      <c r="AK471" t="s">
        <v>428</v>
      </c>
      <c r="AL471">
        <v>-87.475419000000002</v>
      </c>
      <c r="AM471">
        <v>100</v>
      </c>
      <c r="AN471">
        <v>2000</v>
      </c>
      <c r="AO471" t="s">
        <v>118</v>
      </c>
      <c r="AP471">
        <v>-71</v>
      </c>
      <c r="AQ471">
        <v>-112</v>
      </c>
      <c r="AR471">
        <v>896</v>
      </c>
      <c r="AZ471">
        <v>4552</v>
      </c>
      <c r="BA471">
        <v>1</v>
      </c>
      <c r="BB471" t="str">
        <f t="shared" si="23"/>
        <v xml:space="preserve">N607SR  </v>
      </c>
      <c r="BC471">
        <v>1</v>
      </c>
      <c r="BE471">
        <v>1</v>
      </c>
      <c r="BF471">
        <v>3</v>
      </c>
      <c r="BG471">
        <v>0</v>
      </c>
      <c r="BH471">
        <v>1775</v>
      </c>
      <c r="BI471">
        <v>1</v>
      </c>
      <c r="BJ471">
        <v>1</v>
      </c>
      <c r="BK471">
        <v>1</v>
      </c>
      <c r="BL471">
        <v>0</v>
      </c>
      <c r="BO471">
        <v>1</v>
      </c>
      <c r="BP471">
        <v>0</v>
      </c>
      <c r="BW471" t="str">
        <f>"06:13:12.974"</f>
        <v>06:13:12.974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457</v>
      </c>
      <c r="CR471">
        <v>0</v>
      </c>
      <c r="CW471">
        <v>15511477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"08/29/2020 06:13:10.293"</f>
        <v>08/29/2020 06:13:10.293</v>
      </c>
      <c r="C472" t="str">
        <f t="shared" si="21"/>
        <v>FFDFD3C0</v>
      </c>
      <c r="D472" t="s">
        <v>128</v>
      </c>
      <c r="E472">
        <v>5</v>
      </c>
      <c r="H472">
        <v>241</v>
      </c>
      <c r="I472" t="s">
        <v>129</v>
      </c>
      <c r="J472" t="s">
        <v>130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"06:13:13.500"</f>
        <v>06:13:13.500</v>
      </c>
      <c r="U472" t="str">
        <f t="shared" si="22"/>
        <v>A7E2E0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429</v>
      </c>
      <c r="AJ472">
        <v>39.13888</v>
      </c>
      <c r="AK472" t="s">
        <v>430</v>
      </c>
      <c r="AL472">
        <v>-87.475655000000003</v>
      </c>
      <c r="AM472">
        <v>100</v>
      </c>
      <c r="AN472">
        <v>2000</v>
      </c>
      <c r="AO472" t="s">
        <v>118</v>
      </c>
      <c r="AP472">
        <v>-69</v>
      </c>
      <c r="AQ472">
        <v>-114</v>
      </c>
      <c r="AR472">
        <v>896</v>
      </c>
      <c r="AZ472">
        <v>4552</v>
      </c>
      <c r="BA472">
        <v>1</v>
      </c>
      <c r="BB472" t="str">
        <f t="shared" si="23"/>
        <v xml:space="preserve">N607SR  </v>
      </c>
      <c r="BC472">
        <v>1</v>
      </c>
      <c r="BE472">
        <v>1</v>
      </c>
      <c r="BF472">
        <v>3</v>
      </c>
      <c r="BG472">
        <v>0</v>
      </c>
      <c r="BH472">
        <v>1775</v>
      </c>
      <c r="BI472">
        <v>1</v>
      </c>
      <c r="BJ472">
        <v>1</v>
      </c>
      <c r="BK472">
        <v>1</v>
      </c>
      <c r="BL472">
        <v>0</v>
      </c>
      <c r="BO472">
        <v>1</v>
      </c>
      <c r="BP472">
        <v>0</v>
      </c>
      <c r="BW472" t="str">
        <f>"06:13:13.507"</f>
        <v>06:13:13.507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457</v>
      </c>
      <c r="CR472">
        <v>0</v>
      </c>
      <c r="CW472">
        <v>15511490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"08/29/2020 06:13:10.293"</f>
        <v>08/29/2020 06:13:10.293</v>
      </c>
      <c r="C473" t="str">
        <f t="shared" si="21"/>
        <v>FFDFD3C0</v>
      </c>
      <c r="D473" t="s">
        <v>113</v>
      </c>
      <c r="E473">
        <v>5</v>
      </c>
      <c r="H473">
        <v>163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"06:13:13.500"</f>
        <v>06:13:13.500</v>
      </c>
      <c r="U473" t="str">
        <f t="shared" si="22"/>
        <v>A7E2E0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429</v>
      </c>
      <c r="AJ473">
        <v>39.13888</v>
      </c>
      <c r="AK473" t="s">
        <v>430</v>
      </c>
      <c r="AL473">
        <v>-87.475655000000003</v>
      </c>
      <c r="AM473">
        <v>100</v>
      </c>
      <c r="AN473">
        <v>2000</v>
      </c>
      <c r="AO473" t="s">
        <v>118</v>
      </c>
      <c r="AP473">
        <v>-69</v>
      </c>
      <c r="AQ473">
        <v>-114</v>
      </c>
      <c r="AR473">
        <v>896</v>
      </c>
      <c r="AZ473">
        <v>4552</v>
      </c>
      <c r="BA473">
        <v>1</v>
      </c>
      <c r="BB473" t="str">
        <f t="shared" si="23"/>
        <v xml:space="preserve">N607SR  </v>
      </c>
      <c r="BC473">
        <v>1</v>
      </c>
      <c r="BE473">
        <v>1</v>
      </c>
      <c r="BF473">
        <v>3</v>
      </c>
      <c r="BG473">
        <v>0</v>
      </c>
      <c r="BH473">
        <v>1775</v>
      </c>
      <c r="BI473">
        <v>1</v>
      </c>
      <c r="BJ473">
        <v>1</v>
      </c>
      <c r="BK473">
        <v>1</v>
      </c>
      <c r="BL473">
        <v>0</v>
      </c>
      <c r="BO473">
        <v>1</v>
      </c>
      <c r="BP473">
        <v>0</v>
      </c>
      <c r="BW473" t="str">
        <f>"06:13:13.507"</f>
        <v>06:13:13.507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457</v>
      </c>
      <c r="CR473">
        <v>0</v>
      </c>
      <c r="CW473">
        <v>15511490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"08/29/2020 06:13:10.804"</f>
        <v>08/29/2020 06:13:10.804</v>
      </c>
      <c r="C474" t="str">
        <f t="shared" si="21"/>
        <v>FFDFD3C0</v>
      </c>
      <c r="D474" t="s">
        <v>121</v>
      </c>
      <c r="E474">
        <v>13</v>
      </c>
      <c r="F474">
        <v>1013</v>
      </c>
      <c r="G474" t="s">
        <v>122</v>
      </c>
      <c r="J474" t="s">
        <v>123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"06:13:14.008"</f>
        <v>06:13:14.008</v>
      </c>
      <c r="T474" t="str">
        <f>"06:13:13.508"</f>
        <v>06:13:13.508</v>
      </c>
      <c r="U474" t="str">
        <f t="shared" si="22"/>
        <v>A7E2E0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431</v>
      </c>
      <c r="AJ474">
        <v>39.138601000000001</v>
      </c>
      <c r="AK474" t="s">
        <v>432</v>
      </c>
      <c r="AL474">
        <v>-87.475891000000004</v>
      </c>
      <c r="AM474">
        <v>100</v>
      </c>
      <c r="AN474">
        <v>2000</v>
      </c>
      <c r="AO474" t="s">
        <v>118</v>
      </c>
      <c r="AP474">
        <v>-69</v>
      </c>
      <c r="AQ474">
        <v>-114</v>
      </c>
      <c r="AR474">
        <v>896</v>
      </c>
      <c r="AZ474">
        <v>4552</v>
      </c>
      <c r="BA474">
        <v>1</v>
      </c>
      <c r="BB474" t="str">
        <f t="shared" si="23"/>
        <v xml:space="preserve">N607SR  </v>
      </c>
      <c r="BC474">
        <v>1</v>
      </c>
      <c r="BE474">
        <v>1</v>
      </c>
      <c r="BF474">
        <v>3</v>
      </c>
      <c r="BG474">
        <v>0</v>
      </c>
      <c r="BH474">
        <v>1775</v>
      </c>
      <c r="BI474">
        <v>1</v>
      </c>
      <c r="BJ474">
        <v>1</v>
      </c>
      <c r="BK474">
        <v>1</v>
      </c>
      <c r="BL474">
        <v>0</v>
      </c>
      <c r="BO474">
        <v>1</v>
      </c>
      <c r="BP474">
        <v>0</v>
      </c>
      <c r="BW474" t="str">
        <f>"06:13:14.015"</f>
        <v>06:13:14.015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457</v>
      </c>
      <c r="CR474">
        <v>0</v>
      </c>
      <c r="CW474">
        <v>15511503</v>
      </c>
      <c r="CY474">
        <v>1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"08/29/2020 06:13:10.804"</f>
        <v>08/29/2020 06:13:10.804</v>
      </c>
      <c r="C475" t="str">
        <f t="shared" si="21"/>
        <v>FFDFD3C0</v>
      </c>
      <c r="D475" t="s">
        <v>121</v>
      </c>
      <c r="E475">
        <v>11</v>
      </c>
      <c r="F475">
        <v>1011</v>
      </c>
      <c r="G475" t="s">
        <v>125</v>
      </c>
      <c r="J475" t="s">
        <v>123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"06:13:14.008"</f>
        <v>06:13:14.008</v>
      </c>
      <c r="T475" t="str">
        <f>"06:13:13.508"</f>
        <v>06:13:13.508</v>
      </c>
      <c r="U475" t="str">
        <f t="shared" si="22"/>
        <v>A7E2E0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431</v>
      </c>
      <c r="AJ475">
        <v>39.138601000000001</v>
      </c>
      <c r="AK475" t="s">
        <v>432</v>
      </c>
      <c r="AL475">
        <v>-87.475891000000004</v>
      </c>
      <c r="AM475">
        <v>100</v>
      </c>
      <c r="AN475">
        <v>2000</v>
      </c>
      <c r="AO475" t="s">
        <v>118</v>
      </c>
      <c r="AP475">
        <v>-69</v>
      </c>
      <c r="AQ475">
        <v>-114</v>
      </c>
      <c r="AR475">
        <v>896</v>
      </c>
      <c r="AZ475">
        <v>4552</v>
      </c>
      <c r="BA475">
        <v>1</v>
      </c>
      <c r="BB475" t="str">
        <f t="shared" si="23"/>
        <v xml:space="preserve">N607SR  </v>
      </c>
      <c r="BC475">
        <v>1</v>
      </c>
      <c r="BE475">
        <v>1</v>
      </c>
      <c r="BF475">
        <v>3</v>
      </c>
      <c r="BG475">
        <v>0</v>
      </c>
      <c r="BH475">
        <v>1775</v>
      </c>
      <c r="BI475">
        <v>1</v>
      </c>
      <c r="BJ475">
        <v>1</v>
      </c>
      <c r="BK475">
        <v>1</v>
      </c>
      <c r="BL475">
        <v>0</v>
      </c>
      <c r="BO475">
        <v>1</v>
      </c>
      <c r="BP475">
        <v>0</v>
      </c>
      <c r="BW475" t="str">
        <f>"06:13:14.015"</f>
        <v>06:13:14.015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457</v>
      </c>
      <c r="CR475">
        <v>0</v>
      </c>
      <c r="CW475">
        <v>15511503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"08/29/2020 06:13:10.804"</f>
        <v>08/29/2020 06:13:10.804</v>
      </c>
      <c r="C476" t="str">
        <f t="shared" si="21"/>
        <v>FFDFD3C0</v>
      </c>
      <c r="D476" t="s">
        <v>121</v>
      </c>
      <c r="E476">
        <v>10</v>
      </c>
      <c r="F476">
        <v>1010</v>
      </c>
      <c r="G476" t="s">
        <v>114</v>
      </c>
      <c r="J476" t="s">
        <v>123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"06:13:14.008"</f>
        <v>06:13:14.008</v>
      </c>
      <c r="T476" t="str">
        <f>"06:13:13.508"</f>
        <v>06:13:13.508</v>
      </c>
      <c r="U476" t="str">
        <f t="shared" si="22"/>
        <v>A7E2E0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431</v>
      </c>
      <c r="AJ476">
        <v>39.138601000000001</v>
      </c>
      <c r="AK476" t="s">
        <v>432</v>
      </c>
      <c r="AL476">
        <v>-87.475891000000004</v>
      </c>
      <c r="AM476">
        <v>100</v>
      </c>
      <c r="AN476">
        <v>2000</v>
      </c>
      <c r="AO476" t="s">
        <v>118</v>
      </c>
      <c r="AP476">
        <v>-69</v>
      </c>
      <c r="AQ476">
        <v>-114</v>
      </c>
      <c r="AR476">
        <v>896</v>
      </c>
      <c r="AZ476">
        <v>4552</v>
      </c>
      <c r="BA476">
        <v>1</v>
      </c>
      <c r="BB476" t="str">
        <f t="shared" si="23"/>
        <v xml:space="preserve">N607SR  </v>
      </c>
      <c r="BC476">
        <v>1</v>
      </c>
      <c r="BE476">
        <v>1</v>
      </c>
      <c r="BF476">
        <v>3</v>
      </c>
      <c r="BG476">
        <v>0</v>
      </c>
      <c r="BH476">
        <v>1775</v>
      </c>
      <c r="BI476">
        <v>1</v>
      </c>
      <c r="BJ476">
        <v>1</v>
      </c>
      <c r="BK476">
        <v>1</v>
      </c>
      <c r="BL476">
        <v>0</v>
      </c>
      <c r="BO476">
        <v>1</v>
      </c>
      <c r="BP476">
        <v>0</v>
      </c>
      <c r="BW476" t="str">
        <f>"06:13:14.015"</f>
        <v>06:13:14.015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457</v>
      </c>
      <c r="CR476">
        <v>0</v>
      </c>
      <c r="CW476">
        <v>15511503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"08/29/2020 06:13:11.356"</f>
        <v>08/29/2020 06:13:11.356</v>
      </c>
      <c r="C477" t="str">
        <f t="shared" si="21"/>
        <v>FFDFD3C0</v>
      </c>
      <c r="D477" t="s">
        <v>128</v>
      </c>
      <c r="E477">
        <v>5</v>
      </c>
      <c r="H477">
        <v>241</v>
      </c>
      <c r="I477" t="s">
        <v>129</v>
      </c>
      <c r="J477" t="s">
        <v>130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"06:13:14.563"</f>
        <v>06:13:14.563</v>
      </c>
      <c r="U477" t="str">
        <f t="shared" si="22"/>
        <v>A7E2E0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433</v>
      </c>
      <c r="AJ477">
        <v>39.138342999999999</v>
      </c>
      <c r="AK477" t="s">
        <v>434</v>
      </c>
      <c r="AL477">
        <v>-87.476062999999996</v>
      </c>
      <c r="AM477">
        <v>100</v>
      </c>
      <c r="AN477">
        <v>2000</v>
      </c>
      <c r="AO477" t="s">
        <v>118</v>
      </c>
      <c r="AP477">
        <v>-66</v>
      </c>
      <c r="AQ477">
        <v>-116</v>
      </c>
      <c r="AR477">
        <v>896</v>
      </c>
      <c r="AZ477">
        <v>4552</v>
      </c>
      <c r="BA477">
        <v>1</v>
      </c>
      <c r="BB477" t="str">
        <f t="shared" si="23"/>
        <v xml:space="preserve">N607SR  </v>
      </c>
      <c r="BC477">
        <v>1</v>
      </c>
      <c r="BE477">
        <v>1</v>
      </c>
      <c r="BF477">
        <v>3</v>
      </c>
      <c r="BG477">
        <v>0</v>
      </c>
      <c r="BH477">
        <v>1800</v>
      </c>
      <c r="BI477">
        <v>1</v>
      </c>
      <c r="BJ477">
        <v>1</v>
      </c>
      <c r="BK477">
        <v>1</v>
      </c>
      <c r="BL477">
        <v>0</v>
      </c>
      <c r="BO477">
        <v>1</v>
      </c>
      <c r="BP477">
        <v>0</v>
      </c>
      <c r="BW477" t="str">
        <f>"06:13:14.570"</f>
        <v>06:13:14.570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457</v>
      </c>
      <c r="CR477">
        <v>0</v>
      </c>
      <c r="CW477">
        <v>15511516</v>
      </c>
      <c r="CY477">
        <v>1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"08/29/2020 06:13:11.356"</f>
        <v>08/29/2020 06:13:11.356</v>
      </c>
      <c r="C478" t="str">
        <f t="shared" si="21"/>
        <v>FFDFD3C0</v>
      </c>
      <c r="D478" t="s">
        <v>113</v>
      </c>
      <c r="E478">
        <v>5</v>
      </c>
      <c r="H478">
        <v>163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"06:13:14.563"</f>
        <v>06:13:14.563</v>
      </c>
      <c r="U478" t="str">
        <f t="shared" si="22"/>
        <v>A7E2E0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433</v>
      </c>
      <c r="AJ478">
        <v>39.138342999999999</v>
      </c>
      <c r="AK478" t="s">
        <v>434</v>
      </c>
      <c r="AL478">
        <v>-87.476062999999996</v>
      </c>
      <c r="AM478">
        <v>100</v>
      </c>
      <c r="AN478">
        <v>2000</v>
      </c>
      <c r="AO478" t="s">
        <v>118</v>
      </c>
      <c r="AP478">
        <v>-66</v>
      </c>
      <c r="AQ478">
        <v>-116</v>
      </c>
      <c r="AR478">
        <v>896</v>
      </c>
      <c r="AZ478">
        <v>4552</v>
      </c>
      <c r="BA478">
        <v>1</v>
      </c>
      <c r="BB478" t="str">
        <f t="shared" si="23"/>
        <v xml:space="preserve">N607SR  </v>
      </c>
      <c r="BC478">
        <v>1</v>
      </c>
      <c r="BE478">
        <v>1</v>
      </c>
      <c r="BF478">
        <v>3</v>
      </c>
      <c r="BG478">
        <v>0</v>
      </c>
      <c r="BH478">
        <v>1800</v>
      </c>
      <c r="BI478">
        <v>1</v>
      </c>
      <c r="BJ478">
        <v>1</v>
      </c>
      <c r="BK478">
        <v>1</v>
      </c>
      <c r="BL478">
        <v>0</v>
      </c>
      <c r="BO478">
        <v>1</v>
      </c>
      <c r="BP478">
        <v>0</v>
      </c>
      <c r="BW478" t="str">
        <f>"06:13:14.570"</f>
        <v>06:13:14.570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457</v>
      </c>
      <c r="CR478">
        <v>0</v>
      </c>
      <c r="CW478">
        <v>15511516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"08/29/2020 06:13:11.766"</f>
        <v>08/29/2020 06:13:11.766</v>
      </c>
      <c r="C479" t="str">
        <f t="shared" si="21"/>
        <v>FFDFD3C0</v>
      </c>
      <c r="D479" t="s">
        <v>121</v>
      </c>
      <c r="E479">
        <v>11</v>
      </c>
      <c r="F479">
        <v>1011</v>
      </c>
      <c r="G479" t="s">
        <v>125</v>
      </c>
      <c r="J479" t="s">
        <v>123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"06:13:14.992"</f>
        <v>06:13:14.992</v>
      </c>
      <c r="T479" t="str">
        <f>"06:13:14.592"</f>
        <v>06:13:14.592</v>
      </c>
      <c r="U479" t="str">
        <f t="shared" si="22"/>
        <v>A7E2E0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435</v>
      </c>
      <c r="AJ479">
        <v>39.138043000000003</v>
      </c>
      <c r="AK479" t="s">
        <v>436</v>
      </c>
      <c r="AL479">
        <v>-87.476256000000006</v>
      </c>
      <c r="AM479">
        <v>100</v>
      </c>
      <c r="AN479">
        <v>2000</v>
      </c>
      <c r="AO479" t="s">
        <v>118</v>
      </c>
      <c r="AP479">
        <v>-66</v>
      </c>
      <c r="AQ479">
        <v>-116</v>
      </c>
      <c r="AR479">
        <v>896</v>
      </c>
      <c r="AZ479">
        <v>4552</v>
      </c>
      <c r="BA479">
        <v>1</v>
      </c>
      <c r="BB479" t="str">
        <f t="shared" si="23"/>
        <v xml:space="preserve">N607SR  </v>
      </c>
      <c r="BC479">
        <v>1</v>
      </c>
      <c r="BE479">
        <v>1</v>
      </c>
      <c r="BF479">
        <v>3</v>
      </c>
      <c r="BG479">
        <v>0</v>
      </c>
      <c r="BH479">
        <v>1800</v>
      </c>
      <c r="BI479">
        <v>1</v>
      </c>
      <c r="BJ479">
        <v>1</v>
      </c>
      <c r="BK479">
        <v>1</v>
      </c>
      <c r="BL479">
        <v>0</v>
      </c>
      <c r="BO479">
        <v>1</v>
      </c>
      <c r="BP479">
        <v>0</v>
      </c>
      <c r="BW479" t="str">
        <f>"06:13:14.998"</f>
        <v>06:13:14.998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457</v>
      </c>
      <c r="CR479">
        <v>0</v>
      </c>
      <c r="CW479">
        <v>15511529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"08/29/2020 06:13:11.766"</f>
        <v>08/29/2020 06:13:11.766</v>
      </c>
      <c r="C480" t="str">
        <f t="shared" si="21"/>
        <v>FFDFD3C0</v>
      </c>
      <c r="D480" t="s">
        <v>121</v>
      </c>
      <c r="E480">
        <v>13</v>
      </c>
      <c r="F480">
        <v>1013</v>
      </c>
      <c r="G480" t="s">
        <v>122</v>
      </c>
      <c r="J480" t="s">
        <v>123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"06:13:14.992"</f>
        <v>06:13:14.992</v>
      </c>
      <c r="T480" t="str">
        <f>"06:13:14.592"</f>
        <v>06:13:14.592</v>
      </c>
      <c r="U480" t="str">
        <f t="shared" si="22"/>
        <v>A7E2E0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435</v>
      </c>
      <c r="AJ480">
        <v>39.138043000000003</v>
      </c>
      <c r="AK480" t="s">
        <v>436</v>
      </c>
      <c r="AL480">
        <v>-87.476256000000006</v>
      </c>
      <c r="AM480">
        <v>100</v>
      </c>
      <c r="AN480">
        <v>2000</v>
      </c>
      <c r="AO480" t="s">
        <v>118</v>
      </c>
      <c r="AP480">
        <v>-66</v>
      </c>
      <c r="AQ480">
        <v>-116</v>
      </c>
      <c r="AR480">
        <v>896</v>
      </c>
      <c r="AZ480">
        <v>4552</v>
      </c>
      <c r="BA480">
        <v>1</v>
      </c>
      <c r="BB480" t="str">
        <f t="shared" si="23"/>
        <v xml:space="preserve">N607SR  </v>
      </c>
      <c r="BC480">
        <v>1</v>
      </c>
      <c r="BE480">
        <v>1</v>
      </c>
      <c r="BF480">
        <v>3</v>
      </c>
      <c r="BG480">
        <v>0</v>
      </c>
      <c r="BH480">
        <v>1800</v>
      </c>
      <c r="BI480">
        <v>1</v>
      </c>
      <c r="BJ480">
        <v>1</v>
      </c>
      <c r="BK480">
        <v>1</v>
      </c>
      <c r="BL480">
        <v>0</v>
      </c>
      <c r="BO480">
        <v>1</v>
      </c>
      <c r="BP480">
        <v>0</v>
      </c>
      <c r="BW480" t="str">
        <f>"06:13:14.998"</f>
        <v>06:13:14.998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457</v>
      </c>
      <c r="CR480">
        <v>0</v>
      </c>
      <c r="CW480">
        <v>15511529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"08/29/2020 06:13:11.766"</f>
        <v>08/29/2020 06:13:11.766</v>
      </c>
      <c r="C481" t="str">
        <f t="shared" si="21"/>
        <v>FFDFD3C0</v>
      </c>
      <c r="D481" t="s">
        <v>121</v>
      </c>
      <c r="E481">
        <v>10</v>
      </c>
      <c r="F481">
        <v>1010</v>
      </c>
      <c r="G481" t="s">
        <v>114</v>
      </c>
      <c r="J481" t="s">
        <v>123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"06:13:14.992"</f>
        <v>06:13:14.992</v>
      </c>
      <c r="T481" t="str">
        <f>"06:13:14.592"</f>
        <v>06:13:14.592</v>
      </c>
      <c r="U481" t="str">
        <f t="shared" si="22"/>
        <v>A7E2E0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435</v>
      </c>
      <c r="AJ481">
        <v>39.138043000000003</v>
      </c>
      <c r="AK481" t="s">
        <v>436</v>
      </c>
      <c r="AL481">
        <v>-87.476256000000006</v>
      </c>
      <c r="AM481">
        <v>100</v>
      </c>
      <c r="AN481">
        <v>2000</v>
      </c>
      <c r="AO481" t="s">
        <v>118</v>
      </c>
      <c r="AP481">
        <v>-66</v>
      </c>
      <c r="AQ481">
        <v>-116</v>
      </c>
      <c r="AR481">
        <v>896</v>
      </c>
      <c r="AZ481">
        <v>4552</v>
      </c>
      <c r="BA481">
        <v>1</v>
      </c>
      <c r="BB481" t="str">
        <f t="shared" si="23"/>
        <v xml:space="preserve">N607SR  </v>
      </c>
      <c r="BC481">
        <v>1</v>
      </c>
      <c r="BE481">
        <v>1</v>
      </c>
      <c r="BF481">
        <v>3</v>
      </c>
      <c r="BG481">
        <v>0</v>
      </c>
      <c r="BH481">
        <v>1800</v>
      </c>
      <c r="BI481">
        <v>1</v>
      </c>
      <c r="BJ481">
        <v>1</v>
      </c>
      <c r="BK481">
        <v>1</v>
      </c>
      <c r="BL481">
        <v>0</v>
      </c>
      <c r="BO481">
        <v>1</v>
      </c>
      <c r="BP481">
        <v>0</v>
      </c>
      <c r="BW481" t="str">
        <f>"06:13:14.998"</f>
        <v>06:13:14.998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457</v>
      </c>
      <c r="CR481">
        <v>0</v>
      </c>
      <c r="CW481">
        <v>15511529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"08/29/2020 06:13:12.369"</f>
        <v>08/29/2020 06:13:12.369</v>
      </c>
      <c r="C482" t="str">
        <f t="shared" si="21"/>
        <v>FFDFD3C0</v>
      </c>
      <c r="D482" t="s">
        <v>128</v>
      </c>
      <c r="E482">
        <v>5</v>
      </c>
      <c r="H482">
        <v>241</v>
      </c>
      <c r="I482" t="s">
        <v>129</v>
      </c>
      <c r="J482" t="s">
        <v>130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"06:13:15.547"</f>
        <v>06:13:15.547</v>
      </c>
      <c r="U482" t="str">
        <f t="shared" si="22"/>
        <v>A7E2E0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283</v>
      </c>
      <c r="AJ482">
        <v>39.137785000000001</v>
      </c>
      <c r="AK482" t="s">
        <v>437</v>
      </c>
      <c r="AL482">
        <v>-87.476427999999999</v>
      </c>
      <c r="AM482">
        <v>100</v>
      </c>
      <c r="AN482">
        <v>2000</v>
      </c>
      <c r="AO482" t="s">
        <v>118</v>
      </c>
      <c r="AP482">
        <v>-63</v>
      </c>
      <c r="AQ482">
        <v>-118</v>
      </c>
      <c r="AR482">
        <v>896</v>
      </c>
      <c r="AZ482">
        <v>4552</v>
      </c>
      <c r="BA482">
        <v>1</v>
      </c>
      <c r="BB482" t="str">
        <f t="shared" si="23"/>
        <v xml:space="preserve">N607SR  </v>
      </c>
      <c r="BC482">
        <v>1</v>
      </c>
      <c r="BE482">
        <v>1</v>
      </c>
      <c r="BF482">
        <v>3</v>
      </c>
      <c r="BG482">
        <v>0</v>
      </c>
      <c r="BH482">
        <v>1825</v>
      </c>
      <c r="BI482">
        <v>1</v>
      </c>
      <c r="BJ482">
        <v>1</v>
      </c>
      <c r="BK482">
        <v>1</v>
      </c>
      <c r="BL482">
        <v>0</v>
      </c>
      <c r="BO482">
        <v>1</v>
      </c>
      <c r="BP482">
        <v>0</v>
      </c>
      <c r="BW482" t="str">
        <f>"06:13:15.551"</f>
        <v>06:13:15.551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457</v>
      </c>
      <c r="CR482">
        <v>0</v>
      </c>
      <c r="CW482">
        <v>15511544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"08/29/2020 06:13:12.369"</f>
        <v>08/29/2020 06:13:12.369</v>
      </c>
      <c r="C483" t="str">
        <f t="shared" si="21"/>
        <v>FFDFD3C0</v>
      </c>
      <c r="D483" t="s">
        <v>113</v>
      </c>
      <c r="E483">
        <v>5</v>
      </c>
      <c r="H483">
        <v>163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"06:13:15.547"</f>
        <v>06:13:15.547</v>
      </c>
      <c r="U483" t="str">
        <f t="shared" si="22"/>
        <v>A7E2E0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283</v>
      </c>
      <c r="AJ483">
        <v>39.137785000000001</v>
      </c>
      <c r="AK483" t="s">
        <v>437</v>
      </c>
      <c r="AL483">
        <v>-87.476427999999999</v>
      </c>
      <c r="AM483">
        <v>100</v>
      </c>
      <c r="AN483">
        <v>2000</v>
      </c>
      <c r="AO483" t="s">
        <v>118</v>
      </c>
      <c r="AP483">
        <v>-63</v>
      </c>
      <c r="AQ483">
        <v>-118</v>
      </c>
      <c r="AR483">
        <v>896</v>
      </c>
      <c r="AZ483">
        <v>4552</v>
      </c>
      <c r="BA483">
        <v>1</v>
      </c>
      <c r="BB483" t="str">
        <f t="shared" si="23"/>
        <v xml:space="preserve">N607SR  </v>
      </c>
      <c r="BC483">
        <v>1</v>
      </c>
      <c r="BE483">
        <v>1</v>
      </c>
      <c r="BF483">
        <v>3</v>
      </c>
      <c r="BG483">
        <v>0</v>
      </c>
      <c r="BH483">
        <v>1825</v>
      </c>
      <c r="BI483">
        <v>1</v>
      </c>
      <c r="BJ483">
        <v>1</v>
      </c>
      <c r="BK483">
        <v>1</v>
      </c>
      <c r="BL483">
        <v>0</v>
      </c>
      <c r="BO483">
        <v>1</v>
      </c>
      <c r="BP483">
        <v>0</v>
      </c>
      <c r="BW483" t="str">
        <f>"06:13:15.551"</f>
        <v>06:13:15.551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457</v>
      </c>
      <c r="CR483">
        <v>0</v>
      </c>
      <c r="CW483">
        <v>15511544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"08/29/2020 06:13:12.944"</f>
        <v>08/29/2020 06:13:12.944</v>
      </c>
      <c r="C484" t="str">
        <f t="shared" si="21"/>
        <v>FFDFD3C0</v>
      </c>
      <c r="D484" t="s">
        <v>121</v>
      </c>
      <c r="E484">
        <v>10</v>
      </c>
      <c r="F484">
        <v>1010</v>
      </c>
      <c r="G484" t="s">
        <v>114</v>
      </c>
      <c r="J484" t="s">
        <v>123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"06:13:16.141"</f>
        <v>06:13:16.141</v>
      </c>
      <c r="U484" t="str">
        <f t="shared" si="22"/>
        <v>A7E2E0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438</v>
      </c>
      <c r="AJ484">
        <v>39.137464000000001</v>
      </c>
      <c r="AK484" t="s">
        <v>439</v>
      </c>
      <c r="AL484">
        <v>-87.476664</v>
      </c>
      <c r="AM484">
        <v>100</v>
      </c>
      <c r="AN484">
        <v>2100</v>
      </c>
      <c r="AO484" t="s">
        <v>118</v>
      </c>
      <c r="AP484">
        <v>-61</v>
      </c>
      <c r="AQ484">
        <v>-119</v>
      </c>
      <c r="AR484">
        <v>896</v>
      </c>
      <c r="AZ484">
        <v>4552</v>
      </c>
      <c r="BA484">
        <v>1</v>
      </c>
      <c r="BB484" t="str">
        <f t="shared" si="23"/>
        <v xml:space="preserve">N607SR  </v>
      </c>
      <c r="BC484">
        <v>1</v>
      </c>
      <c r="BE484">
        <v>1</v>
      </c>
      <c r="BF484">
        <v>3</v>
      </c>
      <c r="BG484">
        <v>0</v>
      </c>
      <c r="BH484">
        <v>1825</v>
      </c>
      <c r="BI484">
        <v>1</v>
      </c>
      <c r="BJ484">
        <v>1</v>
      </c>
      <c r="BK484">
        <v>1</v>
      </c>
      <c r="BL484">
        <v>0</v>
      </c>
      <c r="BO484">
        <v>1</v>
      </c>
      <c r="BP484">
        <v>0</v>
      </c>
      <c r="BW484" t="str">
        <f>"06:13:16.146"</f>
        <v>06:13:16.146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457</v>
      </c>
      <c r="CR484">
        <v>0</v>
      </c>
      <c r="CW484">
        <v>15511557</v>
      </c>
      <c r="CY484">
        <v>1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"08/29/2020 06:13:12.944"</f>
        <v>08/29/2020 06:13:12.944</v>
      </c>
      <c r="C485" t="str">
        <f t="shared" si="21"/>
        <v>FFDFD3C0</v>
      </c>
      <c r="D485" t="s">
        <v>121</v>
      </c>
      <c r="E485">
        <v>13</v>
      </c>
      <c r="F485">
        <v>1013</v>
      </c>
      <c r="G485" t="s">
        <v>122</v>
      </c>
      <c r="J485" t="s">
        <v>123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"06:13:16.141"</f>
        <v>06:13:16.141</v>
      </c>
      <c r="U485" t="str">
        <f t="shared" si="22"/>
        <v>A7E2E0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438</v>
      </c>
      <c r="AJ485">
        <v>39.137464000000001</v>
      </c>
      <c r="AK485" t="s">
        <v>439</v>
      </c>
      <c r="AL485">
        <v>-87.476664</v>
      </c>
      <c r="AM485">
        <v>100</v>
      </c>
      <c r="AN485">
        <v>2100</v>
      </c>
      <c r="AO485" t="s">
        <v>118</v>
      </c>
      <c r="AP485">
        <v>-61</v>
      </c>
      <c r="AQ485">
        <v>-119</v>
      </c>
      <c r="AR485">
        <v>896</v>
      </c>
      <c r="AZ485">
        <v>4552</v>
      </c>
      <c r="BA485">
        <v>1</v>
      </c>
      <c r="BB485" t="str">
        <f t="shared" si="23"/>
        <v xml:space="preserve">N607SR  </v>
      </c>
      <c r="BC485">
        <v>1</v>
      </c>
      <c r="BE485">
        <v>1</v>
      </c>
      <c r="BF485">
        <v>3</v>
      </c>
      <c r="BG485">
        <v>0</v>
      </c>
      <c r="BH485">
        <v>1825</v>
      </c>
      <c r="BI485">
        <v>1</v>
      </c>
      <c r="BJ485">
        <v>1</v>
      </c>
      <c r="BK485">
        <v>1</v>
      </c>
      <c r="BL485">
        <v>0</v>
      </c>
      <c r="BO485">
        <v>1</v>
      </c>
      <c r="BP485">
        <v>0</v>
      </c>
      <c r="BW485" t="str">
        <f>"06:13:16.146"</f>
        <v>06:13:16.146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457</v>
      </c>
      <c r="CR485">
        <v>0</v>
      </c>
      <c r="CW485">
        <v>15511557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"08/29/2020 06:13:12.944"</f>
        <v>08/29/2020 06:13:12.944</v>
      </c>
      <c r="C486" t="str">
        <f t="shared" si="21"/>
        <v>FFDFD3C0</v>
      </c>
      <c r="D486" t="s">
        <v>121</v>
      </c>
      <c r="E486">
        <v>11</v>
      </c>
      <c r="F486">
        <v>1011</v>
      </c>
      <c r="G486" t="s">
        <v>125</v>
      </c>
      <c r="J486" t="s">
        <v>123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"06:13:16.141"</f>
        <v>06:13:16.141</v>
      </c>
      <c r="U486" t="str">
        <f t="shared" si="22"/>
        <v>A7E2E0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438</v>
      </c>
      <c r="AJ486">
        <v>39.137464000000001</v>
      </c>
      <c r="AK486" t="s">
        <v>439</v>
      </c>
      <c r="AL486">
        <v>-87.476664</v>
      </c>
      <c r="AM486">
        <v>100</v>
      </c>
      <c r="AN486">
        <v>2100</v>
      </c>
      <c r="AO486" t="s">
        <v>118</v>
      </c>
      <c r="AP486">
        <v>-61</v>
      </c>
      <c r="AQ486">
        <v>-119</v>
      </c>
      <c r="AR486">
        <v>896</v>
      </c>
      <c r="AZ486">
        <v>4552</v>
      </c>
      <c r="BA486">
        <v>1</v>
      </c>
      <c r="BB486" t="str">
        <f t="shared" si="23"/>
        <v xml:space="preserve">N607SR  </v>
      </c>
      <c r="BC486">
        <v>1</v>
      </c>
      <c r="BE486">
        <v>1</v>
      </c>
      <c r="BF486">
        <v>3</v>
      </c>
      <c r="BG486">
        <v>0</v>
      </c>
      <c r="BH486">
        <v>1825</v>
      </c>
      <c r="BI486">
        <v>1</v>
      </c>
      <c r="BJ486">
        <v>1</v>
      </c>
      <c r="BK486">
        <v>1</v>
      </c>
      <c r="BL486">
        <v>0</v>
      </c>
      <c r="BO486">
        <v>1</v>
      </c>
      <c r="BP486">
        <v>0</v>
      </c>
      <c r="BW486" t="str">
        <f>"06:13:16.146"</f>
        <v>06:13:16.146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457</v>
      </c>
      <c r="CR486">
        <v>0</v>
      </c>
      <c r="CW486">
        <v>15511557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"08/29/2020 06:13:13.432"</f>
        <v>08/29/2020 06:13:13.432</v>
      </c>
      <c r="C487" t="str">
        <f t="shared" si="21"/>
        <v>FFDFD3C0</v>
      </c>
      <c r="D487" t="s">
        <v>128</v>
      </c>
      <c r="E487">
        <v>5</v>
      </c>
      <c r="H487">
        <v>241</v>
      </c>
      <c r="I487" t="s">
        <v>129</v>
      </c>
      <c r="J487" t="s">
        <v>130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"06:13:16.625"</f>
        <v>06:13:16.625</v>
      </c>
      <c r="U487" t="str">
        <f t="shared" si="22"/>
        <v>A7E2E0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440</v>
      </c>
      <c r="AJ487">
        <v>39.137163000000001</v>
      </c>
      <c r="AK487" t="s">
        <v>441</v>
      </c>
      <c r="AL487">
        <v>-87.476877999999999</v>
      </c>
      <c r="AM487">
        <v>100</v>
      </c>
      <c r="AN487">
        <v>2100</v>
      </c>
      <c r="AO487" t="s">
        <v>118</v>
      </c>
      <c r="AP487">
        <v>-59</v>
      </c>
      <c r="AQ487">
        <v>-120</v>
      </c>
      <c r="AR487">
        <v>896</v>
      </c>
      <c r="AZ487">
        <v>4552</v>
      </c>
      <c r="BA487">
        <v>1</v>
      </c>
      <c r="BB487" t="str">
        <f t="shared" si="23"/>
        <v xml:space="preserve">N607SR  </v>
      </c>
      <c r="BC487">
        <v>1</v>
      </c>
      <c r="BE487">
        <v>1</v>
      </c>
      <c r="BF487">
        <v>3</v>
      </c>
      <c r="BG487">
        <v>0</v>
      </c>
      <c r="BH487">
        <v>1825</v>
      </c>
      <c r="BI487">
        <v>1</v>
      </c>
      <c r="BJ487">
        <v>1</v>
      </c>
      <c r="BK487">
        <v>1</v>
      </c>
      <c r="BL487">
        <v>0</v>
      </c>
      <c r="BO487">
        <v>1</v>
      </c>
      <c r="BP487">
        <v>0</v>
      </c>
      <c r="BW487" t="str">
        <f>"06:13:16.628"</f>
        <v>06:13:16.628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457</v>
      </c>
      <c r="CR487">
        <v>0</v>
      </c>
      <c r="CW487">
        <v>15511571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"08/29/2020 06:13:13.432"</f>
        <v>08/29/2020 06:13:13.432</v>
      </c>
      <c r="C488" t="str">
        <f t="shared" si="21"/>
        <v>FFDFD3C0</v>
      </c>
      <c r="D488" t="s">
        <v>113</v>
      </c>
      <c r="E488">
        <v>5</v>
      </c>
      <c r="H488">
        <v>163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"06:13:16.625"</f>
        <v>06:13:16.625</v>
      </c>
      <c r="U488" t="str">
        <f t="shared" si="22"/>
        <v>A7E2E0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440</v>
      </c>
      <c r="AJ488">
        <v>39.137163000000001</v>
      </c>
      <c r="AK488" t="s">
        <v>441</v>
      </c>
      <c r="AL488">
        <v>-87.476877999999999</v>
      </c>
      <c r="AM488">
        <v>100</v>
      </c>
      <c r="AN488">
        <v>2100</v>
      </c>
      <c r="AO488" t="s">
        <v>118</v>
      </c>
      <c r="AP488">
        <v>-59</v>
      </c>
      <c r="AQ488">
        <v>-120</v>
      </c>
      <c r="AR488">
        <v>896</v>
      </c>
      <c r="AZ488">
        <v>4552</v>
      </c>
      <c r="BA488">
        <v>1</v>
      </c>
      <c r="BB488" t="str">
        <f t="shared" si="23"/>
        <v xml:space="preserve">N607SR  </v>
      </c>
      <c r="BC488">
        <v>1</v>
      </c>
      <c r="BE488">
        <v>1</v>
      </c>
      <c r="BF488">
        <v>3</v>
      </c>
      <c r="BG488">
        <v>0</v>
      </c>
      <c r="BH488">
        <v>1825</v>
      </c>
      <c r="BI488">
        <v>1</v>
      </c>
      <c r="BJ488">
        <v>1</v>
      </c>
      <c r="BK488">
        <v>1</v>
      </c>
      <c r="BL488">
        <v>0</v>
      </c>
      <c r="BO488">
        <v>1</v>
      </c>
      <c r="BP488">
        <v>0</v>
      </c>
      <c r="BW488" t="str">
        <f>"06:13:16.628"</f>
        <v>06:13:16.628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457</v>
      </c>
      <c r="CR488">
        <v>0</v>
      </c>
      <c r="CW488">
        <v>15511571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"08/29/2020 06:13:13.945"</f>
        <v>08/29/2020 06:13:13.945</v>
      </c>
      <c r="C489" t="str">
        <f t="shared" si="21"/>
        <v>FFDFD3C0</v>
      </c>
      <c r="D489" t="s">
        <v>121</v>
      </c>
      <c r="E489">
        <v>13</v>
      </c>
      <c r="F489">
        <v>1013</v>
      </c>
      <c r="G489" t="s">
        <v>122</v>
      </c>
      <c r="J489" t="s">
        <v>123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"06:13:17.156"</f>
        <v>06:13:17.156</v>
      </c>
      <c r="T489" t="str">
        <f>"06:13:16.656"</f>
        <v>06:13:16.656</v>
      </c>
      <c r="U489" t="str">
        <f t="shared" si="22"/>
        <v>A7E2E0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442</v>
      </c>
      <c r="AJ489">
        <v>39.136927</v>
      </c>
      <c r="AK489" t="s">
        <v>443</v>
      </c>
      <c r="AL489">
        <v>-87.477028000000004</v>
      </c>
      <c r="AM489">
        <v>100</v>
      </c>
      <c r="AN489">
        <v>2100</v>
      </c>
      <c r="AO489" t="s">
        <v>118</v>
      </c>
      <c r="AP489">
        <v>-59</v>
      </c>
      <c r="AQ489">
        <v>-120</v>
      </c>
      <c r="AR489">
        <v>896</v>
      </c>
      <c r="AZ489">
        <v>4552</v>
      </c>
      <c r="BA489">
        <v>1</v>
      </c>
      <c r="BB489" t="str">
        <f t="shared" si="23"/>
        <v xml:space="preserve">N607SR  </v>
      </c>
      <c r="BC489">
        <v>1</v>
      </c>
      <c r="BE489">
        <v>1</v>
      </c>
      <c r="BF489">
        <v>3</v>
      </c>
      <c r="BG489">
        <v>0</v>
      </c>
      <c r="BH489">
        <v>1825</v>
      </c>
      <c r="BI489">
        <v>1</v>
      </c>
      <c r="BJ489">
        <v>1</v>
      </c>
      <c r="BK489">
        <v>1</v>
      </c>
      <c r="BL489">
        <v>0</v>
      </c>
      <c r="BO489">
        <v>1</v>
      </c>
      <c r="BP489">
        <v>0</v>
      </c>
      <c r="BW489" t="str">
        <f>"06:13:17.164"</f>
        <v>06:13:17.164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457</v>
      </c>
      <c r="CR489">
        <v>0</v>
      </c>
      <c r="CW489">
        <v>15511583</v>
      </c>
      <c r="CY489">
        <v>1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"08/29/2020 06:13:13.945"</f>
        <v>08/29/2020 06:13:13.945</v>
      </c>
      <c r="C490" t="str">
        <f t="shared" si="21"/>
        <v>FFDFD3C0</v>
      </c>
      <c r="D490" t="s">
        <v>121</v>
      </c>
      <c r="E490">
        <v>11</v>
      </c>
      <c r="F490">
        <v>1011</v>
      </c>
      <c r="G490" t="s">
        <v>125</v>
      </c>
      <c r="J490" t="s">
        <v>123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"06:13:17.156"</f>
        <v>06:13:17.156</v>
      </c>
      <c r="T490" t="str">
        <f>"06:13:16.656"</f>
        <v>06:13:16.656</v>
      </c>
      <c r="U490" t="str">
        <f t="shared" si="22"/>
        <v>A7E2E0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442</v>
      </c>
      <c r="AJ490">
        <v>39.136927</v>
      </c>
      <c r="AK490" t="s">
        <v>443</v>
      </c>
      <c r="AL490">
        <v>-87.477028000000004</v>
      </c>
      <c r="AM490">
        <v>100</v>
      </c>
      <c r="AN490">
        <v>2100</v>
      </c>
      <c r="AO490" t="s">
        <v>118</v>
      </c>
      <c r="AP490">
        <v>-59</v>
      </c>
      <c r="AQ490">
        <v>-120</v>
      </c>
      <c r="AR490">
        <v>896</v>
      </c>
      <c r="AZ490">
        <v>4552</v>
      </c>
      <c r="BA490">
        <v>1</v>
      </c>
      <c r="BB490" t="str">
        <f t="shared" si="23"/>
        <v xml:space="preserve">N607SR  </v>
      </c>
      <c r="BC490">
        <v>1</v>
      </c>
      <c r="BE490">
        <v>1</v>
      </c>
      <c r="BF490">
        <v>3</v>
      </c>
      <c r="BG490">
        <v>0</v>
      </c>
      <c r="BH490">
        <v>1825</v>
      </c>
      <c r="BI490">
        <v>1</v>
      </c>
      <c r="BJ490">
        <v>1</v>
      </c>
      <c r="BK490">
        <v>1</v>
      </c>
      <c r="BL490">
        <v>0</v>
      </c>
      <c r="BO490">
        <v>1</v>
      </c>
      <c r="BP490">
        <v>0</v>
      </c>
      <c r="BW490" t="str">
        <f>"06:13:17.164"</f>
        <v>06:13:17.164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457</v>
      </c>
      <c r="CR490">
        <v>0</v>
      </c>
      <c r="CW490">
        <v>15511583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"08/29/2020 06:13:13.945"</f>
        <v>08/29/2020 06:13:13.945</v>
      </c>
      <c r="C491" t="str">
        <f t="shared" si="21"/>
        <v>FFDFD3C0</v>
      </c>
      <c r="D491" t="s">
        <v>121</v>
      </c>
      <c r="E491">
        <v>10</v>
      </c>
      <c r="F491">
        <v>1010</v>
      </c>
      <c r="G491" t="s">
        <v>114</v>
      </c>
      <c r="J491" t="s">
        <v>123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"06:13:17.156"</f>
        <v>06:13:17.156</v>
      </c>
      <c r="T491" t="str">
        <f>"06:13:16.656"</f>
        <v>06:13:16.656</v>
      </c>
      <c r="U491" t="str">
        <f t="shared" si="22"/>
        <v>A7E2E0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442</v>
      </c>
      <c r="AJ491">
        <v>39.136927</v>
      </c>
      <c r="AK491" t="s">
        <v>443</v>
      </c>
      <c r="AL491">
        <v>-87.477028000000004</v>
      </c>
      <c r="AM491">
        <v>100</v>
      </c>
      <c r="AN491">
        <v>2100</v>
      </c>
      <c r="AO491" t="s">
        <v>118</v>
      </c>
      <c r="AP491">
        <v>-59</v>
      </c>
      <c r="AQ491">
        <v>-120</v>
      </c>
      <c r="AR491">
        <v>896</v>
      </c>
      <c r="AZ491">
        <v>4552</v>
      </c>
      <c r="BA491">
        <v>1</v>
      </c>
      <c r="BB491" t="str">
        <f t="shared" si="23"/>
        <v xml:space="preserve">N607SR  </v>
      </c>
      <c r="BC491">
        <v>1</v>
      </c>
      <c r="BE491">
        <v>1</v>
      </c>
      <c r="BF491">
        <v>3</v>
      </c>
      <c r="BG491">
        <v>0</v>
      </c>
      <c r="BH491">
        <v>1825</v>
      </c>
      <c r="BI491">
        <v>1</v>
      </c>
      <c r="BJ491">
        <v>1</v>
      </c>
      <c r="BK491">
        <v>1</v>
      </c>
      <c r="BL491">
        <v>0</v>
      </c>
      <c r="BO491">
        <v>1</v>
      </c>
      <c r="BP491">
        <v>0</v>
      </c>
      <c r="BW491" t="str">
        <f>"06:13:17.164"</f>
        <v>06:13:17.164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457</v>
      </c>
      <c r="CR491">
        <v>0</v>
      </c>
      <c r="CW491">
        <v>15511583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"08/29/2020 06:13:14.349"</f>
        <v>08/29/2020 06:13:14.349</v>
      </c>
      <c r="C492" t="str">
        <f t="shared" si="21"/>
        <v>FFDFD3C0</v>
      </c>
      <c r="D492" t="s">
        <v>113</v>
      </c>
      <c r="E492">
        <v>5</v>
      </c>
      <c r="H492">
        <v>163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"06:13:17.586"</f>
        <v>06:13:17.586</v>
      </c>
      <c r="T492" t="str">
        <f>"06:13:17.186"</f>
        <v>06:13:17.186</v>
      </c>
      <c r="U492" t="str">
        <f t="shared" si="22"/>
        <v>A7E2E0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444</v>
      </c>
      <c r="AJ492">
        <v>39.136690999999999</v>
      </c>
      <c r="AK492" t="s">
        <v>445</v>
      </c>
      <c r="AL492">
        <v>-87.477136000000002</v>
      </c>
      <c r="AM492">
        <v>100</v>
      </c>
      <c r="AN492">
        <v>2100</v>
      </c>
      <c r="AO492" t="s">
        <v>118</v>
      </c>
      <c r="AP492">
        <v>-58</v>
      </c>
      <c r="AQ492">
        <v>-121</v>
      </c>
      <c r="AR492">
        <v>896</v>
      </c>
      <c r="AZ492">
        <v>4552</v>
      </c>
      <c r="BA492">
        <v>1</v>
      </c>
      <c r="BB492" t="str">
        <f t="shared" si="23"/>
        <v xml:space="preserve">N607SR  </v>
      </c>
      <c r="BC492">
        <v>1</v>
      </c>
      <c r="BE492">
        <v>1</v>
      </c>
      <c r="BF492">
        <v>3</v>
      </c>
      <c r="BG492">
        <v>0</v>
      </c>
      <c r="BH492">
        <v>1850</v>
      </c>
      <c r="BI492">
        <v>1</v>
      </c>
      <c r="BJ492">
        <v>1</v>
      </c>
      <c r="BK492">
        <v>1</v>
      </c>
      <c r="BL492">
        <v>0</v>
      </c>
      <c r="BO492">
        <v>1</v>
      </c>
      <c r="BP492">
        <v>0</v>
      </c>
      <c r="BW492" t="str">
        <f>"06:13:17.590"</f>
        <v>06:13:17.590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457</v>
      </c>
      <c r="CR492">
        <v>0</v>
      </c>
      <c r="CW492">
        <v>15511594</v>
      </c>
      <c r="CY492">
        <v>1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"08/29/2020 06:13:14.349"</f>
        <v>08/29/2020 06:13:14.349</v>
      </c>
      <c r="C493" t="str">
        <f t="shared" si="21"/>
        <v>FFDFD3C0</v>
      </c>
      <c r="D493" t="s">
        <v>128</v>
      </c>
      <c r="E493">
        <v>5</v>
      </c>
      <c r="H493">
        <v>241</v>
      </c>
      <c r="I493" t="s">
        <v>129</v>
      </c>
      <c r="J493" t="s">
        <v>130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"06:13:17.586"</f>
        <v>06:13:17.586</v>
      </c>
      <c r="T493" t="str">
        <f>"06:13:17.186"</f>
        <v>06:13:17.186</v>
      </c>
      <c r="U493" t="str">
        <f t="shared" si="22"/>
        <v>A7E2E0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444</v>
      </c>
      <c r="AJ493">
        <v>39.136690999999999</v>
      </c>
      <c r="AK493" t="s">
        <v>445</v>
      </c>
      <c r="AL493">
        <v>-87.477136000000002</v>
      </c>
      <c r="AM493">
        <v>100</v>
      </c>
      <c r="AN493">
        <v>2100</v>
      </c>
      <c r="AO493" t="s">
        <v>118</v>
      </c>
      <c r="AP493">
        <v>-58</v>
      </c>
      <c r="AQ493">
        <v>-121</v>
      </c>
      <c r="AR493">
        <v>896</v>
      </c>
      <c r="AZ493">
        <v>4552</v>
      </c>
      <c r="BA493">
        <v>1</v>
      </c>
      <c r="BB493" t="str">
        <f t="shared" si="23"/>
        <v xml:space="preserve">N607SR  </v>
      </c>
      <c r="BC493">
        <v>1</v>
      </c>
      <c r="BE493">
        <v>1</v>
      </c>
      <c r="BF493">
        <v>3</v>
      </c>
      <c r="BG493">
        <v>0</v>
      </c>
      <c r="BH493">
        <v>1850</v>
      </c>
      <c r="BI493">
        <v>1</v>
      </c>
      <c r="BJ493">
        <v>1</v>
      </c>
      <c r="BK493">
        <v>1</v>
      </c>
      <c r="BL493">
        <v>0</v>
      </c>
      <c r="BO493">
        <v>1</v>
      </c>
      <c r="BP493">
        <v>0</v>
      </c>
      <c r="BW493" t="str">
        <f>"06:13:17.590"</f>
        <v>06:13:17.590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457</v>
      </c>
      <c r="CR493">
        <v>0</v>
      </c>
      <c r="CW493">
        <v>15511594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"08/29/2020 06:13:14.810"</f>
        <v>08/29/2020 06:13:14.810</v>
      </c>
      <c r="C494" t="str">
        <f t="shared" si="21"/>
        <v>FFDFD3C0</v>
      </c>
      <c r="D494" t="s">
        <v>121</v>
      </c>
      <c r="E494">
        <v>11</v>
      </c>
      <c r="F494">
        <v>1011</v>
      </c>
      <c r="G494" t="s">
        <v>125</v>
      </c>
      <c r="J494" t="s">
        <v>123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"06:13:18.023"</f>
        <v>06:13:18.023</v>
      </c>
      <c r="T494" t="str">
        <f>"06:13:17.623"</f>
        <v>06:13:17.623</v>
      </c>
      <c r="U494" t="str">
        <f t="shared" si="22"/>
        <v>A7E2E0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269</v>
      </c>
      <c r="AJ494">
        <v>39.136369000000002</v>
      </c>
      <c r="AK494" t="s">
        <v>446</v>
      </c>
      <c r="AL494">
        <v>-87.477286000000007</v>
      </c>
      <c r="AM494">
        <v>100</v>
      </c>
      <c r="AN494">
        <v>2100</v>
      </c>
      <c r="AO494" t="s">
        <v>118</v>
      </c>
      <c r="AP494">
        <v>-57</v>
      </c>
      <c r="AQ494">
        <v>-122</v>
      </c>
      <c r="AR494">
        <v>896</v>
      </c>
      <c r="AZ494">
        <v>4552</v>
      </c>
      <c r="BA494">
        <v>1</v>
      </c>
      <c r="BB494" t="str">
        <f t="shared" si="23"/>
        <v xml:space="preserve">N607SR  </v>
      </c>
      <c r="BC494">
        <v>1</v>
      </c>
      <c r="BE494">
        <v>1</v>
      </c>
      <c r="BF494">
        <v>3</v>
      </c>
      <c r="BG494">
        <v>0</v>
      </c>
      <c r="BH494">
        <v>1850</v>
      </c>
      <c r="BI494">
        <v>1</v>
      </c>
      <c r="BJ494">
        <v>1</v>
      </c>
      <c r="BK494">
        <v>1</v>
      </c>
      <c r="BL494">
        <v>0</v>
      </c>
      <c r="BO494">
        <v>1</v>
      </c>
      <c r="BP494">
        <v>0</v>
      </c>
      <c r="BW494" t="str">
        <f>"06:13:18.029"</f>
        <v>06:13:18.029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6</v>
      </c>
      <c r="CP494" t="s">
        <v>119</v>
      </c>
      <c r="CQ494">
        <v>457</v>
      </c>
      <c r="CR494">
        <v>0</v>
      </c>
      <c r="CW494">
        <v>15511603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"08/29/2020 06:13:14.810"</f>
        <v>08/29/2020 06:13:14.810</v>
      </c>
      <c r="C495" t="str">
        <f t="shared" si="21"/>
        <v>FFDFD3C0</v>
      </c>
      <c r="D495" t="s">
        <v>121</v>
      </c>
      <c r="E495">
        <v>10</v>
      </c>
      <c r="F495">
        <v>1010</v>
      </c>
      <c r="G495" t="s">
        <v>114</v>
      </c>
      <c r="J495" t="s">
        <v>123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"06:13:18.023"</f>
        <v>06:13:18.023</v>
      </c>
      <c r="T495" t="str">
        <f>"06:13:17.623"</f>
        <v>06:13:17.623</v>
      </c>
      <c r="U495" t="str">
        <f t="shared" si="22"/>
        <v>A7E2E0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269</v>
      </c>
      <c r="AJ495">
        <v>39.136369000000002</v>
      </c>
      <c r="AK495" t="s">
        <v>446</v>
      </c>
      <c r="AL495">
        <v>-87.477286000000007</v>
      </c>
      <c r="AM495">
        <v>100</v>
      </c>
      <c r="AN495">
        <v>2100</v>
      </c>
      <c r="AO495" t="s">
        <v>118</v>
      </c>
      <c r="AP495">
        <v>-57</v>
      </c>
      <c r="AQ495">
        <v>-122</v>
      </c>
      <c r="AR495">
        <v>896</v>
      </c>
      <c r="AZ495">
        <v>4552</v>
      </c>
      <c r="BA495">
        <v>1</v>
      </c>
      <c r="BB495" t="str">
        <f t="shared" si="23"/>
        <v xml:space="preserve">N607SR  </v>
      </c>
      <c r="BC495">
        <v>1</v>
      </c>
      <c r="BE495">
        <v>1</v>
      </c>
      <c r="BF495">
        <v>3</v>
      </c>
      <c r="BG495">
        <v>0</v>
      </c>
      <c r="BH495">
        <v>1850</v>
      </c>
      <c r="BI495">
        <v>1</v>
      </c>
      <c r="BJ495">
        <v>1</v>
      </c>
      <c r="BK495">
        <v>1</v>
      </c>
      <c r="BL495">
        <v>0</v>
      </c>
      <c r="BO495">
        <v>1</v>
      </c>
      <c r="BP495">
        <v>0</v>
      </c>
      <c r="BW495" t="str">
        <f>"06:13:18.029"</f>
        <v>06:13:18.029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6</v>
      </c>
      <c r="CP495" t="s">
        <v>119</v>
      </c>
      <c r="CQ495">
        <v>457</v>
      </c>
      <c r="CR495">
        <v>0</v>
      </c>
      <c r="CW495">
        <v>15511603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"08/29/2020 06:13:14.810"</f>
        <v>08/29/2020 06:13:14.810</v>
      </c>
      <c r="C496" t="str">
        <f t="shared" si="21"/>
        <v>FFDFD3C0</v>
      </c>
      <c r="D496" t="s">
        <v>121</v>
      </c>
      <c r="E496">
        <v>13</v>
      </c>
      <c r="F496">
        <v>1013</v>
      </c>
      <c r="G496" t="s">
        <v>122</v>
      </c>
      <c r="J496" t="s">
        <v>123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"06:13:18.023"</f>
        <v>06:13:18.023</v>
      </c>
      <c r="T496" t="str">
        <f>"06:13:17.623"</f>
        <v>06:13:17.623</v>
      </c>
      <c r="U496" t="str">
        <f t="shared" si="22"/>
        <v>A7E2E0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269</v>
      </c>
      <c r="AJ496">
        <v>39.136369000000002</v>
      </c>
      <c r="AK496" t="s">
        <v>446</v>
      </c>
      <c r="AL496">
        <v>-87.477286000000007</v>
      </c>
      <c r="AM496">
        <v>100</v>
      </c>
      <c r="AN496">
        <v>2100</v>
      </c>
      <c r="AO496" t="s">
        <v>118</v>
      </c>
      <c r="AP496">
        <v>-57</v>
      </c>
      <c r="AQ496">
        <v>-122</v>
      </c>
      <c r="AR496">
        <v>896</v>
      </c>
      <c r="AZ496">
        <v>4552</v>
      </c>
      <c r="BA496">
        <v>1</v>
      </c>
      <c r="BB496" t="str">
        <f t="shared" si="23"/>
        <v xml:space="preserve">N607SR  </v>
      </c>
      <c r="BC496">
        <v>1</v>
      </c>
      <c r="BE496">
        <v>1</v>
      </c>
      <c r="BF496">
        <v>3</v>
      </c>
      <c r="BG496">
        <v>0</v>
      </c>
      <c r="BH496">
        <v>1850</v>
      </c>
      <c r="BI496">
        <v>1</v>
      </c>
      <c r="BJ496">
        <v>1</v>
      </c>
      <c r="BK496">
        <v>1</v>
      </c>
      <c r="BL496">
        <v>0</v>
      </c>
      <c r="BO496">
        <v>1</v>
      </c>
      <c r="BP496">
        <v>0</v>
      </c>
      <c r="BW496" t="str">
        <f>"06:13:18.029"</f>
        <v>06:13:18.029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119</v>
      </c>
      <c r="CQ496">
        <v>457</v>
      </c>
      <c r="CR496">
        <v>0</v>
      </c>
      <c r="CW496">
        <v>15511603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"08/29/2020 06:13:15.305"</f>
        <v>08/29/2020 06:13:15.305</v>
      </c>
      <c r="C497" t="str">
        <f t="shared" si="21"/>
        <v>FFDFD3C0</v>
      </c>
      <c r="D497" t="s">
        <v>128</v>
      </c>
      <c r="E497">
        <v>5</v>
      </c>
      <c r="H497">
        <v>241</v>
      </c>
      <c r="I497" t="s">
        <v>129</v>
      </c>
      <c r="J497" t="s">
        <v>130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"06:13:18.508"</f>
        <v>06:13:18.508</v>
      </c>
      <c r="U497" t="str">
        <f t="shared" si="22"/>
        <v>A7E2E0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447</v>
      </c>
      <c r="AJ497">
        <v>39.136090000000003</v>
      </c>
      <c r="AK497" t="s">
        <v>448</v>
      </c>
      <c r="AL497">
        <v>-87.477500000000006</v>
      </c>
      <c r="AM497">
        <v>100</v>
      </c>
      <c r="AN497">
        <v>2100</v>
      </c>
      <c r="AO497" t="s">
        <v>118</v>
      </c>
      <c r="AP497">
        <v>-54</v>
      </c>
      <c r="AQ497">
        <v>-123</v>
      </c>
      <c r="AR497">
        <v>832</v>
      </c>
      <c r="AZ497">
        <v>4552</v>
      </c>
      <c r="BA497">
        <v>1</v>
      </c>
      <c r="BB497" t="str">
        <f t="shared" si="23"/>
        <v xml:space="preserve">N607SR  </v>
      </c>
      <c r="BC497">
        <v>1</v>
      </c>
      <c r="BE497">
        <v>1</v>
      </c>
      <c r="BF497">
        <v>3</v>
      </c>
      <c r="BG497">
        <v>0</v>
      </c>
      <c r="BH497">
        <v>1850</v>
      </c>
      <c r="BI497">
        <v>1</v>
      </c>
      <c r="BJ497">
        <v>1</v>
      </c>
      <c r="BK497">
        <v>1</v>
      </c>
      <c r="BL497">
        <v>0</v>
      </c>
      <c r="BO497">
        <v>1</v>
      </c>
      <c r="BP497">
        <v>0</v>
      </c>
      <c r="BW497" t="str">
        <f>"06:13:18.514"</f>
        <v>06:13:18.514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119</v>
      </c>
      <c r="CQ497">
        <v>457</v>
      </c>
      <c r="CR497">
        <v>0</v>
      </c>
      <c r="CW497">
        <v>15511617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"08/29/2020 06:13:15.305"</f>
        <v>08/29/2020 06:13:15.305</v>
      </c>
      <c r="C498" t="str">
        <f t="shared" si="21"/>
        <v>FFDFD3C0</v>
      </c>
      <c r="D498" t="s">
        <v>113</v>
      </c>
      <c r="E498">
        <v>5</v>
      </c>
      <c r="H498">
        <v>163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"06:13:18.508"</f>
        <v>06:13:18.508</v>
      </c>
      <c r="U498" t="str">
        <f t="shared" si="22"/>
        <v>A7E2E0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447</v>
      </c>
      <c r="AJ498">
        <v>39.136090000000003</v>
      </c>
      <c r="AK498" t="s">
        <v>448</v>
      </c>
      <c r="AL498">
        <v>-87.477500000000006</v>
      </c>
      <c r="AM498">
        <v>100</v>
      </c>
      <c r="AN498">
        <v>2100</v>
      </c>
      <c r="AO498" t="s">
        <v>118</v>
      </c>
      <c r="AP498">
        <v>-54</v>
      </c>
      <c r="AQ498">
        <v>-123</v>
      </c>
      <c r="AR498">
        <v>832</v>
      </c>
      <c r="AZ498">
        <v>4552</v>
      </c>
      <c r="BA498">
        <v>1</v>
      </c>
      <c r="BB498" t="str">
        <f t="shared" si="23"/>
        <v xml:space="preserve">N607SR  </v>
      </c>
      <c r="BC498">
        <v>1</v>
      </c>
      <c r="BE498">
        <v>1</v>
      </c>
      <c r="BF498">
        <v>3</v>
      </c>
      <c r="BG498">
        <v>0</v>
      </c>
      <c r="BH498">
        <v>1850</v>
      </c>
      <c r="BI498">
        <v>1</v>
      </c>
      <c r="BJ498">
        <v>1</v>
      </c>
      <c r="BK498">
        <v>1</v>
      </c>
      <c r="BL498">
        <v>0</v>
      </c>
      <c r="BO498">
        <v>1</v>
      </c>
      <c r="BP498">
        <v>0</v>
      </c>
      <c r="BW498" t="str">
        <f>"06:13:18.514"</f>
        <v>06:13:18.514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119</v>
      </c>
      <c r="CQ498">
        <v>457</v>
      </c>
      <c r="CR498">
        <v>0</v>
      </c>
      <c r="CW498">
        <v>15511617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"08/29/2020 06:13:15.768"</f>
        <v>08/29/2020 06:13:15.768</v>
      </c>
      <c r="C499" t="str">
        <f t="shared" si="21"/>
        <v>FFDFD3C0</v>
      </c>
      <c r="D499" t="s">
        <v>121</v>
      </c>
      <c r="E499">
        <v>13</v>
      </c>
      <c r="F499">
        <v>1013</v>
      </c>
      <c r="G499" t="s">
        <v>122</v>
      </c>
      <c r="J499" t="s">
        <v>123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"06:13:19.000"</f>
        <v>06:13:19.000</v>
      </c>
      <c r="T499" t="str">
        <f>"06:13:18.600"</f>
        <v>06:13:18.600</v>
      </c>
      <c r="U499" t="str">
        <f t="shared" si="22"/>
        <v>A7E2E0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449</v>
      </c>
      <c r="AJ499">
        <v>39.135810999999997</v>
      </c>
      <c r="AK499" t="s">
        <v>450</v>
      </c>
      <c r="AL499">
        <v>-87.477608000000004</v>
      </c>
      <c r="AM499">
        <v>100</v>
      </c>
      <c r="AN499">
        <v>2100</v>
      </c>
      <c r="AO499" t="s">
        <v>118</v>
      </c>
      <c r="AP499">
        <v>-54</v>
      </c>
      <c r="AQ499">
        <v>-123</v>
      </c>
      <c r="AR499">
        <v>832</v>
      </c>
      <c r="AZ499">
        <v>4552</v>
      </c>
      <c r="BA499">
        <v>1</v>
      </c>
      <c r="BB499" t="str">
        <f t="shared" si="23"/>
        <v xml:space="preserve">N607SR  </v>
      </c>
      <c r="BC499">
        <v>1</v>
      </c>
      <c r="BE499">
        <v>1</v>
      </c>
      <c r="BF499">
        <v>3</v>
      </c>
      <c r="BG499">
        <v>0</v>
      </c>
      <c r="BH499">
        <v>1850</v>
      </c>
      <c r="BI499">
        <v>1</v>
      </c>
      <c r="BJ499">
        <v>1</v>
      </c>
      <c r="BK499">
        <v>1</v>
      </c>
      <c r="BL499">
        <v>0</v>
      </c>
      <c r="BO499">
        <v>1</v>
      </c>
      <c r="BP499">
        <v>0</v>
      </c>
      <c r="BW499" t="str">
        <f>"06:13:19.002"</f>
        <v>06:13:19.002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457</v>
      </c>
      <c r="CR499">
        <v>0</v>
      </c>
      <c r="CW499">
        <v>15511629</v>
      </c>
      <c r="CY499">
        <v>1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"08/29/2020 06:13:15.768"</f>
        <v>08/29/2020 06:13:15.768</v>
      </c>
      <c r="C500" t="str">
        <f t="shared" si="21"/>
        <v>FFDFD3C0</v>
      </c>
      <c r="D500" t="s">
        <v>121</v>
      </c>
      <c r="E500">
        <v>10</v>
      </c>
      <c r="F500">
        <v>1010</v>
      </c>
      <c r="G500" t="s">
        <v>114</v>
      </c>
      <c r="J500" t="s">
        <v>123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"06:13:19.000"</f>
        <v>06:13:19.000</v>
      </c>
      <c r="T500" t="str">
        <f>"06:13:18.600"</f>
        <v>06:13:18.600</v>
      </c>
      <c r="U500" t="str">
        <f t="shared" si="22"/>
        <v>A7E2E0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449</v>
      </c>
      <c r="AJ500">
        <v>39.135810999999997</v>
      </c>
      <c r="AK500" t="s">
        <v>450</v>
      </c>
      <c r="AL500">
        <v>-87.477608000000004</v>
      </c>
      <c r="AM500">
        <v>100</v>
      </c>
      <c r="AN500">
        <v>2100</v>
      </c>
      <c r="AO500" t="s">
        <v>118</v>
      </c>
      <c r="AP500">
        <v>-54</v>
      </c>
      <c r="AQ500">
        <v>-123</v>
      </c>
      <c r="AR500">
        <v>832</v>
      </c>
      <c r="AZ500">
        <v>4552</v>
      </c>
      <c r="BA500">
        <v>1</v>
      </c>
      <c r="BB500" t="str">
        <f t="shared" si="23"/>
        <v xml:space="preserve">N607SR  </v>
      </c>
      <c r="BC500">
        <v>1</v>
      </c>
      <c r="BE500">
        <v>1</v>
      </c>
      <c r="BF500">
        <v>3</v>
      </c>
      <c r="BG500">
        <v>0</v>
      </c>
      <c r="BH500">
        <v>1850</v>
      </c>
      <c r="BI500">
        <v>1</v>
      </c>
      <c r="BJ500">
        <v>1</v>
      </c>
      <c r="BK500">
        <v>1</v>
      </c>
      <c r="BL500">
        <v>0</v>
      </c>
      <c r="BO500">
        <v>1</v>
      </c>
      <c r="BP500">
        <v>0</v>
      </c>
      <c r="BW500" t="str">
        <f>"06:13:19.002"</f>
        <v>06:13:19.002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6</v>
      </c>
      <c r="CP500" t="s">
        <v>119</v>
      </c>
      <c r="CQ500">
        <v>457</v>
      </c>
      <c r="CR500">
        <v>0</v>
      </c>
      <c r="CW500">
        <v>15511629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"08/29/2020 06:13:15.768"</f>
        <v>08/29/2020 06:13:15.768</v>
      </c>
      <c r="C501" t="str">
        <f t="shared" si="21"/>
        <v>FFDFD3C0</v>
      </c>
      <c r="D501" t="s">
        <v>121</v>
      </c>
      <c r="E501">
        <v>11</v>
      </c>
      <c r="F501">
        <v>1011</v>
      </c>
      <c r="G501" t="s">
        <v>125</v>
      </c>
      <c r="J501" t="s">
        <v>123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"06:13:19.000"</f>
        <v>06:13:19.000</v>
      </c>
      <c r="T501" t="str">
        <f>"06:13:18.600"</f>
        <v>06:13:18.600</v>
      </c>
      <c r="U501" t="str">
        <f t="shared" si="22"/>
        <v>A7E2E0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449</v>
      </c>
      <c r="AJ501">
        <v>39.135810999999997</v>
      </c>
      <c r="AK501" t="s">
        <v>450</v>
      </c>
      <c r="AL501">
        <v>-87.477608000000004</v>
      </c>
      <c r="AM501">
        <v>100</v>
      </c>
      <c r="AN501">
        <v>2100</v>
      </c>
      <c r="AO501" t="s">
        <v>118</v>
      </c>
      <c r="AP501">
        <v>-54</v>
      </c>
      <c r="AQ501">
        <v>-123</v>
      </c>
      <c r="AR501">
        <v>832</v>
      </c>
      <c r="AZ501">
        <v>4552</v>
      </c>
      <c r="BA501">
        <v>1</v>
      </c>
      <c r="BB501" t="str">
        <f t="shared" si="23"/>
        <v xml:space="preserve">N607SR  </v>
      </c>
      <c r="BC501">
        <v>1</v>
      </c>
      <c r="BE501">
        <v>1</v>
      </c>
      <c r="BF501">
        <v>3</v>
      </c>
      <c r="BG501">
        <v>0</v>
      </c>
      <c r="BH501">
        <v>1850</v>
      </c>
      <c r="BI501">
        <v>1</v>
      </c>
      <c r="BJ501">
        <v>1</v>
      </c>
      <c r="BK501">
        <v>1</v>
      </c>
      <c r="BL501">
        <v>0</v>
      </c>
      <c r="BO501">
        <v>1</v>
      </c>
      <c r="BP501">
        <v>0</v>
      </c>
      <c r="BW501" t="str">
        <f>"06:13:19.002"</f>
        <v>06:13:19.002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457</v>
      </c>
      <c r="CR501">
        <v>0</v>
      </c>
      <c r="CW501">
        <v>15511629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"08/29/2020 06:13:16.364"</f>
        <v>08/29/2020 06:13:16.364</v>
      </c>
      <c r="C502" t="str">
        <f t="shared" si="21"/>
        <v>FFDFD3C0</v>
      </c>
      <c r="D502" t="s">
        <v>128</v>
      </c>
      <c r="E502">
        <v>5</v>
      </c>
      <c r="H502">
        <v>241</v>
      </c>
      <c r="I502" t="s">
        <v>129</v>
      </c>
      <c r="J502" t="s">
        <v>130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"06:13:19.555"</f>
        <v>06:13:19.555</v>
      </c>
      <c r="U502" t="str">
        <f t="shared" si="22"/>
        <v>A7E2E0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451</v>
      </c>
      <c r="AJ502">
        <v>39.135489</v>
      </c>
      <c r="AK502" t="s">
        <v>452</v>
      </c>
      <c r="AL502">
        <v>-87.477800999999999</v>
      </c>
      <c r="AM502">
        <v>100</v>
      </c>
      <c r="AN502">
        <v>2100</v>
      </c>
      <c r="AO502" t="s">
        <v>118</v>
      </c>
      <c r="AP502">
        <v>-51</v>
      </c>
      <c r="AQ502">
        <v>-125</v>
      </c>
      <c r="AR502">
        <v>832</v>
      </c>
      <c r="AZ502">
        <v>4552</v>
      </c>
      <c r="BA502">
        <v>1</v>
      </c>
      <c r="BB502" t="str">
        <f t="shared" si="23"/>
        <v xml:space="preserve">N607SR  </v>
      </c>
      <c r="BC502">
        <v>1</v>
      </c>
      <c r="BE502">
        <v>1</v>
      </c>
      <c r="BF502">
        <v>3</v>
      </c>
      <c r="BG502">
        <v>0</v>
      </c>
      <c r="BH502">
        <v>1875</v>
      </c>
      <c r="BI502">
        <v>1</v>
      </c>
      <c r="BJ502">
        <v>1</v>
      </c>
      <c r="BK502">
        <v>1</v>
      </c>
      <c r="BL502">
        <v>0</v>
      </c>
      <c r="BO502">
        <v>1</v>
      </c>
      <c r="BP502">
        <v>0</v>
      </c>
      <c r="BW502" t="str">
        <f>"06:13:19.559"</f>
        <v>06:13:19.559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5</v>
      </c>
      <c r="CP502" t="s">
        <v>119</v>
      </c>
      <c r="CQ502">
        <v>465</v>
      </c>
      <c r="CR502">
        <v>0</v>
      </c>
      <c r="CW502">
        <v>4715229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"08/29/2020 06:13:16.364"</f>
        <v>08/29/2020 06:13:16.364</v>
      </c>
      <c r="C503" t="str">
        <f t="shared" si="21"/>
        <v>FFDFD3C0</v>
      </c>
      <c r="D503" t="s">
        <v>113</v>
      </c>
      <c r="E503">
        <v>5</v>
      </c>
      <c r="H503">
        <v>163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"06:13:19.555"</f>
        <v>06:13:19.555</v>
      </c>
      <c r="U503" t="str">
        <f t="shared" si="22"/>
        <v>A7E2E0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451</v>
      </c>
      <c r="AJ503">
        <v>39.135489</v>
      </c>
      <c r="AK503" t="s">
        <v>452</v>
      </c>
      <c r="AL503">
        <v>-87.477800999999999</v>
      </c>
      <c r="AM503">
        <v>100</v>
      </c>
      <c r="AN503">
        <v>2100</v>
      </c>
      <c r="AO503" t="s">
        <v>118</v>
      </c>
      <c r="AP503">
        <v>-51</v>
      </c>
      <c r="AQ503">
        <v>-125</v>
      </c>
      <c r="AR503">
        <v>832</v>
      </c>
      <c r="AZ503">
        <v>4552</v>
      </c>
      <c r="BA503">
        <v>1</v>
      </c>
      <c r="BB503" t="str">
        <f t="shared" si="23"/>
        <v xml:space="preserve">N607SR  </v>
      </c>
      <c r="BC503">
        <v>1</v>
      </c>
      <c r="BE503">
        <v>1</v>
      </c>
      <c r="BF503">
        <v>3</v>
      </c>
      <c r="BG503">
        <v>0</v>
      </c>
      <c r="BH503">
        <v>1875</v>
      </c>
      <c r="BI503">
        <v>1</v>
      </c>
      <c r="BJ503">
        <v>1</v>
      </c>
      <c r="BK503">
        <v>1</v>
      </c>
      <c r="BL503">
        <v>0</v>
      </c>
      <c r="BO503">
        <v>1</v>
      </c>
      <c r="BP503">
        <v>0</v>
      </c>
      <c r="BW503" t="str">
        <f>"06:13:19.559"</f>
        <v>06:13:19.559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5</v>
      </c>
      <c r="CP503" t="s">
        <v>119</v>
      </c>
      <c r="CQ503">
        <v>465</v>
      </c>
      <c r="CR503">
        <v>0</v>
      </c>
      <c r="CW503">
        <v>4715229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"08/29/2020 06:13:16.883"</f>
        <v>08/29/2020 06:13:16.883</v>
      </c>
      <c r="C504" t="str">
        <f t="shared" si="21"/>
        <v>FFDFD3C0</v>
      </c>
      <c r="D504" t="s">
        <v>121</v>
      </c>
      <c r="E504">
        <v>13</v>
      </c>
      <c r="F504">
        <v>1013</v>
      </c>
      <c r="G504" t="s">
        <v>122</v>
      </c>
      <c r="J504" t="s">
        <v>123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"06:13:20.141"</f>
        <v>06:13:20.141</v>
      </c>
      <c r="T504" t="str">
        <f>"06:13:19.641"</f>
        <v>06:13:19.641</v>
      </c>
      <c r="U504" t="str">
        <f t="shared" si="22"/>
        <v>A7E2E0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453</v>
      </c>
      <c r="AJ504">
        <v>39.135168</v>
      </c>
      <c r="AK504" t="s">
        <v>454</v>
      </c>
      <c r="AL504">
        <v>-87.477973000000006</v>
      </c>
      <c r="AM504">
        <v>100</v>
      </c>
      <c r="AN504">
        <v>2100</v>
      </c>
      <c r="AO504" t="s">
        <v>118</v>
      </c>
      <c r="AP504">
        <v>-51</v>
      </c>
      <c r="AQ504">
        <v>-125</v>
      </c>
      <c r="AR504">
        <v>832</v>
      </c>
      <c r="AZ504">
        <v>4552</v>
      </c>
      <c r="BA504">
        <v>1</v>
      </c>
      <c r="BB504" t="str">
        <f t="shared" si="23"/>
        <v xml:space="preserve">N607SR  </v>
      </c>
      <c r="BC504">
        <v>1</v>
      </c>
      <c r="BE504">
        <v>1</v>
      </c>
      <c r="BF504">
        <v>3</v>
      </c>
      <c r="BG504">
        <v>0</v>
      </c>
      <c r="BH504">
        <v>1875</v>
      </c>
      <c r="BI504">
        <v>1</v>
      </c>
      <c r="BJ504">
        <v>1</v>
      </c>
      <c r="BK504">
        <v>1</v>
      </c>
      <c r="BL504">
        <v>0</v>
      </c>
      <c r="BO504">
        <v>1</v>
      </c>
      <c r="BP504">
        <v>0</v>
      </c>
      <c r="BW504" t="str">
        <f>"06:13:20.141"</f>
        <v>06:13:20.141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457</v>
      </c>
      <c r="CR504">
        <v>0</v>
      </c>
      <c r="CW504">
        <v>15511653</v>
      </c>
      <c r="CY504">
        <v>1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"08/29/2020 06:13:16.883"</f>
        <v>08/29/2020 06:13:16.883</v>
      </c>
      <c r="C505" t="str">
        <f t="shared" si="21"/>
        <v>FFDFD3C0</v>
      </c>
      <c r="D505" t="s">
        <v>121</v>
      </c>
      <c r="E505">
        <v>10</v>
      </c>
      <c r="F505">
        <v>1010</v>
      </c>
      <c r="G505" t="s">
        <v>114</v>
      </c>
      <c r="J505" t="s">
        <v>123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"06:13:20.141"</f>
        <v>06:13:20.141</v>
      </c>
      <c r="T505" t="str">
        <f>"06:13:19.641"</f>
        <v>06:13:19.641</v>
      </c>
      <c r="U505" t="str">
        <f t="shared" si="22"/>
        <v>A7E2E0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453</v>
      </c>
      <c r="AJ505">
        <v>39.135168</v>
      </c>
      <c r="AK505" t="s">
        <v>454</v>
      </c>
      <c r="AL505">
        <v>-87.477973000000006</v>
      </c>
      <c r="AM505">
        <v>100</v>
      </c>
      <c r="AN505">
        <v>2100</v>
      </c>
      <c r="AO505" t="s">
        <v>118</v>
      </c>
      <c r="AP505">
        <v>-51</v>
      </c>
      <c r="AQ505">
        <v>-125</v>
      </c>
      <c r="AR505">
        <v>832</v>
      </c>
      <c r="AZ505">
        <v>4552</v>
      </c>
      <c r="BA505">
        <v>1</v>
      </c>
      <c r="BB505" t="str">
        <f t="shared" si="23"/>
        <v xml:space="preserve">N607SR  </v>
      </c>
      <c r="BC505">
        <v>1</v>
      </c>
      <c r="BE505">
        <v>1</v>
      </c>
      <c r="BF505">
        <v>3</v>
      </c>
      <c r="BG505">
        <v>0</v>
      </c>
      <c r="BH505">
        <v>1875</v>
      </c>
      <c r="BI505">
        <v>1</v>
      </c>
      <c r="BJ505">
        <v>1</v>
      </c>
      <c r="BK505">
        <v>1</v>
      </c>
      <c r="BL505">
        <v>0</v>
      </c>
      <c r="BO505">
        <v>1</v>
      </c>
      <c r="BP505">
        <v>0</v>
      </c>
      <c r="BW505" t="str">
        <f>"06:13:20.141"</f>
        <v>06:13:20.141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457</v>
      </c>
      <c r="CR505">
        <v>0</v>
      </c>
      <c r="CW505">
        <v>15511653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"08/29/2020 06:13:16.883"</f>
        <v>08/29/2020 06:13:16.883</v>
      </c>
      <c r="C506" t="str">
        <f t="shared" si="21"/>
        <v>FFDFD3C0</v>
      </c>
      <c r="D506" t="s">
        <v>121</v>
      </c>
      <c r="E506">
        <v>11</v>
      </c>
      <c r="F506">
        <v>1011</v>
      </c>
      <c r="G506" t="s">
        <v>125</v>
      </c>
      <c r="J506" t="s">
        <v>123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"06:13:20.141"</f>
        <v>06:13:20.141</v>
      </c>
      <c r="T506" t="str">
        <f>"06:13:19.641"</f>
        <v>06:13:19.641</v>
      </c>
      <c r="U506" t="str">
        <f t="shared" si="22"/>
        <v>A7E2E0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453</v>
      </c>
      <c r="AJ506">
        <v>39.135168</v>
      </c>
      <c r="AK506" t="s">
        <v>454</v>
      </c>
      <c r="AL506">
        <v>-87.477973000000006</v>
      </c>
      <c r="AM506">
        <v>100</v>
      </c>
      <c r="AN506">
        <v>2100</v>
      </c>
      <c r="AO506" t="s">
        <v>118</v>
      </c>
      <c r="AP506">
        <v>-51</v>
      </c>
      <c r="AQ506">
        <v>-125</v>
      </c>
      <c r="AR506">
        <v>832</v>
      </c>
      <c r="AZ506">
        <v>4552</v>
      </c>
      <c r="BA506">
        <v>1</v>
      </c>
      <c r="BB506" t="str">
        <f t="shared" si="23"/>
        <v xml:space="preserve">N607SR  </v>
      </c>
      <c r="BC506">
        <v>1</v>
      </c>
      <c r="BE506">
        <v>1</v>
      </c>
      <c r="BF506">
        <v>3</v>
      </c>
      <c r="BG506">
        <v>0</v>
      </c>
      <c r="BH506">
        <v>1875</v>
      </c>
      <c r="BI506">
        <v>1</v>
      </c>
      <c r="BJ506">
        <v>1</v>
      </c>
      <c r="BK506">
        <v>1</v>
      </c>
      <c r="BL506">
        <v>0</v>
      </c>
      <c r="BO506">
        <v>1</v>
      </c>
      <c r="BP506">
        <v>0</v>
      </c>
      <c r="BW506" t="str">
        <f>"06:13:20.141"</f>
        <v>06:13:20.141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457</v>
      </c>
      <c r="CR506">
        <v>0</v>
      </c>
      <c r="CW506">
        <v>15511653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"08/29/2020 06:13:17.529"</f>
        <v>08/29/2020 06:13:17.529</v>
      </c>
      <c r="C507" t="str">
        <f t="shared" si="21"/>
        <v>FFDFD3C0</v>
      </c>
      <c r="D507" t="s">
        <v>128</v>
      </c>
      <c r="E507">
        <v>5</v>
      </c>
      <c r="H507">
        <v>241</v>
      </c>
      <c r="I507" t="s">
        <v>129</v>
      </c>
      <c r="J507" t="s">
        <v>130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"06:13:20.719"</f>
        <v>06:13:20.719</v>
      </c>
      <c r="T507" t="str">
        <f>"06:13:20.219"</f>
        <v>06:13:20.219</v>
      </c>
      <c r="U507" t="str">
        <f t="shared" si="22"/>
        <v>A7E2E0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455</v>
      </c>
      <c r="AJ507">
        <v>39.134802999999998</v>
      </c>
      <c r="AK507" t="s">
        <v>456</v>
      </c>
      <c r="AL507">
        <v>-87.478166000000002</v>
      </c>
      <c r="AM507">
        <v>100</v>
      </c>
      <c r="AN507">
        <v>2100</v>
      </c>
      <c r="AO507" t="s">
        <v>118</v>
      </c>
      <c r="AP507">
        <v>-50</v>
      </c>
      <c r="AQ507">
        <v>-126</v>
      </c>
      <c r="AR507">
        <v>832</v>
      </c>
      <c r="AZ507">
        <v>4552</v>
      </c>
      <c r="BA507">
        <v>1</v>
      </c>
      <c r="BB507" t="str">
        <f t="shared" si="23"/>
        <v xml:space="preserve">N607SR  </v>
      </c>
      <c r="BC507">
        <v>1</v>
      </c>
      <c r="BE507">
        <v>1</v>
      </c>
      <c r="BF507">
        <v>3</v>
      </c>
      <c r="BG507">
        <v>0</v>
      </c>
      <c r="BH507">
        <v>1875</v>
      </c>
      <c r="BI507">
        <v>1</v>
      </c>
      <c r="BJ507">
        <v>1</v>
      </c>
      <c r="BK507">
        <v>1</v>
      </c>
      <c r="BL507">
        <v>0</v>
      </c>
      <c r="BO507">
        <v>1</v>
      </c>
      <c r="BP507">
        <v>0</v>
      </c>
      <c r="BW507" t="str">
        <f>"06:13:20.721"</f>
        <v>06:13:20.721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457</v>
      </c>
      <c r="CR507">
        <v>0</v>
      </c>
      <c r="CW507">
        <v>15511667</v>
      </c>
      <c r="CY507">
        <v>1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"08/29/2020 06:13:17.529"</f>
        <v>08/29/2020 06:13:17.529</v>
      </c>
      <c r="C508" t="str">
        <f t="shared" si="21"/>
        <v>FFDFD3C0</v>
      </c>
      <c r="D508" t="s">
        <v>113</v>
      </c>
      <c r="E508">
        <v>5</v>
      </c>
      <c r="H508">
        <v>163</v>
      </c>
      <c r="I508" t="s">
        <v>114</v>
      </c>
      <c r="J508" t="s">
        <v>115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"06:13:20.719"</f>
        <v>06:13:20.719</v>
      </c>
      <c r="T508" t="str">
        <f>"06:13:20.219"</f>
        <v>06:13:20.219</v>
      </c>
      <c r="U508" t="str">
        <f t="shared" si="22"/>
        <v>A7E2E0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455</v>
      </c>
      <c r="AJ508">
        <v>39.134802999999998</v>
      </c>
      <c r="AK508" t="s">
        <v>456</v>
      </c>
      <c r="AL508">
        <v>-87.478166000000002</v>
      </c>
      <c r="AM508">
        <v>100</v>
      </c>
      <c r="AN508">
        <v>2100</v>
      </c>
      <c r="AO508" t="s">
        <v>118</v>
      </c>
      <c r="AP508">
        <v>-50</v>
      </c>
      <c r="AQ508">
        <v>-126</v>
      </c>
      <c r="AR508">
        <v>832</v>
      </c>
      <c r="AZ508">
        <v>4552</v>
      </c>
      <c r="BA508">
        <v>1</v>
      </c>
      <c r="BB508" t="str">
        <f t="shared" si="23"/>
        <v xml:space="preserve">N607SR  </v>
      </c>
      <c r="BC508">
        <v>1</v>
      </c>
      <c r="BE508">
        <v>1</v>
      </c>
      <c r="BF508">
        <v>3</v>
      </c>
      <c r="BG508">
        <v>0</v>
      </c>
      <c r="BH508">
        <v>1875</v>
      </c>
      <c r="BI508">
        <v>1</v>
      </c>
      <c r="BJ508">
        <v>1</v>
      </c>
      <c r="BK508">
        <v>1</v>
      </c>
      <c r="BL508">
        <v>0</v>
      </c>
      <c r="BO508">
        <v>1</v>
      </c>
      <c r="BP508">
        <v>0</v>
      </c>
      <c r="BW508" t="str">
        <f>"06:13:20.721"</f>
        <v>06:13:20.721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457</v>
      </c>
      <c r="CR508">
        <v>0</v>
      </c>
      <c r="CW508">
        <v>15511667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"08/29/2020 06:13:18.007"</f>
        <v>08/29/2020 06:13:18.007</v>
      </c>
      <c r="C509" t="str">
        <f t="shared" si="21"/>
        <v>FFDFD3C0</v>
      </c>
      <c r="D509" t="s">
        <v>121</v>
      </c>
      <c r="E509">
        <v>11</v>
      </c>
      <c r="F509">
        <v>1011</v>
      </c>
      <c r="G509" t="s">
        <v>125</v>
      </c>
      <c r="J509" t="s">
        <v>123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"06:13:21.266"</f>
        <v>06:13:21.266</v>
      </c>
      <c r="T509" t="str">
        <f>"06:13:20.766"</f>
        <v>06:13:20.766</v>
      </c>
      <c r="U509" t="str">
        <f t="shared" si="22"/>
        <v>A7E2E0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251</v>
      </c>
      <c r="AJ509">
        <v>39.134501999999998</v>
      </c>
      <c r="AK509" t="s">
        <v>457</v>
      </c>
      <c r="AL509">
        <v>-87.478273000000002</v>
      </c>
      <c r="AM509">
        <v>100</v>
      </c>
      <c r="AN509">
        <v>2100</v>
      </c>
      <c r="AO509" t="s">
        <v>118</v>
      </c>
      <c r="AP509">
        <v>-48</v>
      </c>
      <c r="AQ509">
        <v>-127</v>
      </c>
      <c r="AR509">
        <v>832</v>
      </c>
      <c r="AZ509">
        <v>4552</v>
      </c>
      <c r="BA509">
        <v>1</v>
      </c>
      <c r="BB509" t="str">
        <f t="shared" si="23"/>
        <v xml:space="preserve">N607SR  </v>
      </c>
      <c r="BC509">
        <v>1</v>
      </c>
      <c r="BE509">
        <v>1</v>
      </c>
      <c r="BF509">
        <v>3</v>
      </c>
      <c r="BG509">
        <v>0</v>
      </c>
      <c r="BH509">
        <v>1900</v>
      </c>
      <c r="BI509">
        <v>1</v>
      </c>
      <c r="BJ509">
        <v>1</v>
      </c>
      <c r="BK509">
        <v>1</v>
      </c>
      <c r="BL509">
        <v>0</v>
      </c>
      <c r="BO509">
        <v>1</v>
      </c>
      <c r="BP509">
        <v>0</v>
      </c>
      <c r="BW509" t="str">
        <f>"06:13:21.266"</f>
        <v>06:13:21.266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457</v>
      </c>
      <c r="CR509">
        <v>0</v>
      </c>
      <c r="CW509">
        <v>15511682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"08/29/2020 06:13:18.007"</f>
        <v>08/29/2020 06:13:18.007</v>
      </c>
      <c r="C510" t="str">
        <f t="shared" si="21"/>
        <v>FFDFD3C0</v>
      </c>
      <c r="D510" t="s">
        <v>121</v>
      </c>
      <c r="E510">
        <v>13</v>
      </c>
      <c r="F510">
        <v>1013</v>
      </c>
      <c r="G510" t="s">
        <v>122</v>
      </c>
      <c r="J510" t="s">
        <v>123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"06:13:21.266"</f>
        <v>06:13:21.266</v>
      </c>
      <c r="T510" t="str">
        <f>"06:13:20.766"</f>
        <v>06:13:20.766</v>
      </c>
      <c r="U510" t="str">
        <f t="shared" si="22"/>
        <v>A7E2E0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251</v>
      </c>
      <c r="AJ510">
        <v>39.134501999999998</v>
      </c>
      <c r="AK510" t="s">
        <v>457</v>
      </c>
      <c r="AL510">
        <v>-87.478273000000002</v>
      </c>
      <c r="AM510">
        <v>100</v>
      </c>
      <c r="AN510">
        <v>2100</v>
      </c>
      <c r="AO510" t="s">
        <v>118</v>
      </c>
      <c r="AP510">
        <v>-48</v>
      </c>
      <c r="AQ510">
        <v>-127</v>
      </c>
      <c r="AR510">
        <v>832</v>
      </c>
      <c r="AZ510">
        <v>4552</v>
      </c>
      <c r="BA510">
        <v>1</v>
      </c>
      <c r="BB510" t="str">
        <f t="shared" si="23"/>
        <v xml:space="preserve">N607SR  </v>
      </c>
      <c r="BC510">
        <v>1</v>
      </c>
      <c r="BE510">
        <v>1</v>
      </c>
      <c r="BF510">
        <v>3</v>
      </c>
      <c r="BG510">
        <v>0</v>
      </c>
      <c r="BH510">
        <v>1900</v>
      </c>
      <c r="BI510">
        <v>1</v>
      </c>
      <c r="BJ510">
        <v>1</v>
      </c>
      <c r="BK510">
        <v>1</v>
      </c>
      <c r="BL510">
        <v>0</v>
      </c>
      <c r="BO510">
        <v>1</v>
      </c>
      <c r="BP510">
        <v>0</v>
      </c>
      <c r="BW510" t="str">
        <f>"06:13:21.266"</f>
        <v>06:13:21.266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457</v>
      </c>
      <c r="CR510">
        <v>0</v>
      </c>
      <c r="CW510">
        <v>15511682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"08/29/2020 06:13:18.007"</f>
        <v>08/29/2020 06:13:18.007</v>
      </c>
      <c r="C511" t="str">
        <f t="shared" si="21"/>
        <v>FFDFD3C0</v>
      </c>
      <c r="D511" t="s">
        <v>121</v>
      </c>
      <c r="E511">
        <v>10</v>
      </c>
      <c r="F511">
        <v>1010</v>
      </c>
      <c r="G511" t="s">
        <v>114</v>
      </c>
      <c r="J511" t="s">
        <v>123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"06:13:21.266"</f>
        <v>06:13:21.266</v>
      </c>
      <c r="T511" t="str">
        <f>"06:13:20.766"</f>
        <v>06:13:20.766</v>
      </c>
      <c r="U511" t="str">
        <f t="shared" si="22"/>
        <v>A7E2E0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251</v>
      </c>
      <c r="AJ511">
        <v>39.134501999999998</v>
      </c>
      <c r="AK511" t="s">
        <v>457</v>
      </c>
      <c r="AL511">
        <v>-87.478273000000002</v>
      </c>
      <c r="AM511">
        <v>100</v>
      </c>
      <c r="AN511">
        <v>2100</v>
      </c>
      <c r="AO511" t="s">
        <v>118</v>
      </c>
      <c r="AP511">
        <v>-48</v>
      </c>
      <c r="AQ511">
        <v>-127</v>
      </c>
      <c r="AR511">
        <v>832</v>
      </c>
      <c r="AZ511">
        <v>4552</v>
      </c>
      <c r="BA511">
        <v>1</v>
      </c>
      <c r="BB511" t="str">
        <f t="shared" si="23"/>
        <v xml:space="preserve">N607SR  </v>
      </c>
      <c r="BC511">
        <v>1</v>
      </c>
      <c r="BE511">
        <v>1</v>
      </c>
      <c r="BF511">
        <v>3</v>
      </c>
      <c r="BG511">
        <v>0</v>
      </c>
      <c r="BH511">
        <v>1900</v>
      </c>
      <c r="BI511">
        <v>1</v>
      </c>
      <c r="BJ511">
        <v>1</v>
      </c>
      <c r="BK511">
        <v>1</v>
      </c>
      <c r="BL511">
        <v>0</v>
      </c>
      <c r="BO511">
        <v>1</v>
      </c>
      <c r="BP511">
        <v>0</v>
      </c>
      <c r="BW511" t="str">
        <f>"06:13:21.266"</f>
        <v>06:13:21.266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457</v>
      </c>
      <c r="CR511">
        <v>0</v>
      </c>
      <c r="CW511">
        <v>15511682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"08/29/2020 06:13:18.601"</f>
        <v>08/29/2020 06:13:18.601</v>
      </c>
      <c r="C512" t="str">
        <f t="shared" si="21"/>
        <v>FFDFD3C0</v>
      </c>
      <c r="D512" t="s">
        <v>113</v>
      </c>
      <c r="E512">
        <v>5</v>
      </c>
      <c r="H512">
        <v>163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"06:13:21.813"</f>
        <v>06:13:21.813</v>
      </c>
      <c r="T512" t="str">
        <f>"06:13:21.313"</f>
        <v>06:13:21.313</v>
      </c>
      <c r="U512" t="str">
        <f t="shared" si="22"/>
        <v>A7E2E0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458</v>
      </c>
      <c r="AJ512">
        <v>39.134180999999998</v>
      </c>
      <c r="AK512" t="s">
        <v>459</v>
      </c>
      <c r="AL512">
        <v>-87.478444999999994</v>
      </c>
      <c r="AM512">
        <v>100</v>
      </c>
      <c r="AN512">
        <v>2100</v>
      </c>
      <c r="AO512" t="s">
        <v>118</v>
      </c>
      <c r="AP512">
        <v>-47</v>
      </c>
      <c r="AQ512">
        <v>-127</v>
      </c>
      <c r="AR512">
        <v>896</v>
      </c>
      <c r="AZ512">
        <v>4552</v>
      </c>
      <c r="BA512">
        <v>1</v>
      </c>
      <c r="BB512" t="str">
        <f t="shared" si="23"/>
        <v xml:space="preserve">N607SR  </v>
      </c>
      <c r="BC512">
        <v>1</v>
      </c>
      <c r="BE512">
        <v>1</v>
      </c>
      <c r="BF512">
        <v>3</v>
      </c>
      <c r="BG512">
        <v>0</v>
      </c>
      <c r="BH512">
        <v>1900</v>
      </c>
      <c r="BI512">
        <v>1</v>
      </c>
      <c r="BJ512">
        <v>1</v>
      </c>
      <c r="BK512">
        <v>1</v>
      </c>
      <c r="BL512">
        <v>0</v>
      </c>
      <c r="BO512">
        <v>1</v>
      </c>
      <c r="BP512">
        <v>0</v>
      </c>
      <c r="BW512" t="str">
        <f>"06:13:21.820"</f>
        <v>06:13:21.820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457</v>
      </c>
      <c r="CR512">
        <v>0</v>
      </c>
      <c r="CW512">
        <v>15511695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"08/29/2020 06:13:18.601"</f>
        <v>08/29/2020 06:13:18.601</v>
      </c>
      <c r="C513" t="str">
        <f t="shared" si="21"/>
        <v>FFDFD3C0</v>
      </c>
      <c r="D513" t="s">
        <v>128</v>
      </c>
      <c r="E513">
        <v>5</v>
      </c>
      <c r="H513">
        <v>241</v>
      </c>
      <c r="I513" t="s">
        <v>129</v>
      </c>
      <c r="J513" t="s">
        <v>130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"06:13:21.813"</f>
        <v>06:13:21.813</v>
      </c>
      <c r="T513" t="str">
        <f>"06:13:21.313"</f>
        <v>06:13:21.313</v>
      </c>
      <c r="U513" t="str">
        <f t="shared" si="22"/>
        <v>A7E2E0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458</v>
      </c>
      <c r="AJ513">
        <v>39.134180999999998</v>
      </c>
      <c r="AK513" t="s">
        <v>459</v>
      </c>
      <c r="AL513">
        <v>-87.478444999999994</v>
      </c>
      <c r="AM513">
        <v>100</v>
      </c>
      <c r="AN513">
        <v>2100</v>
      </c>
      <c r="AO513" t="s">
        <v>118</v>
      </c>
      <c r="AP513">
        <v>-47</v>
      </c>
      <c r="AQ513">
        <v>-127</v>
      </c>
      <c r="AR513">
        <v>896</v>
      </c>
      <c r="AZ513">
        <v>4552</v>
      </c>
      <c r="BA513">
        <v>1</v>
      </c>
      <c r="BB513" t="str">
        <f t="shared" si="23"/>
        <v xml:space="preserve">N607SR  </v>
      </c>
      <c r="BC513">
        <v>1</v>
      </c>
      <c r="BE513">
        <v>1</v>
      </c>
      <c r="BF513">
        <v>3</v>
      </c>
      <c r="BG513">
        <v>0</v>
      </c>
      <c r="BH513">
        <v>1900</v>
      </c>
      <c r="BI513">
        <v>1</v>
      </c>
      <c r="BJ513">
        <v>1</v>
      </c>
      <c r="BK513">
        <v>1</v>
      </c>
      <c r="BL513">
        <v>0</v>
      </c>
      <c r="BO513">
        <v>1</v>
      </c>
      <c r="BP513">
        <v>0</v>
      </c>
      <c r="BW513" t="str">
        <f>"06:13:21.820"</f>
        <v>06:13:21.820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457</v>
      </c>
      <c r="CR513">
        <v>0</v>
      </c>
      <c r="CW513">
        <v>15511695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"08/29/2020 06:13:19.061"</f>
        <v>08/29/2020 06:13:19.061</v>
      </c>
      <c r="C514" t="str">
        <f t="shared" ref="C514:C577" si="24">"FFDFD3C0"</f>
        <v>FFDFD3C0</v>
      </c>
      <c r="D514" t="s">
        <v>121</v>
      </c>
      <c r="E514">
        <v>10</v>
      </c>
      <c r="F514">
        <v>1010</v>
      </c>
      <c r="G514" t="s">
        <v>114</v>
      </c>
      <c r="J514" t="s">
        <v>123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"06:13:22.266"</f>
        <v>06:13:22.266</v>
      </c>
      <c r="U514" t="str">
        <f t="shared" ref="U514:U577" si="25">"A7E2E0"</f>
        <v>A7E2E0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460</v>
      </c>
      <c r="AJ514">
        <v>39.133901999999999</v>
      </c>
      <c r="AK514" t="s">
        <v>461</v>
      </c>
      <c r="AL514">
        <v>-87.478509000000003</v>
      </c>
      <c r="AM514">
        <v>100</v>
      </c>
      <c r="AN514">
        <v>2100</v>
      </c>
      <c r="AO514" t="s">
        <v>118</v>
      </c>
      <c r="AP514">
        <v>-44</v>
      </c>
      <c r="AQ514">
        <v>-129</v>
      </c>
      <c r="AR514">
        <v>832</v>
      </c>
      <c r="AZ514">
        <v>4552</v>
      </c>
      <c r="BA514">
        <v>1</v>
      </c>
      <c r="BB514" t="str">
        <f t="shared" ref="BB514:BB577" si="26">"N607SR  "</f>
        <v xml:space="preserve">N607SR  </v>
      </c>
      <c r="BC514">
        <v>1</v>
      </c>
      <c r="BE514">
        <v>1</v>
      </c>
      <c r="BF514">
        <v>3</v>
      </c>
      <c r="BG514">
        <v>0</v>
      </c>
      <c r="BH514">
        <v>1900</v>
      </c>
      <c r="BI514">
        <v>1</v>
      </c>
      <c r="BJ514">
        <v>1</v>
      </c>
      <c r="BK514">
        <v>1</v>
      </c>
      <c r="BL514">
        <v>0</v>
      </c>
      <c r="BO514">
        <v>1</v>
      </c>
      <c r="BP514">
        <v>0</v>
      </c>
      <c r="BW514" t="str">
        <f>"06:13:22.272"</f>
        <v>06:13:22.272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457</v>
      </c>
      <c r="CR514">
        <v>0</v>
      </c>
      <c r="CW514">
        <v>15511706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"08/29/2020 06:13:19.061"</f>
        <v>08/29/2020 06:13:19.061</v>
      </c>
      <c r="C515" t="str">
        <f t="shared" si="24"/>
        <v>FFDFD3C0</v>
      </c>
      <c r="D515" t="s">
        <v>121</v>
      </c>
      <c r="E515">
        <v>13</v>
      </c>
      <c r="F515">
        <v>1013</v>
      </c>
      <c r="G515" t="s">
        <v>122</v>
      </c>
      <c r="J515" t="s">
        <v>123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"06:13:22.266"</f>
        <v>06:13:22.266</v>
      </c>
      <c r="U515" t="str">
        <f t="shared" si="25"/>
        <v>A7E2E0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460</v>
      </c>
      <c r="AJ515">
        <v>39.133901999999999</v>
      </c>
      <c r="AK515" t="s">
        <v>461</v>
      </c>
      <c r="AL515">
        <v>-87.478509000000003</v>
      </c>
      <c r="AM515">
        <v>100</v>
      </c>
      <c r="AN515">
        <v>2100</v>
      </c>
      <c r="AO515" t="s">
        <v>118</v>
      </c>
      <c r="AP515">
        <v>-44</v>
      </c>
      <c r="AQ515">
        <v>-129</v>
      </c>
      <c r="AR515">
        <v>832</v>
      </c>
      <c r="AZ515">
        <v>4552</v>
      </c>
      <c r="BA515">
        <v>1</v>
      </c>
      <c r="BB515" t="str">
        <f t="shared" si="26"/>
        <v xml:space="preserve">N607SR  </v>
      </c>
      <c r="BC515">
        <v>1</v>
      </c>
      <c r="BE515">
        <v>1</v>
      </c>
      <c r="BF515">
        <v>3</v>
      </c>
      <c r="BG515">
        <v>0</v>
      </c>
      <c r="BH515">
        <v>1900</v>
      </c>
      <c r="BI515">
        <v>1</v>
      </c>
      <c r="BJ515">
        <v>1</v>
      </c>
      <c r="BK515">
        <v>1</v>
      </c>
      <c r="BL515">
        <v>0</v>
      </c>
      <c r="BO515">
        <v>1</v>
      </c>
      <c r="BP515">
        <v>0</v>
      </c>
      <c r="BW515" t="str">
        <f>"06:13:22.272"</f>
        <v>06:13:22.272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457</v>
      </c>
      <c r="CR515">
        <v>0</v>
      </c>
      <c r="CW515">
        <v>15511706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"08/29/2020 06:13:19.061"</f>
        <v>08/29/2020 06:13:19.061</v>
      </c>
      <c r="C516" t="str">
        <f t="shared" si="24"/>
        <v>FFDFD3C0</v>
      </c>
      <c r="D516" t="s">
        <v>121</v>
      </c>
      <c r="E516">
        <v>11</v>
      </c>
      <c r="F516">
        <v>1011</v>
      </c>
      <c r="G516" t="s">
        <v>125</v>
      </c>
      <c r="J516" t="s">
        <v>123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"06:13:22.266"</f>
        <v>06:13:22.266</v>
      </c>
      <c r="U516" t="str">
        <f t="shared" si="25"/>
        <v>A7E2E0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460</v>
      </c>
      <c r="AJ516">
        <v>39.133901999999999</v>
      </c>
      <c r="AK516" t="s">
        <v>461</v>
      </c>
      <c r="AL516">
        <v>-87.478509000000003</v>
      </c>
      <c r="AM516">
        <v>100</v>
      </c>
      <c r="AN516">
        <v>2100</v>
      </c>
      <c r="AO516" t="s">
        <v>118</v>
      </c>
      <c r="AP516">
        <v>-44</v>
      </c>
      <c r="AQ516">
        <v>-129</v>
      </c>
      <c r="AR516">
        <v>832</v>
      </c>
      <c r="AZ516">
        <v>4552</v>
      </c>
      <c r="BA516">
        <v>1</v>
      </c>
      <c r="BB516" t="str">
        <f t="shared" si="26"/>
        <v xml:space="preserve">N607SR  </v>
      </c>
      <c r="BC516">
        <v>1</v>
      </c>
      <c r="BE516">
        <v>1</v>
      </c>
      <c r="BF516">
        <v>3</v>
      </c>
      <c r="BG516">
        <v>0</v>
      </c>
      <c r="BH516">
        <v>1900</v>
      </c>
      <c r="BI516">
        <v>1</v>
      </c>
      <c r="BJ516">
        <v>1</v>
      </c>
      <c r="BK516">
        <v>1</v>
      </c>
      <c r="BL516">
        <v>0</v>
      </c>
      <c r="BO516">
        <v>1</v>
      </c>
      <c r="BP516">
        <v>0</v>
      </c>
      <c r="BW516" t="str">
        <f>"06:13:22.272"</f>
        <v>06:13:22.272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457</v>
      </c>
      <c r="CR516">
        <v>0</v>
      </c>
      <c r="CW516">
        <v>15511706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"08/29/2020 06:13:19.556"</f>
        <v>08/29/2020 06:13:19.556</v>
      </c>
      <c r="C517" t="str">
        <f t="shared" si="24"/>
        <v>FFDFD3C0</v>
      </c>
      <c r="D517" t="s">
        <v>128</v>
      </c>
      <c r="E517">
        <v>5</v>
      </c>
      <c r="H517">
        <v>241</v>
      </c>
      <c r="I517" t="s">
        <v>129</v>
      </c>
      <c r="J517" t="s">
        <v>130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"06:13:22.773"</f>
        <v>06:13:22.773</v>
      </c>
      <c r="T517" t="str">
        <f>"06:13:22.273"</f>
        <v>06:13:22.273</v>
      </c>
      <c r="U517" t="str">
        <f t="shared" si="25"/>
        <v>A7E2E0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243</v>
      </c>
      <c r="AJ517">
        <v>39.133623</v>
      </c>
      <c r="AK517" t="s">
        <v>462</v>
      </c>
      <c r="AL517">
        <v>-87.478701999999998</v>
      </c>
      <c r="AM517">
        <v>100</v>
      </c>
      <c r="AN517">
        <v>2100</v>
      </c>
      <c r="AO517" t="s">
        <v>118</v>
      </c>
      <c r="AP517">
        <v>-44</v>
      </c>
      <c r="AQ517">
        <v>-129</v>
      </c>
      <c r="AR517">
        <v>832</v>
      </c>
      <c r="AZ517">
        <v>4552</v>
      </c>
      <c r="BA517">
        <v>1</v>
      </c>
      <c r="BB517" t="str">
        <f t="shared" si="26"/>
        <v xml:space="preserve">N607SR  </v>
      </c>
      <c r="BC517">
        <v>1</v>
      </c>
      <c r="BE517">
        <v>1</v>
      </c>
      <c r="BF517">
        <v>3</v>
      </c>
      <c r="BG517">
        <v>0</v>
      </c>
      <c r="BH517">
        <v>1900</v>
      </c>
      <c r="BI517">
        <v>1</v>
      </c>
      <c r="BJ517">
        <v>1</v>
      </c>
      <c r="BK517">
        <v>1</v>
      </c>
      <c r="BL517">
        <v>0</v>
      </c>
      <c r="BO517">
        <v>1</v>
      </c>
      <c r="BP517">
        <v>0</v>
      </c>
      <c r="BW517" t="str">
        <f>"06:13:22.777"</f>
        <v>06:13:22.777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457</v>
      </c>
      <c r="CR517">
        <v>0</v>
      </c>
      <c r="CW517">
        <v>15511720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"08/29/2020 06:13:19.556"</f>
        <v>08/29/2020 06:13:19.556</v>
      </c>
      <c r="C518" t="str">
        <f t="shared" si="24"/>
        <v>FFDFD3C0</v>
      </c>
      <c r="D518" t="s">
        <v>113</v>
      </c>
      <c r="E518">
        <v>5</v>
      </c>
      <c r="H518">
        <v>163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"06:13:22.773"</f>
        <v>06:13:22.773</v>
      </c>
      <c r="T518" t="str">
        <f>"06:13:22.273"</f>
        <v>06:13:22.273</v>
      </c>
      <c r="U518" t="str">
        <f t="shared" si="25"/>
        <v>A7E2E0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243</v>
      </c>
      <c r="AJ518">
        <v>39.133623</v>
      </c>
      <c r="AK518" t="s">
        <v>462</v>
      </c>
      <c r="AL518">
        <v>-87.478701999999998</v>
      </c>
      <c r="AM518">
        <v>100</v>
      </c>
      <c r="AN518">
        <v>2100</v>
      </c>
      <c r="AO518" t="s">
        <v>118</v>
      </c>
      <c r="AP518">
        <v>-44</v>
      </c>
      <c r="AQ518">
        <v>-129</v>
      </c>
      <c r="AR518">
        <v>832</v>
      </c>
      <c r="AZ518">
        <v>4552</v>
      </c>
      <c r="BA518">
        <v>1</v>
      </c>
      <c r="BB518" t="str">
        <f t="shared" si="26"/>
        <v xml:space="preserve">N607SR  </v>
      </c>
      <c r="BC518">
        <v>1</v>
      </c>
      <c r="BE518">
        <v>1</v>
      </c>
      <c r="BF518">
        <v>3</v>
      </c>
      <c r="BG518">
        <v>0</v>
      </c>
      <c r="BH518">
        <v>1900</v>
      </c>
      <c r="BI518">
        <v>1</v>
      </c>
      <c r="BJ518">
        <v>1</v>
      </c>
      <c r="BK518">
        <v>1</v>
      </c>
      <c r="BL518">
        <v>0</v>
      </c>
      <c r="BO518">
        <v>1</v>
      </c>
      <c r="BP518">
        <v>0</v>
      </c>
      <c r="BW518" t="str">
        <f>"06:13:22.777"</f>
        <v>06:13:22.777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457</v>
      </c>
      <c r="CR518">
        <v>0</v>
      </c>
      <c r="CW518">
        <v>15511720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"08/29/2020 06:13:20.088"</f>
        <v>08/29/2020 06:13:20.088</v>
      </c>
      <c r="C519" t="str">
        <f t="shared" si="24"/>
        <v>FFDFD3C0</v>
      </c>
      <c r="D519" t="s">
        <v>121</v>
      </c>
      <c r="E519">
        <v>11</v>
      </c>
      <c r="F519">
        <v>1011</v>
      </c>
      <c r="G519" t="s">
        <v>125</v>
      </c>
      <c r="J519" t="s">
        <v>123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"06:13:23.266"</f>
        <v>06:13:23.266</v>
      </c>
      <c r="T519" t="str">
        <f>"06:13:22.866"</f>
        <v>06:13:22.866</v>
      </c>
      <c r="U519" t="str">
        <f t="shared" si="25"/>
        <v>A7E2E0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241</v>
      </c>
      <c r="AJ519">
        <v>39.133344000000001</v>
      </c>
      <c r="AK519" t="s">
        <v>463</v>
      </c>
      <c r="AL519">
        <v>-87.478831</v>
      </c>
      <c r="AM519">
        <v>100</v>
      </c>
      <c r="AN519">
        <v>2200</v>
      </c>
      <c r="AO519" t="s">
        <v>118</v>
      </c>
      <c r="AP519">
        <v>-43</v>
      </c>
      <c r="AQ519">
        <v>-129</v>
      </c>
      <c r="AR519">
        <v>896</v>
      </c>
      <c r="AZ519">
        <v>4552</v>
      </c>
      <c r="BA519">
        <v>1</v>
      </c>
      <c r="BB519" t="str">
        <f t="shared" si="26"/>
        <v xml:space="preserve">N607SR  </v>
      </c>
      <c r="BC519">
        <v>1</v>
      </c>
      <c r="BE519">
        <v>1</v>
      </c>
      <c r="BF519">
        <v>3</v>
      </c>
      <c r="BG519">
        <v>0</v>
      </c>
      <c r="BH519">
        <v>2025</v>
      </c>
      <c r="BI519">
        <v>1</v>
      </c>
      <c r="BJ519">
        <v>1</v>
      </c>
      <c r="BK519">
        <v>1</v>
      </c>
      <c r="BL519">
        <v>0</v>
      </c>
      <c r="BO519">
        <v>1</v>
      </c>
      <c r="BP519">
        <v>0</v>
      </c>
      <c r="BW519" t="str">
        <f>"06:13:23.272"</f>
        <v>06:13:23.272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457</v>
      </c>
      <c r="CR519">
        <v>0</v>
      </c>
      <c r="CW519">
        <v>15511733</v>
      </c>
      <c r="CY519">
        <v>1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"08/29/2020 06:13:20.088"</f>
        <v>08/29/2020 06:13:20.088</v>
      </c>
      <c r="C520" t="str">
        <f t="shared" si="24"/>
        <v>FFDFD3C0</v>
      </c>
      <c r="D520" t="s">
        <v>121</v>
      </c>
      <c r="E520">
        <v>13</v>
      </c>
      <c r="F520">
        <v>1013</v>
      </c>
      <c r="G520" t="s">
        <v>122</v>
      </c>
      <c r="J520" t="s">
        <v>123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"06:13:23.266"</f>
        <v>06:13:23.266</v>
      </c>
      <c r="U520" t="str">
        <f t="shared" si="25"/>
        <v>A7E2E0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241</v>
      </c>
      <c r="AJ520">
        <v>39.133344000000001</v>
      </c>
      <c r="AK520" t="s">
        <v>463</v>
      </c>
      <c r="AL520">
        <v>-87.478831</v>
      </c>
      <c r="AM520">
        <v>100</v>
      </c>
      <c r="AN520">
        <v>2200</v>
      </c>
      <c r="AO520" t="s">
        <v>118</v>
      </c>
      <c r="AP520">
        <v>-41</v>
      </c>
      <c r="AQ520">
        <v>-130</v>
      </c>
      <c r="AR520">
        <v>832</v>
      </c>
      <c r="AZ520">
        <v>4552</v>
      </c>
      <c r="BA520">
        <v>1</v>
      </c>
      <c r="BB520" t="str">
        <f t="shared" si="26"/>
        <v xml:space="preserve">N607SR  </v>
      </c>
      <c r="BC520">
        <v>1</v>
      </c>
      <c r="BE520">
        <v>1</v>
      </c>
      <c r="BF520">
        <v>3</v>
      </c>
      <c r="BG520">
        <v>0</v>
      </c>
      <c r="BH520">
        <v>1925</v>
      </c>
      <c r="BI520">
        <v>1</v>
      </c>
      <c r="BJ520">
        <v>1</v>
      </c>
      <c r="BK520">
        <v>1</v>
      </c>
      <c r="BL520">
        <v>0</v>
      </c>
      <c r="BO520">
        <v>1</v>
      </c>
      <c r="BP520">
        <v>0</v>
      </c>
      <c r="BW520" t="str">
        <f>"06:13:23.272"</f>
        <v>06:13:23.272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4</v>
      </c>
      <c r="CP520" t="s">
        <v>119</v>
      </c>
      <c r="CQ520">
        <v>465</v>
      </c>
      <c r="CR520">
        <v>0</v>
      </c>
      <c r="CW520">
        <v>4715343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"08/29/2020 06:13:20.088"</f>
        <v>08/29/2020 06:13:20.088</v>
      </c>
      <c r="C521" t="str">
        <f t="shared" si="24"/>
        <v>FFDFD3C0</v>
      </c>
      <c r="D521" t="s">
        <v>121</v>
      </c>
      <c r="E521">
        <v>10</v>
      </c>
      <c r="F521">
        <v>1010</v>
      </c>
      <c r="G521" t="s">
        <v>114</v>
      </c>
      <c r="J521" t="s">
        <v>123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"06:13:23.266"</f>
        <v>06:13:23.266</v>
      </c>
      <c r="U521" t="str">
        <f t="shared" si="25"/>
        <v>A7E2E0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241</v>
      </c>
      <c r="AJ521">
        <v>39.133344000000001</v>
      </c>
      <c r="AK521" t="s">
        <v>463</v>
      </c>
      <c r="AL521">
        <v>-87.478831</v>
      </c>
      <c r="AM521">
        <v>100</v>
      </c>
      <c r="AN521">
        <v>2200</v>
      </c>
      <c r="AO521" t="s">
        <v>118</v>
      </c>
      <c r="AP521">
        <v>-41</v>
      </c>
      <c r="AQ521">
        <v>-130</v>
      </c>
      <c r="AR521">
        <v>832</v>
      </c>
      <c r="AZ521">
        <v>4552</v>
      </c>
      <c r="BA521">
        <v>1</v>
      </c>
      <c r="BB521" t="str">
        <f t="shared" si="26"/>
        <v xml:space="preserve">N607SR  </v>
      </c>
      <c r="BC521">
        <v>1</v>
      </c>
      <c r="BE521">
        <v>1</v>
      </c>
      <c r="BF521">
        <v>3</v>
      </c>
      <c r="BG521">
        <v>0</v>
      </c>
      <c r="BH521">
        <v>1925</v>
      </c>
      <c r="BI521">
        <v>1</v>
      </c>
      <c r="BJ521">
        <v>1</v>
      </c>
      <c r="BK521">
        <v>1</v>
      </c>
      <c r="BL521">
        <v>0</v>
      </c>
      <c r="BO521">
        <v>1</v>
      </c>
      <c r="BP521">
        <v>0</v>
      </c>
      <c r="BW521" t="str">
        <f>"06:13:23.272"</f>
        <v>06:13:23.272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4</v>
      </c>
      <c r="CP521" t="s">
        <v>119</v>
      </c>
      <c r="CQ521">
        <v>465</v>
      </c>
      <c r="CR521">
        <v>0</v>
      </c>
      <c r="CW521">
        <v>4715343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"08/29/2020 06:13:20.672"</f>
        <v>08/29/2020 06:13:20.672</v>
      </c>
      <c r="C522" t="str">
        <f t="shared" si="24"/>
        <v>FFDFD3C0</v>
      </c>
      <c r="D522" t="s">
        <v>128</v>
      </c>
      <c r="E522">
        <v>5</v>
      </c>
      <c r="H522">
        <v>241</v>
      </c>
      <c r="I522" t="s">
        <v>129</v>
      </c>
      <c r="J522" t="s">
        <v>130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"06:13:23.859"</f>
        <v>06:13:23.859</v>
      </c>
      <c r="T522" t="str">
        <f>"06:13:23.359"</f>
        <v>06:13:23.359</v>
      </c>
      <c r="U522" t="str">
        <f t="shared" si="25"/>
        <v>A7E2E0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237</v>
      </c>
      <c r="AJ522">
        <v>39.132978999999999</v>
      </c>
      <c r="AK522" t="s">
        <v>464</v>
      </c>
      <c r="AL522">
        <v>-87.478937999999999</v>
      </c>
      <c r="AM522">
        <v>100</v>
      </c>
      <c r="AN522">
        <v>2100</v>
      </c>
      <c r="AO522" t="s">
        <v>118</v>
      </c>
      <c r="AP522">
        <v>-41</v>
      </c>
      <c r="AQ522">
        <v>-130</v>
      </c>
      <c r="AR522">
        <v>832</v>
      </c>
      <c r="AZ522">
        <v>4552</v>
      </c>
      <c r="BA522">
        <v>1</v>
      </c>
      <c r="BB522" t="str">
        <f t="shared" si="26"/>
        <v xml:space="preserve">N607SR  </v>
      </c>
      <c r="BC522">
        <v>1</v>
      </c>
      <c r="BE522">
        <v>1</v>
      </c>
      <c r="BF522">
        <v>3</v>
      </c>
      <c r="BG522">
        <v>0</v>
      </c>
      <c r="BH522">
        <v>1825</v>
      </c>
      <c r="BI522">
        <v>1</v>
      </c>
      <c r="BJ522">
        <v>1</v>
      </c>
      <c r="BK522">
        <v>1</v>
      </c>
      <c r="BL522">
        <v>0</v>
      </c>
      <c r="BO522">
        <v>1</v>
      </c>
      <c r="BP522">
        <v>0</v>
      </c>
      <c r="BW522" t="str">
        <f>"06:13:23.863"</f>
        <v>06:13:23.863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457</v>
      </c>
      <c r="CR522">
        <v>0</v>
      </c>
      <c r="CW522">
        <v>15511751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"08/29/2020 06:13:20.672"</f>
        <v>08/29/2020 06:13:20.672</v>
      </c>
      <c r="C523" t="str">
        <f t="shared" si="24"/>
        <v>FFDFD3C0</v>
      </c>
      <c r="D523" t="s">
        <v>113</v>
      </c>
      <c r="E523">
        <v>5</v>
      </c>
      <c r="H523">
        <v>163</v>
      </c>
      <c r="I523" t="s">
        <v>114</v>
      </c>
      <c r="J523" t="s">
        <v>115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"06:13:23.859"</f>
        <v>06:13:23.859</v>
      </c>
      <c r="T523" t="str">
        <f>"06:13:23.359"</f>
        <v>06:13:23.359</v>
      </c>
      <c r="U523" t="str">
        <f t="shared" si="25"/>
        <v>A7E2E0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237</v>
      </c>
      <c r="AJ523">
        <v>39.132978999999999</v>
      </c>
      <c r="AK523" t="s">
        <v>464</v>
      </c>
      <c r="AL523">
        <v>-87.478937999999999</v>
      </c>
      <c r="AM523">
        <v>100</v>
      </c>
      <c r="AN523">
        <v>2100</v>
      </c>
      <c r="AO523" t="s">
        <v>118</v>
      </c>
      <c r="AP523">
        <v>-41</v>
      </c>
      <c r="AQ523">
        <v>-130</v>
      </c>
      <c r="AR523">
        <v>832</v>
      </c>
      <c r="AZ523">
        <v>4552</v>
      </c>
      <c r="BA523">
        <v>1</v>
      </c>
      <c r="BB523" t="str">
        <f t="shared" si="26"/>
        <v xml:space="preserve">N607SR  </v>
      </c>
      <c r="BC523">
        <v>1</v>
      </c>
      <c r="BE523">
        <v>1</v>
      </c>
      <c r="BF523">
        <v>3</v>
      </c>
      <c r="BG523">
        <v>0</v>
      </c>
      <c r="BH523">
        <v>1825</v>
      </c>
      <c r="BI523">
        <v>1</v>
      </c>
      <c r="BJ523">
        <v>1</v>
      </c>
      <c r="BK523">
        <v>1</v>
      </c>
      <c r="BL523">
        <v>0</v>
      </c>
      <c r="BO523">
        <v>1</v>
      </c>
      <c r="BP523">
        <v>0</v>
      </c>
      <c r="BW523" t="str">
        <f>"06:13:23.863"</f>
        <v>06:13:23.863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457</v>
      </c>
      <c r="CR523">
        <v>0</v>
      </c>
      <c r="CW523">
        <v>15511751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"08/29/2020 06:13:21.133"</f>
        <v>08/29/2020 06:13:21.133</v>
      </c>
      <c r="C524" t="str">
        <f t="shared" si="24"/>
        <v>FFDFD3C0</v>
      </c>
      <c r="D524" t="s">
        <v>121</v>
      </c>
      <c r="E524">
        <v>10</v>
      </c>
      <c r="F524">
        <v>1010</v>
      </c>
      <c r="G524" t="s">
        <v>114</v>
      </c>
      <c r="J524" t="s">
        <v>123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"06:13:24.336"</f>
        <v>06:13:24.336</v>
      </c>
      <c r="T524" t="str">
        <f>"06:13:23.936"</f>
        <v>06:13:23.936</v>
      </c>
      <c r="U524" t="str">
        <f t="shared" si="25"/>
        <v>A7E2E0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465</v>
      </c>
      <c r="AJ524">
        <v>39.132657000000002</v>
      </c>
      <c r="AK524" t="s">
        <v>466</v>
      </c>
      <c r="AL524">
        <v>-87.479044999999999</v>
      </c>
      <c r="AM524">
        <v>100</v>
      </c>
      <c r="AN524">
        <v>2200</v>
      </c>
      <c r="AO524" t="s">
        <v>118</v>
      </c>
      <c r="AP524">
        <v>-40</v>
      </c>
      <c r="AQ524">
        <v>-131</v>
      </c>
      <c r="AR524">
        <v>832</v>
      </c>
      <c r="AZ524">
        <v>4552</v>
      </c>
      <c r="BA524">
        <v>1</v>
      </c>
      <c r="BB524" t="str">
        <f t="shared" si="26"/>
        <v xml:space="preserve">N607SR  </v>
      </c>
      <c r="BC524">
        <v>1</v>
      </c>
      <c r="BE524">
        <v>1</v>
      </c>
      <c r="BF524">
        <v>3</v>
      </c>
      <c r="BG524">
        <v>0</v>
      </c>
      <c r="BH524">
        <v>2025</v>
      </c>
      <c r="BI524">
        <v>1</v>
      </c>
      <c r="BJ524">
        <v>1</v>
      </c>
      <c r="BK524">
        <v>1</v>
      </c>
      <c r="BL524">
        <v>0</v>
      </c>
      <c r="BO524">
        <v>1</v>
      </c>
      <c r="BP524">
        <v>0</v>
      </c>
      <c r="BW524" t="str">
        <f>"06:13:24.340"</f>
        <v>06:13:24.340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457</v>
      </c>
      <c r="CR524">
        <v>0</v>
      </c>
      <c r="CW524">
        <v>15511761</v>
      </c>
      <c r="CY524">
        <v>1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"08/29/2020 06:13:21.133"</f>
        <v>08/29/2020 06:13:21.133</v>
      </c>
      <c r="C525" t="str">
        <f t="shared" si="24"/>
        <v>FFDFD3C0</v>
      </c>
      <c r="D525" t="s">
        <v>121</v>
      </c>
      <c r="E525">
        <v>13</v>
      </c>
      <c r="F525">
        <v>1013</v>
      </c>
      <c r="G525" t="s">
        <v>122</v>
      </c>
      <c r="J525" t="s">
        <v>123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"06:13:24.336"</f>
        <v>06:13:24.336</v>
      </c>
      <c r="T525" t="str">
        <f>"06:13:23.936"</f>
        <v>06:13:23.936</v>
      </c>
      <c r="U525" t="str">
        <f t="shared" si="25"/>
        <v>A7E2E0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465</v>
      </c>
      <c r="AJ525">
        <v>39.132657000000002</v>
      </c>
      <c r="AK525" t="s">
        <v>466</v>
      </c>
      <c r="AL525">
        <v>-87.479044999999999</v>
      </c>
      <c r="AM525">
        <v>100</v>
      </c>
      <c r="AN525">
        <v>2200</v>
      </c>
      <c r="AO525" t="s">
        <v>118</v>
      </c>
      <c r="AP525">
        <v>-40</v>
      </c>
      <c r="AQ525">
        <v>-131</v>
      </c>
      <c r="AR525">
        <v>832</v>
      </c>
      <c r="AZ525">
        <v>4552</v>
      </c>
      <c r="BA525">
        <v>1</v>
      </c>
      <c r="BB525" t="str">
        <f t="shared" si="26"/>
        <v xml:space="preserve">N607SR  </v>
      </c>
      <c r="BC525">
        <v>1</v>
      </c>
      <c r="BE525">
        <v>1</v>
      </c>
      <c r="BF525">
        <v>3</v>
      </c>
      <c r="BG525">
        <v>0</v>
      </c>
      <c r="BH525">
        <v>2025</v>
      </c>
      <c r="BI525">
        <v>1</v>
      </c>
      <c r="BJ525">
        <v>1</v>
      </c>
      <c r="BK525">
        <v>1</v>
      </c>
      <c r="BL525">
        <v>0</v>
      </c>
      <c r="BO525">
        <v>1</v>
      </c>
      <c r="BP525">
        <v>0</v>
      </c>
      <c r="BW525" t="str">
        <f>"06:13:24.340"</f>
        <v>06:13:24.340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6</v>
      </c>
      <c r="CP525" t="s">
        <v>119</v>
      </c>
      <c r="CQ525">
        <v>457</v>
      </c>
      <c r="CR525">
        <v>0</v>
      </c>
      <c r="CW525">
        <v>15511761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"08/29/2020 06:13:21.133"</f>
        <v>08/29/2020 06:13:21.133</v>
      </c>
      <c r="C526" t="str">
        <f t="shared" si="24"/>
        <v>FFDFD3C0</v>
      </c>
      <c r="D526" t="s">
        <v>121</v>
      </c>
      <c r="E526">
        <v>11</v>
      </c>
      <c r="F526">
        <v>1011</v>
      </c>
      <c r="G526" t="s">
        <v>125</v>
      </c>
      <c r="J526" t="s">
        <v>123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"06:13:24.336"</f>
        <v>06:13:24.336</v>
      </c>
      <c r="T526" t="str">
        <f>"06:13:23.936"</f>
        <v>06:13:23.936</v>
      </c>
      <c r="U526" t="str">
        <f t="shared" si="25"/>
        <v>A7E2E0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465</v>
      </c>
      <c r="AJ526">
        <v>39.132657000000002</v>
      </c>
      <c r="AK526" t="s">
        <v>466</v>
      </c>
      <c r="AL526">
        <v>-87.479044999999999</v>
      </c>
      <c r="AM526">
        <v>100</v>
      </c>
      <c r="AN526">
        <v>2200</v>
      </c>
      <c r="AO526" t="s">
        <v>118</v>
      </c>
      <c r="AP526">
        <v>-40</v>
      </c>
      <c r="AQ526">
        <v>-131</v>
      </c>
      <c r="AR526">
        <v>832</v>
      </c>
      <c r="AZ526">
        <v>4552</v>
      </c>
      <c r="BA526">
        <v>1</v>
      </c>
      <c r="BB526" t="str">
        <f t="shared" si="26"/>
        <v xml:space="preserve">N607SR  </v>
      </c>
      <c r="BC526">
        <v>1</v>
      </c>
      <c r="BE526">
        <v>1</v>
      </c>
      <c r="BF526">
        <v>3</v>
      </c>
      <c r="BG526">
        <v>0</v>
      </c>
      <c r="BH526">
        <v>2025</v>
      </c>
      <c r="BI526">
        <v>1</v>
      </c>
      <c r="BJ526">
        <v>1</v>
      </c>
      <c r="BK526">
        <v>1</v>
      </c>
      <c r="BL526">
        <v>0</v>
      </c>
      <c r="BO526">
        <v>1</v>
      </c>
      <c r="BP526">
        <v>0</v>
      </c>
      <c r="BW526" t="str">
        <f>"06:13:24.340"</f>
        <v>06:13:24.340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119</v>
      </c>
      <c r="CQ526">
        <v>457</v>
      </c>
      <c r="CR526">
        <v>0</v>
      </c>
      <c r="CW526">
        <v>15511761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"08/29/2020 06:13:21.737"</f>
        <v>08/29/2020 06:13:21.737</v>
      </c>
      <c r="C527" t="str">
        <f t="shared" si="24"/>
        <v>FFDFD3C0</v>
      </c>
      <c r="D527" t="s">
        <v>128</v>
      </c>
      <c r="E527">
        <v>5</v>
      </c>
      <c r="H527">
        <v>241</v>
      </c>
      <c r="I527" t="s">
        <v>129</v>
      </c>
      <c r="J527" t="s">
        <v>130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"06:13:24.938"</f>
        <v>06:13:24.938</v>
      </c>
      <c r="T527" t="str">
        <f>"06:13:24.438"</f>
        <v>06:13:24.438</v>
      </c>
      <c r="U527" t="str">
        <f t="shared" si="25"/>
        <v>A7E2E0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467</v>
      </c>
      <c r="AJ527">
        <v>39.132292</v>
      </c>
      <c r="AK527" t="s">
        <v>468</v>
      </c>
      <c r="AL527">
        <v>-87.479174</v>
      </c>
      <c r="AM527">
        <v>100</v>
      </c>
      <c r="AN527">
        <v>2200</v>
      </c>
      <c r="AO527" t="s">
        <v>118</v>
      </c>
      <c r="AP527">
        <v>-39</v>
      </c>
      <c r="AQ527">
        <v>-131</v>
      </c>
      <c r="AR527">
        <v>832</v>
      </c>
      <c r="AZ527">
        <v>4552</v>
      </c>
      <c r="BA527">
        <v>1</v>
      </c>
      <c r="BB527" t="str">
        <f t="shared" si="26"/>
        <v xml:space="preserve">N607SR  </v>
      </c>
      <c r="BC527">
        <v>1</v>
      </c>
      <c r="BE527">
        <v>1</v>
      </c>
      <c r="BF527">
        <v>3</v>
      </c>
      <c r="BG527">
        <v>0</v>
      </c>
      <c r="BH527">
        <v>1950</v>
      </c>
      <c r="BI527">
        <v>1</v>
      </c>
      <c r="BJ527">
        <v>1</v>
      </c>
      <c r="BK527">
        <v>1</v>
      </c>
      <c r="BL527">
        <v>0</v>
      </c>
      <c r="BO527">
        <v>1</v>
      </c>
      <c r="BP527">
        <v>0</v>
      </c>
      <c r="BW527" t="str">
        <f>"06:13:24.938"</f>
        <v>06:13:24.938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119</v>
      </c>
      <c r="CQ527">
        <v>457</v>
      </c>
      <c r="CR527">
        <v>0</v>
      </c>
      <c r="CW527">
        <v>15511779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"08/29/2020 06:13:21.737"</f>
        <v>08/29/2020 06:13:21.737</v>
      </c>
      <c r="C528" t="str">
        <f t="shared" si="24"/>
        <v>FFDFD3C0</v>
      </c>
      <c r="D528" t="s">
        <v>113</v>
      </c>
      <c r="E528">
        <v>5</v>
      </c>
      <c r="H528">
        <v>163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"06:13:24.938"</f>
        <v>06:13:24.938</v>
      </c>
      <c r="T528" t="str">
        <f>"06:13:24.438"</f>
        <v>06:13:24.438</v>
      </c>
      <c r="U528" t="str">
        <f t="shared" si="25"/>
        <v>A7E2E0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467</v>
      </c>
      <c r="AJ528">
        <v>39.132292</v>
      </c>
      <c r="AK528" t="s">
        <v>468</v>
      </c>
      <c r="AL528">
        <v>-87.479174</v>
      </c>
      <c r="AM528">
        <v>100</v>
      </c>
      <c r="AN528">
        <v>2200</v>
      </c>
      <c r="AO528" t="s">
        <v>118</v>
      </c>
      <c r="AP528">
        <v>-39</v>
      </c>
      <c r="AQ528">
        <v>-131</v>
      </c>
      <c r="AR528">
        <v>832</v>
      </c>
      <c r="AZ528">
        <v>4552</v>
      </c>
      <c r="BA528">
        <v>1</v>
      </c>
      <c r="BB528" t="str">
        <f t="shared" si="26"/>
        <v xml:space="preserve">N607SR  </v>
      </c>
      <c r="BC528">
        <v>1</v>
      </c>
      <c r="BE528">
        <v>1</v>
      </c>
      <c r="BF528">
        <v>3</v>
      </c>
      <c r="BG528">
        <v>0</v>
      </c>
      <c r="BH528">
        <v>1950</v>
      </c>
      <c r="BI528">
        <v>1</v>
      </c>
      <c r="BJ528">
        <v>1</v>
      </c>
      <c r="BK528">
        <v>1</v>
      </c>
      <c r="BL528">
        <v>0</v>
      </c>
      <c r="BO528">
        <v>1</v>
      </c>
      <c r="BP528">
        <v>0</v>
      </c>
      <c r="BW528" t="str">
        <f>"06:13:24.938"</f>
        <v>06:13:24.938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6</v>
      </c>
      <c r="CP528" t="s">
        <v>119</v>
      </c>
      <c r="CQ528">
        <v>457</v>
      </c>
      <c r="CR528">
        <v>0</v>
      </c>
      <c r="CW528">
        <v>15511779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"08/29/2020 06:13:22.271"</f>
        <v>08/29/2020 06:13:22.271</v>
      </c>
      <c r="C529" t="str">
        <f t="shared" si="24"/>
        <v>FFDFD3C0</v>
      </c>
      <c r="D529" t="s">
        <v>121</v>
      </c>
      <c r="E529">
        <v>11</v>
      </c>
      <c r="F529">
        <v>1011</v>
      </c>
      <c r="G529" t="s">
        <v>125</v>
      </c>
      <c r="J529" t="s">
        <v>123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"06:13:25.477"</f>
        <v>06:13:25.477</v>
      </c>
      <c r="T529" t="str">
        <f>"06:13:24.977"</f>
        <v>06:13:24.977</v>
      </c>
      <c r="U529" t="str">
        <f t="shared" si="25"/>
        <v>A7E2E0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469</v>
      </c>
      <c r="AJ529">
        <v>39.131991999999997</v>
      </c>
      <c r="AK529" t="s">
        <v>470</v>
      </c>
      <c r="AL529">
        <v>-87.479303000000002</v>
      </c>
      <c r="AM529">
        <v>100</v>
      </c>
      <c r="AN529">
        <v>2200</v>
      </c>
      <c r="AO529" t="s">
        <v>118</v>
      </c>
      <c r="AP529">
        <v>-37</v>
      </c>
      <c r="AQ529">
        <v>-132</v>
      </c>
      <c r="AR529">
        <v>832</v>
      </c>
      <c r="AZ529">
        <v>4552</v>
      </c>
      <c r="BA529">
        <v>1</v>
      </c>
      <c r="BB529" t="str">
        <f t="shared" si="26"/>
        <v xml:space="preserve">N607SR  </v>
      </c>
      <c r="BC529">
        <v>1</v>
      </c>
      <c r="BE529">
        <v>1</v>
      </c>
      <c r="BF529">
        <v>3</v>
      </c>
      <c r="BG529">
        <v>0</v>
      </c>
      <c r="BH529">
        <v>1950</v>
      </c>
      <c r="BI529">
        <v>1</v>
      </c>
      <c r="BJ529">
        <v>1</v>
      </c>
      <c r="BK529">
        <v>1</v>
      </c>
      <c r="BL529">
        <v>0</v>
      </c>
      <c r="BO529">
        <v>1</v>
      </c>
      <c r="BP529">
        <v>0</v>
      </c>
      <c r="BW529" t="str">
        <f>"06:13:25.482"</f>
        <v>06:13:25.482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6</v>
      </c>
      <c r="CP529" t="s">
        <v>119</v>
      </c>
      <c r="CQ529">
        <v>457</v>
      </c>
      <c r="CR529">
        <v>0</v>
      </c>
      <c r="CW529">
        <v>15511790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"08/29/2020 06:13:22.271"</f>
        <v>08/29/2020 06:13:22.271</v>
      </c>
      <c r="C530" t="str">
        <f t="shared" si="24"/>
        <v>FFDFD3C0</v>
      </c>
      <c r="D530" t="s">
        <v>121</v>
      </c>
      <c r="E530">
        <v>10</v>
      </c>
      <c r="F530">
        <v>1010</v>
      </c>
      <c r="G530" t="s">
        <v>114</v>
      </c>
      <c r="J530" t="s">
        <v>123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"06:13:25.477"</f>
        <v>06:13:25.477</v>
      </c>
      <c r="T530" t="str">
        <f>"06:13:24.977"</f>
        <v>06:13:24.977</v>
      </c>
      <c r="U530" t="str">
        <f t="shared" si="25"/>
        <v>A7E2E0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469</v>
      </c>
      <c r="AJ530">
        <v>39.131991999999997</v>
      </c>
      <c r="AK530" t="s">
        <v>470</v>
      </c>
      <c r="AL530">
        <v>-87.479303000000002</v>
      </c>
      <c r="AM530">
        <v>100</v>
      </c>
      <c r="AN530">
        <v>2200</v>
      </c>
      <c r="AO530" t="s">
        <v>118</v>
      </c>
      <c r="AP530">
        <v>-37</v>
      </c>
      <c r="AQ530">
        <v>-132</v>
      </c>
      <c r="AR530">
        <v>832</v>
      </c>
      <c r="AZ530">
        <v>4552</v>
      </c>
      <c r="BA530">
        <v>1</v>
      </c>
      <c r="BB530" t="str">
        <f t="shared" si="26"/>
        <v xml:space="preserve">N607SR  </v>
      </c>
      <c r="BC530">
        <v>1</v>
      </c>
      <c r="BE530">
        <v>1</v>
      </c>
      <c r="BF530">
        <v>3</v>
      </c>
      <c r="BG530">
        <v>0</v>
      </c>
      <c r="BH530">
        <v>1950</v>
      </c>
      <c r="BI530">
        <v>1</v>
      </c>
      <c r="BJ530">
        <v>1</v>
      </c>
      <c r="BK530">
        <v>1</v>
      </c>
      <c r="BL530">
        <v>0</v>
      </c>
      <c r="BO530">
        <v>1</v>
      </c>
      <c r="BP530">
        <v>0</v>
      </c>
      <c r="BW530" t="str">
        <f>"06:13:25.482"</f>
        <v>06:13:25.482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6</v>
      </c>
      <c r="CP530" t="s">
        <v>119</v>
      </c>
      <c r="CQ530">
        <v>517</v>
      </c>
      <c r="CR530">
        <v>1</v>
      </c>
      <c r="CW530">
        <v>2476518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"08/29/2020 06:13:22.271"</f>
        <v>08/29/2020 06:13:22.271</v>
      </c>
      <c r="C531" t="str">
        <f t="shared" si="24"/>
        <v>FFDFD3C0</v>
      </c>
      <c r="D531" t="s">
        <v>121</v>
      </c>
      <c r="E531">
        <v>13</v>
      </c>
      <c r="F531">
        <v>1013</v>
      </c>
      <c r="G531" t="s">
        <v>122</v>
      </c>
      <c r="J531" t="s">
        <v>123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"06:13:25.477"</f>
        <v>06:13:25.477</v>
      </c>
      <c r="T531" t="str">
        <f>"06:13:24.977"</f>
        <v>06:13:24.977</v>
      </c>
      <c r="U531" t="str">
        <f t="shared" si="25"/>
        <v>A7E2E0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469</v>
      </c>
      <c r="AJ531">
        <v>39.131991999999997</v>
      </c>
      <c r="AK531" t="s">
        <v>470</v>
      </c>
      <c r="AL531">
        <v>-87.479303000000002</v>
      </c>
      <c r="AM531">
        <v>100</v>
      </c>
      <c r="AN531">
        <v>2200</v>
      </c>
      <c r="AO531" t="s">
        <v>118</v>
      </c>
      <c r="AP531">
        <v>-37</v>
      </c>
      <c r="AQ531">
        <v>-132</v>
      </c>
      <c r="AR531">
        <v>832</v>
      </c>
      <c r="AZ531">
        <v>4552</v>
      </c>
      <c r="BA531">
        <v>1</v>
      </c>
      <c r="BB531" t="str">
        <f t="shared" si="26"/>
        <v xml:space="preserve">N607SR  </v>
      </c>
      <c r="BC531">
        <v>1</v>
      </c>
      <c r="BE531">
        <v>1</v>
      </c>
      <c r="BF531">
        <v>3</v>
      </c>
      <c r="BG531">
        <v>0</v>
      </c>
      <c r="BH531">
        <v>1950</v>
      </c>
      <c r="BI531">
        <v>1</v>
      </c>
      <c r="BJ531">
        <v>1</v>
      </c>
      <c r="BK531">
        <v>1</v>
      </c>
      <c r="BL531">
        <v>0</v>
      </c>
      <c r="BO531">
        <v>1</v>
      </c>
      <c r="BP531">
        <v>0</v>
      </c>
      <c r="BW531" t="str">
        <f>"06:13:25.482"</f>
        <v>06:13:25.482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517</v>
      </c>
      <c r="CR531">
        <v>1</v>
      </c>
      <c r="CW531">
        <v>2476518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"08/29/2020 06:13:22.853"</f>
        <v>08/29/2020 06:13:22.853</v>
      </c>
      <c r="C532" t="str">
        <f t="shared" si="24"/>
        <v>FFDFD3C0</v>
      </c>
      <c r="D532" t="s">
        <v>128</v>
      </c>
      <c r="E532">
        <v>5</v>
      </c>
      <c r="H532">
        <v>241</v>
      </c>
      <c r="I532" t="s">
        <v>129</v>
      </c>
      <c r="J532" t="s">
        <v>130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"06:13:26.063"</f>
        <v>06:13:26.063</v>
      </c>
      <c r="T532" t="str">
        <f>"06:13:25.563"</f>
        <v>06:13:25.563</v>
      </c>
      <c r="U532" t="str">
        <f t="shared" si="25"/>
        <v>A7E2E0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471</v>
      </c>
      <c r="AJ532">
        <v>39.131627000000002</v>
      </c>
      <c r="AK532" t="s">
        <v>472</v>
      </c>
      <c r="AL532">
        <v>-87.479432000000003</v>
      </c>
      <c r="AM532">
        <v>100</v>
      </c>
      <c r="AN532">
        <v>2200</v>
      </c>
      <c r="AO532" t="s">
        <v>118</v>
      </c>
      <c r="AP532">
        <v>-36</v>
      </c>
      <c r="AQ532">
        <v>-133</v>
      </c>
      <c r="AR532">
        <v>832</v>
      </c>
      <c r="AZ532">
        <v>4552</v>
      </c>
      <c r="BA532">
        <v>1</v>
      </c>
      <c r="BB532" t="str">
        <f t="shared" si="26"/>
        <v xml:space="preserve">N607SR  </v>
      </c>
      <c r="BC532">
        <v>1</v>
      </c>
      <c r="BE532">
        <v>1</v>
      </c>
      <c r="BF532">
        <v>3</v>
      </c>
      <c r="BG532">
        <v>0</v>
      </c>
      <c r="BH532">
        <v>1950</v>
      </c>
      <c r="BI532">
        <v>1</v>
      </c>
      <c r="BJ532">
        <v>1</v>
      </c>
      <c r="BK532">
        <v>1</v>
      </c>
      <c r="BL532">
        <v>0</v>
      </c>
      <c r="BO532">
        <v>1</v>
      </c>
      <c r="BP532">
        <v>0</v>
      </c>
      <c r="BW532" t="str">
        <f>"06:13:26.064"</f>
        <v>06:13:26.064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6</v>
      </c>
      <c r="CP532" t="s">
        <v>119</v>
      </c>
      <c r="CQ532">
        <v>457</v>
      </c>
      <c r="CR532">
        <v>0</v>
      </c>
      <c r="CW532">
        <v>15511808</v>
      </c>
      <c r="CY532">
        <v>1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"08/29/2020 06:13:22.853"</f>
        <v>08/29/2020 06:13:22.853</v>
      </c>
      <c r="C533" t="str">
        <f t="shared" si="24"/>
        <v>FFDFD3C0</v>
      </c>
      <c r="D533" t="s">
        <v>113</v>
      </c>
      <c r="E533">
        <v>5</v>
      </c>
      <c r="H533">
        <v>163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"06:13:26.063"</f>
        <v>06:13:26.063</v>
      </c>
      <c r="T533" t="str">
        <f>"06:13:25.563"</f>
        <v>06:13:25.563</v>
      </c>
      <c r="U533" t="str">
        <f t="shared" si="25"/>
        <v>A7E2E0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471</v>
      </c>
      <c r="AJ533">
        <v>39.131627000000002</v>
      </c>
      <c r="AK533" t="s">
        <v>472</v>
      </c>
      <c r="AL533">
        <v>-87.479432000000003</v>
      </c>
      <c r="AM533">
        <v>100</v>
      </c>
      <c r="AN533">
        <v>2200</v>
      </c>
      <c r="AO533" t="s">
        <v>118</v>
      </c>
      <c r="AP533">
        <v>-36</v>
      </c>
      <c r="AQ533">
        <v>-133</v>
      </c>
      <c r="AR533">
        <v>832</v>
      </c>
      <c r="AZ533">
        <v>4552</v>
      </c>
      <c r="BA533">
        <v>1</v>
      </c>
      <c r="BB533" t="str">
        <f t="shared" si="26"/>
        <v xml:space="preserve">N607SR  </v>
      </c>
      <c r="BC533">
        <v>1</v>
      </c>
      <c r="BE533">
        <v>1</v>
      </c>
      <c r="BF533">
        <v>3</v>
      </c>
      <c r="BG533">
        <v>0</v>
      </c>
      <c r="BH533">
        <v>1950</v>
      </c>
      <c r="BI533">
        <v>1</v>
      </c>
      <c r="BJ533">
        <v>1</v>
      </c>
      <c r="BK533">
        <v>1</v>
      </c>
      <c r="BL533">
        <v>0</v>
      </c>
      <c r="BO533">
        <v>1</v>
      </c>
      <c r="BP533">
        <v>0</v>
      </c>
      <c r="BW533" t="str">
        <f>"06:13:26.064"</f>
        <v>06:13:26.064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457</v>
      </c>
      <c r="CR533">
        <v>0</v>
      </c>
      <c r="CW533">
        <v>15511808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"08/29/2020 06:13:23.336"</f>
        <v>08/29/2020 06:13:23.336</v>
      </c>
      <c r="C534" t="str">
        <f t="shared" si="24"/>
        <v>FFDFD3C0</v>
      </c>
      <c r="D534" t="s">
        <v>121</v>
      </c>
      <c r="E534">
        <v>11</v>
      </c>
      <c r="F534">
        <v>1011</v>
      </c>
      <c r="G534" t="s">
        <v>125</v>
      </c>
      <c r="J534" t="s">
        <v>123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"06:13:26.555"</f>
        <v>06:13:26.555</v>
      </c>
      <c r="T534" t="str">
        <f>"06:13:26.155"</f>
        <v>06:13:26.155</v>
      </c>
      <c r="U534" t="str">
        <f t="shared" si="25"/>
        <v>A7E2E0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473</v>
      </c>
      <c r="AJ534">
        <v>39.131284000000001</v>
      </c>
      <c r="AK534" t="s">
        <v>474</v>
      </c>
      <c r="AL534">
        <v>-87.479539000000003</v>
      </c>
      <c r="AM534">
        <v>100</v>
      </c>
      <c r="AN534">
        <v>2200</v>
      </c>
      <c r="AO534" t="s">
        <v>118</v>
      </c>
      <c r="AP534">
        <v>-34</v>
      </c>
      <c r="AQ534">
        <v>-134</v>
      </c>
      <c r="AR534">
        <v>832</v>
      </c>
      <c r="AZ534">
        <v>4552</v>
      </c>
      <c r="BA534">
        <v>1</v>
      </c>
      <c r="BB534" t="str">
        <f t="shared" si="26"/>
        <v xml:space="preserve">N607SR  </v>
      </c>
      <c r="BC534">
        <v>1</v>
      </c>
      <c r="BE534">
        <v>1</v>
      </c>
      <c r="BF534">
        <v>3</v>
      </c>
      <c r="BG534">
        <v>0</v>
      </c>
      <c r="BH534">
        <v>1975</v>
      </c>
      <c r="BI534">
        <v>1</v>
      </c>
      <c r="BJ534">
        <v>1</v>
      </c>
      <c r="BK534">
        <v>1</v>
      </c>
      <c r="BL534">
        <v>0</v>
      </c>
      <c r="BO534">
        <v>1</v>
      </c>
      <c r="BP534">
        <v>0</v>
      </c>
      <c r="BW534" t="str">
        <f>"06:13:26.555"</f>
        <v>06:13:26.555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457</v>
      </c>
      <c r="CR534">
        <v>0</v>
      </c>
      <c r="CW534">
        <v>15511819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"08/29/2020 06:13:23.336"</f>
        <v>08/29/2020 06:13:23.336</v>
      </c>
      <c r="C535" t="str">
        <f t="shared" si="24"/>
        <v>FFDFD3C0</v>
      </c>
      <c r="D535" t="s">
        <v>121</v>
      </c>
      <c r="E535">
        <v>10</v>
      </c>
      <c r="F535">
        <v>1010</v>
      </c>
      <c r="G535" t="s">
        <v>114</v>
      </c>
      <c r="J535" t="s">
        <v>123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"06:13:26.555"</f>
        <v>06:13:26.555</v>
      </c>
      <c r="T535" t="str">
        <f>"06:13:26.155"</f>
        <v>06:13:26.155</v>
      </c>
      <c r="U535" t="str">
        <f t="shared" si="25"/>
        <v>A7E2E0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473</v>
      </c>
      <c r="AJ535">
        <v>39.131284000000001</v>
      </c>
      <c r="AK535" t="s">
        <v>474</v>
      </c>
      <c r="AL535">
        <v>-87.479539000000003</v>
      </c>
      <c r="AM535">
        <v>100</v>
      </c>
      <c r="AN535">
        <v>2200</v>
      </c>
      <c r="AO535" t="s">
        <v>118</v>
      </c>
      <c r="AP535">
        <v>-34</v>
      </c>
      <c r="AQ535">
        <v>-134</v>
      </c>
      <c r="AR535">
        <v>832</v>
      </c>
      <c r="AZ535">
        <v>4552</v>
      </c>
      <c r="BA535">
        <v>1</v>
      </c>
      <c r="BB535" t="str">
        <f t="shared" si="26"/>
        <v xml:space="preserve">N607SR  </v>
      </c>
      <c r="BC535">
        <v>1</v>
      </c>
      <c r="BE535">
        <v>1</v>
      </c>
      <c r="BF535">
        <v>3</v>
      </c>
      <c r="BG535">
        <v>0</v>
      </c>
      <c r="BH535">
        <v>1975</v>
      </c>
      <c r="BI535">
        <v>1</v>
      </c>
      <c r="BJ535">
        <v>1</v>
      </c>
      <c r="BK535">
        <v>1</v>
      </c>
      <c r="BL535">
        <v>0</v>
      </c>
      <c r="BO535">
        <v>1</v>
      </c>
      <c r="BP535">
        <v>0</v>
      </c>
      <c r="BW535" t="str">
        <f>"06:13:26.555"</f>
        <v>06:13:26.555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119</v>
      </c>
      <c r="CQ535">
        <v>517</v>
      </c>
      <c r="CR535">
        <v>1</v>
      </c>
      <c r="CW535">
        <v>2476548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"08/29/2020 06:13:23.336"</f>
        <v>08/29/2020 06:13:23.336</v>
      </c>
      <c r="C536" t="str">
        <f t="shared" si="24"/>
        <v>FFDFD3C0</v>
      </c>
      <c r="D536" t="s">
        <v>121</v>
      </c>
      <c r="E536">
        <v>13</v>
      </c>
      <c r="F536">
        <v>1013</v>
      </c>
      <c r="G536" t="s">
        <v>122</v>
      </c>
      <c r="J536" t="s">
        <v>123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"06:13:26.555"</f>
        <v>06:13:26.555</v>
      </c>
      <c r="T536" t="str">
        <f>"06:13:26.155"</f>
        <v>06:13:26.155</v>
      </c>
      <c r="U536" t="str">
        <f t="shared" si="25"/>
        <v>A7E2E0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473</v>
      </c>
      <c r="AJ536">
        <v>39.131284000000001</v>
      </c>
      <c r="AK536" t="s">
        <v>474</v>
      </c>
      <c r="AL536">
        <v>-87.479539000000003</v>
      </c>
      <c r="AM536">
        <v>100</v>
      </c>
      <c r="AN536">
        <v>2200</v>
      </c>
      <c r="AO536" t="s">
        <v>118</v>
      </c>
      <c r="AP536">
        <v>-34</v>
      </c>
      <c r="AQ536">
        <v>-134</v>
      </c>
      <c r="AR536">
        <v>832</v>
      </c>
      <c r="AZ536">
        <v>4552</v>
      </c>
      <c r="BA536">
        <v>1</v>
      </c>
      <c r="BB536" t="str">
        <f t="shared" si="26"/>
        <v xml:space="preserve">N607SR  </v>
      </c>
      <c r="BC536">
        <v>1</v>
      </c>
      <c r="BE536">
        <v>1</v>
      </c>
      <c r="BF536">
        <v>3</v>
      </c>
      <c r="BG536">
        <v>0</v>
      </c>
      <c r="BH536">
        <v>1975</v>
      </c>
      <c r="BI536">
        <v>1</v>
      </c>
      <c r="BJ536">
        <v>1</v>
      </c>
      <c r="BK536">
        <v>1</v>
      </c>
      <c r="BL536">
        <v>0</v>
      </c>
      <c r="BO536">
        <v>1</v>
      </c>
      <c r="BP536">
        <v>0</v>
      </c>
      <c r="BW536" t="str">
        <f>"06:13:26.555"</f>
        <v>06:13:26.555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119</v>
      </c>
      <c r="CQ536">
        <v>517</v>
      </c>
      <c r="CR536">
        <v>1</v>
      </c>
      <c r="CW536">
        <v>2476548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"08/29/2020 06:13:23.816"</f>
        <v>08/29/2020 06:13:23.816</v>
      </c>
      <c r="C537" t="str">
        <f t="shared" si="24"/>
        <v>FFDFD3C0</v>
      </c>
      <c r="D537" t="s">
        <v>128</v>
      </c>
      <c r="E537">
        <v>5</v>
      </c>
      <c r="H537">
        <v>241</v>
      </c>
      <c r="I537" t="s">
        <v>129</v>
      </c>
      <c r="J537" t="s">
        <v>130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"06:13:27.031"</f>
        <v>06:13:27.031</v>
      </c>
      <c r="T537" t="str">
        <f>"06:13:26.631"</f>
        <v>06:13:26.631</v>
      </c>
      <c r="U537" t="str">
        <f t="shared" si="25"/>
        <v>A7E2E0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475</v>
      </c>
      <c r="AJ537">
        <v>39.130983000000001</v>
      </c>
      <c r="AK537" t="s">
        <v>476</v>
      </c>
      <c r="AL537">
        <v>-87.479624999999999</v>
      </c>
      <c r="AM537">
        <v>100</v>
      </c>
      <c r="AN537">
        <v>2200</v>
      </c>
      <c r="AO537" t="s">
        <v>118</v>
      </c>
      <c r="AP537">
        <v>-33</v>
      </c>
      <c r="AQ537">
        <v>-134</v>
      </c>
      <c r="AR537">
        <v>832</v>
      </c>
      <c r="AZ537">
        <v>4552</v>
      </c>
      <c r="BA537">
        <v>1</v>
      </c>
      <c r="BB537" t="str">
        <f t="shared" si="26"/>
        <v xml:space="preserve">N607SR  </v>
      </c>
      <c r="BC537">
        <v>1</v>
      </c>
      <c r="BE537">
        <v>1</v>
      </c>
      <c r="BF537">
        <v>3</v>
      </c>
      <c r="BG537">
        <v>0</v>
      </c>
      <c r="BH537">
        <v>1975</v>
      </c>
      <c r="BI537">
        <v>1</v>
      </c>
      <c r="BJ537">
        <v>1</v>
      </c>
      <c r="BK537">
        <v>1</v>
      </c>
      <c r="BL537">
        <v>0</v>
      </c>
      <c r="BO537">
        <v>1</v>
      </c>
      <c r="BP537">
        <v>0</v>
      </c>
      <c r="BW537" t="str">
        <f>"06:13:27.032"</f>
        <v>06:13:27.032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6</v>
      </c>
      <c r="CP537" t="s">
        <v>119</v>
      </c>
      <c r="CQ537">
        <v>457</v>
      </c>
      <c r="CR537">
        <v>0</v>
      </c>
      <c r="CW537">
        <v>15511835</v>
      </c>
      <c r="CY537">
        <v>1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"08/29/2020 06:13:23.816"</f>
        <v>08/29/2020 06:13:23.816</v>
      </c>
      <c r="C538" t="str">
        <f t="shared" si="24"/>
        <v>FFDFD3C0</v>
      </c>
      <c r="D538" t="s">
        <v>113</v>
      </c>
      <c r="E538">
        <v>5</v>
      </c>
      <c r="H538">
        <v>163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"06:13:27.031"</f>
        <v>06:13:27.031</v>
      </c>
      <c r="T538" t="str">
        <f>"06:13:26.631"</f>
        <v>06:13:26.631</v>
      </c>
      <c r="U538" t="str">
        <f t="shared" si="25"/>
        <v>A7E2E0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475</v>
      </c>
      <c r="AJ538">
        <v>39.130983000000001</v>
      </c>
      <c r="AK538" t="s">
        <v>476</v>
      </c>
      <c r="AL538">
        <v>-87.479624999999999</v>
      </c>
      <c r="AM538">
        <v>100</v>
      </c>
      <c r="AN538">
        <v>2200</v>
      </c>
      <c r="AO538" t="s">
        <v>118</v>
      </c>
      <c r="AP538">
        <v>-33</v>
      </c>
      <c r="AQ538">
        <v>-134</v>
      </c>
      <c r="AR538">
        <v>832</v>
      </c>
      <c r="AZ538">
        <v>4552</v>
      </c>
      <c r="BA538">
        <v>1</v>
      </c>
      <c r="BB538" t="str">
        <f t="shared" si="26"/>
        <v xml:space="preserve">N607SR  </v>
      </c>
      <c r="BC538">
        <v>1</v>
      </c>
      <c r="BE538">
        <v>1</v>
      </c>
      <c r="BF538">
        <v>3</v>
      </c>
      <c r="BG538">
        <v>0</v>
      </c>
      <c r="BH538">
        <v>1975</v>
      </c>
      <c r="BI538">
        <v>1</v>
      </c>
      <c r="BJ538">
        <v>1</v>
      </c>
      <c r="BK538">
        <v>1</v>
      </c>
      <c r="BL538">
        <v>0</v>
      </c>
      <c r="BO538">
        <v>1</v>
      </c>
      <c r="BP538">
        <v>0</v>
      </c>
      <c r="BW538" t="str">
        <f>"06:13:27.032"</f>
        <v>06:13:27.032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6</v>
      </c>
      <c r="CP538" t="s">
        <v>119</v>
      </c>
      <c r="CQ538">
        <v>457</v>
      </c>
      <c r="CR538">
        <v>0</v>
      </c>
      <c r="CW538">
        <v>15511835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"08/29/2020 06:13:24.352"</f>
        <v>08/29/2020 06:13:24.352</v>
      </c>
      <c r="C539" t="str">
        <f t="shared" si="24"/>
        <v>FFDFD3C0</v>
      </c>
      <c r="D539" t="s">
        <v>121</v>
      </c>
      <c r="E539">
        <v>11</v>
      </c>
      <c r="F539">
        <v>1011</v>
      </c>
      <c r="G539" t="s">
        <v>125</v>
      </c>
      <c r="J539" t="s">
        <v>123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"06:13:27.539"</f>
        <v>06:13:27.539</v>
      </c>
      <c r="T539" t="str">
        <f>"06:13:27.039"</f>
        <v>06:13:27.039</v>
      </c>
      <c r="U539" t="str">
        <f t="shared" si="25"/>
        <v>A7E2E0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477</v>
      </c>
      <c r="AJ539">
        <v>39.130682999999998</v>
      </c>
      <c r="AK539" t="s">
        <v>478</v>
      </c>
      <c r="AL539">
        <v>-87.479710999999995</v>
      </c>
      <c r="AM539">
        <v>100</v>
      </c>
      <c r="AN539">
        <v>2200</v>
      </c>
      <c r="AO539" t="s">
        <v>118</v>
      </c>
      <c r="AP539">
        <v>-31</v>
      </c>
      <c r="AQ539">
        <v>-135</v>
      </c>
      <c r="AR539">
        <v>832</v>
      </c>
      <c r="AZ539">
        <v>4552</v>
      </c>
      <c r="BA539">
        <v>1</v>
      </c>
      <c r="BB539" t="str">
        <f t="shared" si="26"/>
        <v xml:space="preserve">N607SR  </v>
      </c>
      <c r="BC539">
        <v>1</v>
      </c>
      <c r="BE539">
        <v>1</v>
      </c>
      <c r="BF539">
        <v>3</v>
      </c>
      <c r="BG539">
        <v>0</v>
      </c>
      <c r="BH539">
        <v>1975</v>
      </c>
      <c r="BI539">
        <v>1</v>
      </c>
      <c r="BJ539">
        <v>1</v>
      </c>
      <c r="BK539">
        <v>1</v>
      </c>
      <c r="BL539">
        <v>0</v>
      </c>
      <c r="BO539">
        <v>1</v>
      </c>
      <c r="BP539">
        <v>0</v>
      </c>
      <c r="BW539" t="str">
        <f>"06:13:27.542"</f>
        <v>06:13:27.542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6</v>
      </c>
      <c r="CP539" t="s">
        <v>119</v>
      </c>
      <c r="CQ539">
        <v>457</v>
      </c>
      <c r="CR539">
        <v>0</v>
      </c>
      <c r="CW539">
        <v>15511847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"08/29/2020 06:13:24.352"</f>
        <v>08/29/2020 06:13:24.352</v>
      </c>
      <c r="C540" t="str">
        <f t="shared" si="24"/>
        <v>FFDFD3C0</v>
      </c>
      <c r="D540" t="s">
        <v>121</v>
      </c>
      <c r="E540">
        <v>13</v>
      </c>
      <c r="F540">
        <v>1013</v>
      </c>
      <c r="G540" t="s">
        <v>122</v>
      </c>
      <c r="J540" t="s">
        <v>123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"06:13:27.539"</f>
        <v>06:13:27.539</v>
      </c>
      <c r="U540" t="str">
        <f t="shared" si="25"/>
        <v>A7E2E0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477</v>
      </c>
      <c r="AJ540">
        <v>39.130682999999998</v>
      </c>
      <c r="AK540" t="s">
        <v>478</v>
      </c>
      <c r="AL540">
        <v>-87.479710999999995</v>
      </c>
      <c r="AM540">
        <v>100</v>
      </c>
      <c r="AN540">
        <v>2200</v>
      </c>
      <c r="AO540" t="s">
        <v>118</v>
      </c>
      <c r="AP540">
        <v>-30</v>
      </c>
      <c r="AQ540">
        <v>-135</v>
      </c>
      <c r="AR540">
        <v>832</v>
      </c>
      <c r="AZ540">
        <v>4552</v>
      </c>
      <c r="BA540">
        <v>1</v>
      </c>
      <c r="BB540" t="str">
        <f t="shared" si="26"/>
        <v xml:space="preserve">N607SR  </v>
      </c>
      <c r="BC540">
        <v>1</v>
      </c>
      <c r="BE540">
        <v>1</v>
      </c>
      <c r="BF540">
        <v>3</v>
      </c>
      <c r="BG540">
        <v>0</v>
      </c>
      <c r="BH540">
        <v>1975</v>
      </c>
      <c r="BI540">
        <v>1</v>
      </c>
      <c r="BJ540">
        <v>1</v>
      </c>
      <c r="BK540">
        <v>1</v>
      </c>
      <c r="BL540">
        <v>0</v>
      </c>
      <c r="BO540">
        <v>1</v>
      </c>
      <c r="BP540">
        <v>0</v>
      </c>
      <c r="BW540" t="str">
        <f>"06:13:27.542"</f>
        <v>06:13:27.542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1</v>
      </c>
      <c r="CP540" t="s">
        <v>119</v>
      </c>
      <c r="CQ540">
        <v>465</v>
      </c>
      <c r="CR540">
        <v>1</v>
      </c>
      <c r="CW540">
        <v>4715478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"08/29/2020 06:13:24.352"</f>
        <v>08/29/2020 06:13:24.352</v>
      </c>
      <c r="C541" t="str">
        <f t="shared" si="24"/>
        <v>FFDFD3C0</v>
      </c>
      <c r="D541" t="s">
        <v>121</v>
      </c>
      <c r="E541">
        <v>10</v>
      </c>
      <c r="F541">
        <v>1010</v>
      </c>
      <c r="G541" t="s">
        <v>114</v>
      </c>
      <c r="J541" t="s">
        <v>123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"06:13:27.539"</f>
        <v>06:13:27.539</v>
      </c>
      <c r="U541" t="str">
        <f t="shared" si="25"/>
        <v>A7E2E0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477</v>
      </c>
      <c r="AJ541">
        <v>39.130682999999998</v>
      </c>
      <c r="AK541" t="s">
        <v>478</v>
      </c>
      <c r="AL541">
        <v>-87.479710999999995</v>
      </c>
      <c r="AM541">
        <v>100</v>
      </c>
      <c r="AN541">
        <v>2200</v>
      </c>
      <c r="AO541" t="s">
        <v>118</v>
      </c>
      <c r="AP541">
        <v>-30</v>
      </c>
      <c r="AQ541">
        <v>-135</v>
      </c>
      <c r="AR541">
        <v>832</v>
      </c>
      <c r="AZ541">
        <v>4552</v>
      </c>
      <c r="BA541">
        <v>1</v>
      </c>
      <c r="BB541" t="str">
        <f t="shared" si="26"/>
        <v xml:space="preserve">N607SR  </v>
      </c>
      <c r="BC541">
        <v>1</v>
      </c>
      <c r="BE541">
        <v>1</v>
      </c>
      <c r="BF541">
        <v>3</v>
      </c>
      <c r="BG541">
        <v>0</v>
      </c>
      <c r="BH541">
        <v>1975</v>
      </c>
      <c r="BI541">
        <v>1</v>
      </c>
      <c r="BJ541">
        <v>1</v>
      </c>
      <c r="BK541">
        <v>1</v>
      </c>
      <c r="BL541">
        <v>0</v>
      </c>
      <c r="BO541">
        <v>1</v>
      </c>
      <c r="BP541">
        <v>0</v>
      </c>
      <c r="BW541" t="str">
        <f>"06:13:27.542"</f>
        <v>06:13:27.542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1</v>
      </c>
      <c r="CP541" t="s">
        <v>119</v>
      </c>
      <c r="CQ541">
        <v>465</v>
      </c>
      <c r="CR541">
        <v>1</v>
      </c>
      <c r="CW541">
        <v>4715478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"08/29/2020 06:13:24.831"</f>
        <v>08/29/2020 06:13:24.831</v>
      </c>
      <c r="C542" t="str">
        <f t="shared" si="24"/>
        <v>FFDFD3C0</v>
      </c>
      <c r="D542" t="s">
        <v>128</v>
      </c>
      <c r="E542">
        <v>5</v>
      </c>
      <c r="H542">
        <v>241</v>
      </c>
      <c r="I542" t="s">
        <v>129</v>
      </c>
      <c r="J542" t="s">
        <v>130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"06:13:28.016"</f>
        <v>06:13:28.016</v>
      </c>
      <c r="U542" t="str">
        <f t="shared" si="25"/>
        <v>A7E2E0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215</v>
      </c>
      <c r="AJ542">
        <v>39.130361000000001</v>
      </c>
      <c r="AK542" t="s">
        <v>479</v>
      </c>
      <c r="AL542">
        <v>-87.479795999999993</v>
      </c>
      <c r="AM542">
        <v>100</v>
      </c>
      <c r="AN542">
        <v>2200</v>
      </c>
      <c r="AO542" t="s">
        <v>118</v>
      </c>
      <c r="AP542">
        <v>-29</v>
      </c>
      <c r="AQ542">
        <v>-135</v>
      </c>
      <c r="AR542">
        <v>832</v>
      </c>
      <c r="AZ542">
        <v>4552</v>
      </c>
      <c r="BA542">
        <v>1</v>
      </c>
      <c r="BB542" t="str">
        <f t="shared" si="26"/>
        <v xml:space="preserve">N607SR  </v>
      </c>
      <c r="BC542">
        <v>1</v>
      </c>
      <c r="BE542">
        <v>1</v>
      </c>
      <c r="BF542">
        <v>3</v>
      </c>
      <c r="BG542">
        <v>0</v>
      </c>
      <c r="BH542">
        <v>2000</v>
      </c>
      <c r="BI542">
        <v>1</v>
      </c>
      <c r="BJ542">
        <v>1</v>
      </c>
      <c r="BK542">
        <v>1</v>
      </c>
      <c r="BL542">
        <v>0</v>
      </c>
      <c r="BO542">
        <v>1</v>
      </c>
      <c r="BP542">
        <v>0</v>
      </c>
      <c r="BW542" t="str">
        <f>"06:13:28.017"</f>
        <v>06:13:28.017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4</v>
      </c>
      <c r="CP542" t="s">
        <v>119</v>
      </c>
      <c r="CQ542">
        <v>465</v>
      </c>
      <c r="CR542">
        <v>0</v>
      </c>
      <c r="CW542">
        <v>4715491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"08/29/2020 06:13:24.831"</f>
        <v>08/29/2020 06:13:24.831</v>
      </c>
      <c r="C543" t="str">
        <f t="shared" si="24"/>
        <v>FFDFD3C0</v>
      </c>
      <c r="D543" t="s">
        <v>113</v>
      </c>
      <c r="E543">
        <v>5</v>
      </c>
      <c r="H543">
        <v>163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"06:13:28.016"</f>
        <v>06:13:28.016</v>
      </c>
      <c r="U543" t="str">
        <f t="shared" si="25"/>
        <v>A7E2E0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215</v>
      </c>
      <c r="AJ543">
        <v>39.130361000000001</v>
      </c>
      <c r="AK543" t="s">
        <v>479</v>
      </c>
      <c r="AL543">
        <v>-87.479795999999993</v>
      </c>
      <c r="AM543">
        <v>100</v>
      </c>
      <c r="AN543">
        <v>2200</v>
      </c>
      <c r="AO543" t="s">
        <v>118</v>
      </c>
      <c r="AP543">
        <v>-29</v>
      </c>
      <c r="AQ543">
        <v>-135</v>
      </c>
      <c r="AR543">
        <v>832</v>
      </c>
      <c r="AZ543">
        <v>4552</v>
      </c>
      <c r="BA543">
        <v>1</v>
      </c>
      <c r="BB543" t="str">
        <f t="shared" si="26"/>
        <v xml:space="preserve">N607SR  </v>
      </c>
      <c r="BC543">
        <v>1</v>
      </c>
      <c r="BE543">
        <v>1</v>
      </c>
      <c r="BF543">
        <v>3</v>
      </c>
      <c r="BG543">
        <v>0</v>
      </c>
      <c r="BH543">
        <v>2000</v>
      </c>
      <c r="BI543">
        <v>1</v>
      </c>
      <c r="BJ543">
        <v>1</v>
      </c>
      <c r="BK543">
        <v>1</v>
      </c>
      <c r="BL543">
        <v>0</v>
      </c>
      <c r="BO543">
        <v>1</v>
      </c>
      <c r="BP543">
        <v>0</v>
      </c>
      <c r="BW543" t="str">
        <f>"06:13:28.017"</f>
        <v>06:13:28.017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4</v>
      </c>
      <c r="CP543" t="s">
        <v>119</v>
      </c>
      <c r="CQ543">
        <v>465</v>
      </c>
      <c r="CR543">
        <v>0</v>
      </c>
      <c r="CW543">
        <v>4715491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"08/29/2020 06:13:25.344"</f>
        <v>08/29/2020 06:13:25.344</v>
      </c>
      <c r="C544" t="str">
        <f t="shared" si="24"/>
        <v>FFDFD3C0</v>
      </c>
      <c r="D544" t="s">
        <v>121</v>
      </c>
      <c r="E544">
        <v>13</v>
      </c>
      <c r="F544">
        <v>1013</v>
      </c>
      <c r="G544" t="s">
        <v>122</v>
      </c>
      <c r="J544" t="s">
        <v>123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"06:13:28.547"</f>
        <v>06:13:28.547</v>
      </c>
      <c r="T544" t="str">
        <f>"06:13:28.047"</f>
        <v>06:13:28.047</v>
      </c>
      <c r="U544" t="str">
        <f t="shared" si="25"/>
        <v>A7E2E0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480</v>
      </c>
      <c r="AJ544">
        <v>39.130060999999998</v>
      </c>
      <c r="AK544" t="s">
        <v>481</v>
      </c>
      <c r="AL544">
        <v>-87.479838999999998</v>
      </c>
      <c r="AM544">
        <v>100</v>
      </c>
      <c r="AN544">
        <v>2200</v>
      </c>
      <c r="AO544" t="s">
        <v>118</v>
      </c>
      <c r="AP544">
        <v>-29</v>
      </c>
      <c r="AQ544">
        <v>-135</v>
      </c>
      <c r="AR544">
        <v>832</v>
      </c>
      <c r="AZ544">
        <v>4552</v>
      </c>
      <c r="BA544">
        <v>1</v>
      </c>
      <c r="BB544" t="str">
        <f t="shared" si="26"/>
        <v xml:space="preserve">N607SR  </v>
      </c>
      <c r="BC544">
        <v>1</v>
      </c>
      <c r="BE544">
        <v>1</v>
      </c>
      <c r="BF544">
        <v>3</v>
      </c>
      <c r="BG544">
        <v>0</v>
      </c>
      <c r="BH544">
        <v>2000</v>
      </c>
      <c r="BI544">
        <v>1</v>
      </c>
      <c r="BJ544">
        <v>1</v>
      </c>
      <c r="BK544">
        <v>1</v>
      </c>
      <c r="BL544">
        <v>0</v>
      </c>
      <c r="BO544">
        <v>1</v>
      </c>
      <c r="BP544">
        <v>0</v>
      </c>
      <c r="BW544" t="str">
        <f>"06:13:28.554"</f>
        <v>06:13:28.554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6</v>
      </c>
      <c r="CP544" t="s">
        <v>119</v>
      </c>
      <c r="CQ544">
        <v>457</v>
      </c>
      <c r="CR544">
        <v>0</v>
      </c>
      <c r="CW544">
        <v>15511878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"08/29/2020 06:13:25.344"</f>
        <v>08/29/2020 06:13:25.344</v>
      </c>
      <c r="C545" t="str">
        <f t="shared" si="24"/>
        <v>FFDFD3C0</v>
      </c>
      <c r="D545" t="s">
        <v>121</v>
      </c>
      <c r="E545">
        <v>11</v>
      </c>
      <c r="F545">
        <v>1011</v>
      </c>
      <c r="G545" t="s">
        <v>125</v>
      </c>
      <c r="J545" t="s">
        <v>123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"06:13:28.547"</f>
        <v>06:13:28.547</v>
      </c>
      <c r="T545" t="str">
        <f>"06:13:28.047"</f>
        <v>06:13:28.047</v>
      </c>
      <c r="U545" t="str">
        <f t="shared" si="25"/>
        <v>A7E2E0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480</v>
      </c>
      <c r="AJ545">
        <v>39.130060999999998</v>
      </c>
      <c r="AK545" t="s">
        <v>481</v>
      </c>
      <c r="AL545">
        <v>-87.479838999999998</v>
      </c>
      <c r="AM545">
        <v>100</v>
      </c>
      <c r="AN545">
        <v>2200</v>
      </c>
      <c r="AO545" t="s">
        <v>118</v>
      </c>
      <c r="AP545">
        <v>-29</v>
      </c>
      <c r="AQ545">
        <v>-135</v>
      </c>
      <c r="AR545">
        <v>832</v>
      </c>
      <c r="AZ545">
        <v>4552</v>
      </c>
      <c r="BA545">
        <v>1</v>
      </c>
      <c r="BB545" t="str">
        <f t="shared" si="26"/>
        <v xml:space="preserve">N607SR  </v>
      </c>
      <c r="BC545">
        <v>1</v>
      </c>
      <c r="BE545">
        <v>1</v>
      </c>
      <c r="BF545">
        <v>3</v>
      </c>
      <c r="BG545">
        <v>0</v>
      </c>
      <c r="BH545">
        <v>2000</v>
      </c>
      <c r="BI545">
        <v>1</v>
      </c>
      <c r="BJ545">
        <v>1</v>
      </c>
      <c r="BK545">
        <v>1</v>
      </c>
      <c r="BL545">
        <v>0</v>
      </c>
      <c r="BO545">
        <v>1</v>
      </c>
      <c r="BP545">
        <v>0</v>
      </c>
      <c r="BW545" t="str">
        <f>"06:13:28.554"</f>
        <v>06:13:28.554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457</v>
      </c>
      <c r="CR545">
        <v>0</v>
      </c>
      <c r="CW545">
        <v>15511878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"08/29/2020 06:13:25.344"</f>
        <v>08/29/2020 06:13:25.344</v>
      </c>
      <c r="C546" t="str">
        <f t="shared" si="24"/>
        <v>FFDFD3C0</v>
      </c>
      <c r="D546" t="s">
        <v>121</v>
      </c>
      <c r="E546">
        <v>10</v>
      </c>
      <c r="F546">
        <v>1010</v>
      </c>
      <c r="G546" t="s">
        <v>114</v>
      </c>
      <c r="J546" t="s">
        <v>123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"06:13:28.547"</f>
        <v>06:13:28.547</v>
      </c>
      <c r="T546" t="str">
        <f>"06:13:28.047"</f>
        <v>06:13:28.047</v>
      </c>
      <c r="U546" t="str">
        <f t="shared" si="25"/>
        <v>A7E2E0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480</v>
      </c>
      <c r="AJ546">
        <v>39.130060999999998</v>
      </c>
      <c r="AK546" t="s">
        <v>481</v>
      </c>
      <c r="AL546">
        <v>-87.479838999999998</v>
      </c>
      <c r="AM546">
        <v>100</v>
      </c>
      <c r="AN546">
        <v>2200</v>
      </c>
      <c r="AO546" t="s">
        <v>118</v>
      </c>
      <c r="AP546">
        <v>-29</v>
      </c>
      <c r="AQ546">
        <v>-135</v>
      </c>
      <c r="AR546">
        <v>832</v>
      </c>
      <c r="AZ546">
        <v>4552</v>
      </c>
      <c r="BA546">
        <v>1</v>
      </c>
      <c r="BB546" t="str">
        <f t="shared" si="26"/>
        <v xml:space="preserve">N607SR  </v>
      </c>
      <c r="BC546">
        <v>1</v>
      </c>
      <c r="BE546">
        <v>1</v>
      </c>
      <c r="BF546">
        <v>3</v>
      </c>
      <c r="BG546">
        <v>0</v>
      </c>
      <c r="BH546">
        <v>2000</v>
      </c>
      <c r="BI546">
        <v>1</v>
      </c>
      <c r="BJ546">
        <v>1</v>
      </c>
      <c r="BK546">
        <v>1</v>
      </c>
      <c r="BL546">
        <v>0</v>
      </c>
      <c r="BO546">
        <v>1</v>
      </c>
      <c r="BP546">
        <v>0</v>
      </c>
      <c r="BW546" t="str">
        <f>"06:13:28.554"</f>
        <v>06:13:28.554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6</v>
      </c>
      <c r="CP546" t="s">
        <v>119</v>
      </c>
      <c r="CQ546">
        <v>457</v>
      </c>
      <c r="CR546">
        <v>0</v>
      </c>
      <c r="CW546">
        <v>15511878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"08/29/2020 06:13:25.847"</f>
        <v>08/29/2020 06:13:25.847</v>
      </c>
      <c r="C547" t="str">
        <f t="shared" si="24"/>
        <v>FFDFD3C0</v>
      </c>
      <c r="D547" t="s">
        <v>113</v>
      </c>
      <c r="E547">
        <v>5</v>
      </c>
      <c r="H547">
        <v>163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"06:13:29.063"</f>
        <v>06:13:29.063</v>
      </c>
      <c r="T547" t="str">
        <f>"06:13:28.563"</f>
        <v>06:13:28.563</v>
      </c>
      <c r="U547" t="str">
        <f t="shared" si="25"/>
        <v>A7E2E0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482</v>
      </c>
      <c r="AJ547">
        <v>39.129716999999999</v>
      </c>
      <c r="AK547" t="s">
        <v>483</v>
      </c>
      <c r="AL547">
        <v>-87.479924999999994</v>
      </c>
      <c r="AM547">
        <v>100</v>
      </c>
      <c r="AN547">
        <v>2200</v>
      </c>
      <c r="AO547" t="s">
        <v>118</v>
      </c>
      <c r="AP547">
        <v>-28</v>
      </c>
      <c r="AQ547">
        <v>-136</v>
      </c>
      <c r="AR547">
        <v>832</v>
      </c>
      <c r="AZ547">
        <v>4552</v>
      </c>
      <c r="BA547">
        <v>1</v>
      </c>
      <c r="BB547" t="str">
        <f t="shared" si="26"/>
        <v xml:space="preserve">N607SR  </v>
      </c>
      <c r="BC547">
        <v>1</v>
      </c>
      <c r="BE547">
        <v>1</v>
      </c>
      <c r="BF547">
        <v>3</v>
      </c>
      <c r="BG547">
        <v>0</v>
      </c>
      <c r="BH547">
        <v>2000</v>
      </c>
      <c r="BI547">
        <v>1</v>
      </c>
      <c r="BJ547">
        <v>1</v>
      </c>
      <c r="BK547">
        <v>1</v>
      </c>
      <c r="BL547">
        <v>0</v>
      </c>
      <c r="BO547">
        <v>1</v>
      </c>
      <c r="BP547">
        <v>0</v>
      </c>
      <c r="BW547" t="str">
        <f>"06:13:29.069"</f>
        <v>06:13:29.069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6</v>
      </c>
      <c r="CP547" t="s">
        <v>119</v>
      </c>
      <c r="CQ547">
        <v>457</v>
      </c>
      <c r="CR547">
        <v>0</v>
      </c>
      <c r="CW547">
        <v>15511893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"08/29/2020 06:13:25.847"</f>
        <v>08/29/2020 06:13:25.847</v>
      </c>
      <c r="C548" t="str">
        <f t="shared" si="24"/>
        <v>FFDFD3C0</v>
      </c>
      <c r="D548" t="s">
        <v>128</v>
      </c>
      <c r="E548">
        <v>5</v>
      </c>
      <c r="H548">
        <v>241</v>
      </c>
      <c r="I548" t="s">
        <v>129</v>
      </c>
      <c r="J548" t="s">
        <v>130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"06:13:29.063"</f>
        <v>06:13:29.063</v>
      </c>
      <c r="T548" t="str">
        <f>"06:13:28.563"</f>
        <v>06:13:28.563</v>
      </c>
      <c r="U548" t="str">
        <f t="shared" si="25"/>
        <v>A7E2E0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482</v>
      </c>
      <c r="AJ548">
        <v>39.129716999999999</v>
      </c>
      <c r="AK548" t="s">
        <v>483</v>
      </c>
      <c r="AL548">
        <v>-87.479924999999994</v>
      </c>
      <c r="AM548">
        <v>100</v>
      </c>
      <c r="AN548">
        <v>2200</v>
      </c>
      <c r="AO548" t="s">
        <v>118</v>
      </c>
      <c r="AP548">
        <v>-28</v>
      </c>
      <c r="AQ548">
        <v>-136</v>
      </c>
      <c r="AR548">
        <v>832</v>
      </c>
      <c r="AZ548">
        <v>4552</v>
      </c>
      <c r="BA548">
        <v>1</v>
      </c>
      <c r="BB548" t="str">
        <f t="shared" si="26"/>
        <v xml:space="preserve">N607SR  </v>
      </c>
      <c r="BC548">
        <v>1</v>
      </c>
      <c r="BE548">
        <v>1</v>
      </c>
      <c r="BF548">
        <v>3</v>
      </c>
      <c r="BG548">
        <v>0</v>
      </c>
      <c r="BH548">
        <v>2000</v>
      </c>
      <c r="BI548">
        <v>1</v>
      </c>
      <c r="BJ548">
        <v>1</v>
      </c>
      <c r="BK548">
        <v>1</v>
      </c>
      <c r="BL548">
        <v>0</v>
      </c>
      <c r="BO548">
        <v>1</v>
      </c>
      <c r="BP548">
        <v>0</v>
      </c>
      <c r="BW548" t="str">
        <f>"06:13:29.069"</f>
        <v>06:13:29.069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6</v>
      </c>
      <c r="CP548" t="s">
        <v>119</v>
      </c>
      <c r="CQ548">
        <v>457</v>
      </c>
      <c r="CR548">
        <v>0</v>
      </c>
      <c r="CW548">
        <v>15511893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"08/29/2020 06:13:26.382"</f>
        <v>08/29/2020 06:13:26.382</v>
      </c>
      <c r="C549" t="str">
        <f t="shared" si="24"/>
        <v>FFDFD3C0</v>
      </c>
      <c r="D549" t="s">
        <v>121</v>
      </c>
      <c r="E549">
        <v>11</v>
      </c>
      <c r="F549">
        <v>1011</v>
      </c>
      <c r="G549" t="s">
        <v>125</v>
      </c>
      <c r="J549" t="s">
        <v>123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"06:13:29.570"</f>
        <v>06:13:29.570</v>
      </c>
      <c r="T549" t="str">
        <f>"06:13:29.070"</f>
        <v>06:13:29.070</v>
      </c>
      <c r="U549" t="str">
        <f t="shared" si="25"/>
        <v>A7E2E0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484</v>
      </c>
      <c r="AJ549">
        <v>39.129416999999997</v>
      </c>
      <c r="AK549" t="s">
        <v>485</v>
      </c>
      <c r="AL549">
        <v>-87.480011000000005</v>
      </c>
      <c r="AM549">
        <v>100</v>
      </c>
      <c r="AN549">
        <v>2200</v>
      </c>
      <c r="AO549" t="s">
        <v>118</v>
      </c>
      <c r="AP549">
        <v>-26</v>
      </c>
      <c r="AQ549">
        <v>-136</v>
      </c>
      <c r="AR549">
        <v>832</v>
      </c>
      <c r="AZ549">
        <v>4552</v>
      </c>
      <c r="BA549">
        <v>1</v>
      </c>
      <c r="BB549" t="str">
        <f t="shared" si="26"/>
        <v xml:space="preserve">N607SR  </v>
      </c>
      <c r="BC549">
        <v>1</v>
      </c>
      <c r="BE549">
        <v>1</v>
      </c>
      <c r="BF549">
        <v>3</v>
      </c>
      <c r="BG549">
        <v>0</v>
      </c>
      <c r="BH549">
        <v>2000</v>
      </c>
      <c r="BI549">
        <v>1</v>
      </c>
      <c r="BJ549">
        <v>1</v>
      </c>
      <c r="BK549">
        <v>1</v>
      </c>
      <c r="BL549">
        <v>0</v>
      </c>
      <c r="BO549">
        <v>1</v>
      </c>
      <c r="BP549">
        <v>0</v>
      </c>
      <c r="BW549" t="str">
        <f>"06:13:29.577"</f>
        <v>06:13:29.577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6</v>
      </c>
      <c r="CP549" t="s">
        <v>119</v>
      </c>
      <c r="CQ549">
        <v>457</v>
      </c>
      <c r="CR549">
        <v>0</v>
      </c>
      <c r="CW549">
        <v>15511907</v>
      </c>
      <c r="CY549">
        <v>1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"08/29/2020 06:13:26.382"</f>
        <v>08/29/2020 06:13:26.382</v>
      </c>
      <c r="C550" t="str">
        <f t="shared" si="24"/>
        <v>FFDFD3C0</v>
      </c>
      <c r="D550" t="s">
        <v>121</v>
      </c>
      <c r="E550">
        <v>13</v>
      </c>
      <c r="F550">
        <v>1013</v>
      </c>
      <c r="G550" t="s">
        <v>122</v>
      </c>
      <c r="J550" t="s">
        <v>123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"06:13:29.570"</f>
        <v>06:13:29.570</v>
      </c>
      <c r="U550" t="str">
        <f t="shared" si="25"/>
        <v>A7E2E0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484</v>
      </c>
      <c r="AJ550">
        <v>39.129416999999997</v>
      </c>
      <c r="AK550" t="s">
        <v>485</v>
      </c>
      <c r="AL550">
        <v>-87.480011000000005</v>
      </c>
      <c r="AM550">
        <v>100</v>
      </c>
      <c r="AN550">
        <v>2200</v>
      </c>
      <c r="AO550" t="s">
        <v>118</v>
      </c>
      <c r="AP550">
        <v>-25</v>
      </c>
      <c r="AQ550">
        <v>-137</v>
      </c>
      <c r="AR550">
        <v>832</v>
      </c>
      <c r="AZ550">
        <v>4552</v>
      </c>
      <c r="BA550">
        <v>1</v>
      </c>
      <c r="BB550" t="str">
        <f t="shared" si="26"/>
        <v xml:space="preserve">N607SR  </v>
      </c>
      <c r="BC550">
        <v>1</v>
      </c>
      <c r="BE550">
        <v>1</v>
      </c>
      <c r="BF550">
        <v>3</v>
      </c>
      <c r="BG550">
        <v>0</v>
      </c>
      <c r="BH550">
        <v>2025</v>
      </c>
      <c r="BI550">
        <v>1</v>
      </c>
      <c r="BJ550">
        <v>1</v>
      </c>
      <c r="BK550">
        <v>1</v>
      </c>
      <c r="BL550">
        <v>0</v>
      </c>
      <c r="BO550">
        <v>1</v>
      </c>
      <c r="BP550">
        <v>0</v>
      </c>
      <c r="BW550" t="str">
        <f>"06:13:29.577"</f>
        <v>06:13:29.577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5</v>
      </c>
      <c r="CP550" t="s">
        <v>119</v>
      </c>
      <c r="CQ550">
        <v>517</v>
      </c>
      <c r="CR550">
        <v>1</v>
      </c>
      <c r="CW550">
        <v>2476634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"08/29/2020 06:13:26.382"</f>
        <v>08/29/2020 06:13:26.382</v>
      </c>
      <c r="C551" t="str">
        <f t="shared" si="24"/>
        <v>FFDFD3C0</v>
      </c>
      <c r="D551" t="s">
        <v>121</v>
      </c>
      <c r="E551">
        <v>10</v>
      </c>
      <c r="F551">
        <v>1010</v>
      </c>
      <c r="G551" t="s">
        <v>114</v>
      </c>
      <c r="J551" t="s">
        <v>123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"06:13:29.570"</f>
        <v>06:13:29.570</v>
      </c>
      <c r="U551" t="str">
        <f t="shared" si="25"/>
        <v>A7E2E0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484</v>
      </c>
      <c r="AJ551">
        <v>39.129416999999997</v>
      </c>
      <c r="AK551" t="s">
        <v>485</v>
      </c>
      <c r="AL551">
        <v>-87.480011000000005</v>
      </c>
      <c r="AM551">
        <v>100</v>
      </c>
      <c r="AN551">
        <v>2200</v>
      </c>
      <c r="AO551" t="s">
        <v>118</v>
      </c>
      <c r="AP551">
        <v>-25</v>
      </c>
      <c r="AQ551">
        <v>-137</v>
      </c>
      <c r="AR551">
        <v>832</v>
      </c>
      <c r="AZ551">
        <v>4552</v>
      </c>
      <c r="BA551">
        <v>1</v>
      </c>
      <c r="BB551" t="str">
        <f t="shared" si="26"/>
        <v xml:space="preserve">N607SR  </v>
      </c>
      <c r="BC551">
        <v>1</v>
      </c>
      <c r="BE551">
        <v>1</v>
      </c>
      <c r="BF551">
        <v>3</v>
      </c>
      <c r="BG551">
        <v>0</v>
      </c>
      <c r="BH551">
        <v>2025</v>
      </c>
      <c r="BI551">
        <v>1</v>
      </c>
      <c r="BJ551">
        <v>1</v>
      </c>
      <c r="BK551">
        <v>1</v>
      </c>
      <c r="BL551">
        <v>0</v>
      </c>
      <c r="BO551">
        <v>1</v>
      </c>
      <c r="BP551">
        <v>0</v>
      </c>
      <c r="BW551" t="str">
        <f>"06:13:29.577"</f>
        <v>06:13:29.577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5</v>
      </c>
      <c r="CP551" t="s">
        <v>119</v>
      </c>
      <c r="CQ551">
        <v>517</v>
      </c>
      <c r="CR551">
        <v>1</v>
      </c>
      <c r="CW551">
        <v>2476634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"08/29/2020 06:13:26.909"</f>
        <v>08/29/2020 06:13:26.909</v>
      </c>
      <c r="C552" t="str">
        <f t="shared" si="24"/>
        <v>FFDFD3C0</v>
      </c>
      <c r="D552" t="s">
        <v>128</v>
      </c>
      <c r="E552">
        <v>5</v>
      </c>
      <c r="H552">
        <v>241</v>
      </c>
      <c r="I552" t="s">
        <v>129</v>
      </c>
      <c r="J552" t="s">
        <v>130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"06:13:30.102"</f>
        <v>06:13:30.102</v>
      </c>
      <c r="T552" t="str">
        <f>"06:13:29.602"</f>
        <v>06:13:29.602</v>
      </c>
      <c r="U552" t="str">
        <f t="shared" si="25"/>
        <v>A7E2E0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486</v>
      </c>
      <c r="AJ552">
        <v>39.129052000000001</v>
      </c>
      <c r="AK552" t="s">
        <v>487</v>
      </c>
      <c r="AL552">
        <v>-87.480074999999999</v>
      </c>
      <c r="AM552">
        <v>100</v>
      </c>
      <c r="AN552">
        <v>2200</v>
      </c>
      <c r="AO552" t="s">
        <v>118</v>
      </c>
      <c r="AP552">
        <v>-25</v>
      </c>
      <c r="AQ552">
        <v>-137</v>
      </c>
      <c r="AR552">
        <v>832</v>
      </c>
      <c r="AZ552">
        <v>4552</v>
      </c>
      <c r="BA552">
        <v>1</v>
      </c>
      <c r="BB552" t="str">
        <f t="shared" si="26"/>
        <v xml:space="preserve">N607SR  </v>
      </c>
      <c r="BC552">
        <v>1</v>
      </c>
      <c r="BE552">
        <v>1</v>
      </c>
      <c r="BF552">
        <v>0</v>
      </c>
      <c r="BG552">
        <v>0</v>
      </c>
      <c r="BH552">
        <v>2025</v>
      </c>
      <c r="BI552">
        <v>1</v>
      </c>
      <c r="BJ552">
        <v>1</v>
      </c>
      <c r="BK552">
        <v>1</v>
      </c>
      <c r="BL552">
        <v>0</v>
      </c>
      <c r="BO552">
        <v>1</v>
      </c>
      <c r="BP552">
        <v>0</v>
      </c>
      <c r="BW552" t="str">
        <f>"06:13:30.106"</f>
        <v>06:13:30.106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457</v>
      </c>
      <c r="CR552">
        <v>0</v>
      </c>
      <c r="CW552">
        <v>15511925</v>
      </c>
      <c r="CY552">
        <v>1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"08/29/2020 06:13:26.909"</f>
        <v>08/29/2020 06:13:26.909</v>
      </c>
      <c r="C553" t="str">
        <f t="shared" si="24"/>
        <v>FFDFD3C0</v>
      </c>
      <c r="D553" t="s">
        <v>113</v>
      </c>
      <c r="E553">
        <v>5</v>
      </c>
      <c r="H553">
        <v>163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"06:13:30.102"</f>
        <v>06:13:30.102</v>
      </c>
      <c r="T553" t="str">
        <f>"06:13:29.602"</f>
        <v>06:13:29.602</v>
      </c>
      <c r="U553" t="str">
        <f t="shared" si="25"/>
        <v>A7E2E0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486</v>
      </c>
      <c r="AJ553">
        <v>39.129052000000001</v>
      </c>
      <c r="AK553" t="s">
        <v>487</v>
      </c>
      <c r="AL553">
        <v>-87.480074999999999</v>
      </c>
      <c r="AM553">
        <v>100</v>
      </c>
      <c r="AN553">
        <v>2200</v>
      </c>
      <c r="AO553" t="s">
        <v>118</v>
      </c>
      <c r="AP553">
        <v>-25</v>
      </c>
      <c r="AQ553">
        <v>-137</v>
      </c>
      <c r="AR553">
        <v>832</v>
      </c>
      <c r="AZ553">
        <v>4552</v>
      </c>
      <c r="BA553">
        <v>1</v>
      </c>
      <c r="BB553" t="str">
        <f t="shared" si="26"/>
        <v xml:space="preserve">N607SR  </v>
      </c>
      <c r="BC553">
        <v>1</v>
      </c>
      <c r="BE553">
        <v>1</v>
      </c>
      <c r="BF553">
        <v>0</v>
      </c>
      <c r="BG553">
        <v>0</v>
      </c>
      <c r="BH553">
        <v>2025</v>
      </c>
      <c r="BI553">
        <v>1</v>
      </c>
      <c r="BJ553">
        <v>1</v>
      </c>
      <c r="BK553">
        <v>1</v>
      </c>
      <c r="BL553">
        <v>0</v>
      </c>
      <c r="BO553">
        <v>1</v>
      </c>
      <c r="BP553">
        <v>0</v>
      </c>
      <c r="BW553" t="str">
        <f>"06:13:30.106"</f>
        <v>06:13:30.106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457</v>
      </c>
      <c r="CR553">
        <v>0</v>
      </c>
      <c r="CW553">
        <v>15511925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"08/29/2020 06:13:27.343"</f>
        <v>08/29/2020 06:13:27.343</v>
      </c>
      <c r="C554" t="str">
        <f t="shared" si="24"/>
        <v>FFDFD3C0</v>
      </c>
      <c r="D554" t="s">
        <v>121</v>
      </c>
      <c r="E554">
        <v>11</v>
      </c>
      <c r="F554">
        <v>1011</v>
      </c>
      <c r="G554" t="s">
        <v>125</v>
      </c>
      <c r="J554" t="s">
        <v>123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"06:13:30.555"</f>
        <v>06:13:30.555</v>
      </c>
      <c r="T554" t="str">
        <f>"06:13:30.155"</f>
        <v>06:13:30.155</v>
      </c>
      <c r="U554" t="str">
        <f t="shared" si="25"/>
        <v>A7E2E0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488</v>
      </c>
      <c r="AJ554">
        <v>39.128773000000002</v>
      </c>
      <c r="AK554" t="s">
        <v>489</v>
      </c>
      <c r="AL554">
        <v>-87.480140000000006</v>
      </c>
      <c r="AM554">
        <v>100</v>
      </c>
      <c r="AN554">
        <v>2300</v>
      </c>
      <c r="AO554" t="s">
        <v>118</v>
      </c>
      <c r="AP554">
        <v>-24</v>
      </c>
      <c r="AQ554">
        <v>-137</v>
      </c>
      <c r="AR554">
        <v>832</v>
      </c>
      <c r="AZ554">
        <v>4552</v>
      </c>
      <c r="BA554">
        <v>1</v>
      </c>
      <c r="BB554" t="str">
        <f t="shared" si="26"/>
        <v xml:space="preserve">N607SR  </v>
      </c>
      <c r="BC554">
        <v>1</v>
      </c>
      <c r="BE554">
        <v>1</v>
      </c>
      <c r="BF554">
        <v>0</v>
      </c>
      <c r="BG554">
        <v>0</v>
      </c>
      <c r="BH554">
        <v>2125</v>
      </c>
      <c r="BI554">
        <v>1</v>
      </c>
      <c r="BJ554">
        <v>1</v>
      </c>
      <c r="BK554">
        <v>1</v>
      </c>
      <c r="BL554">
        <v>0</v>
      </c>
      <c r="BO554">
        <v>1</v>
      </c>
      <c r="BP554">
        <v>0</v>
      </c>
      <c r="BW554" t="str">
        <f>"06:13:30.561"</f>
        <v>06:13:30.561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457</v>
      </c>
      <c r="CR554">
        <v>0</v>
      </c>
      <c r="CW554">
        <v>15511935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"08/29/2020 06:13:27.343"</f>
        <v>08/29/2020 06:13:27.343</v>
      </c>
      <c r="C555" t="str">
        <f t="shared" si="24"/>
        <v>FFDFD3C0</v>
      </c>
      <c r="D555" t="s">
        <v>121</v>
      </c>
      <c r="E555">
        <v>10</v>
      </c>
      <c r="F555">
        <v>1010</v>
      </c>
      <c r="G555" t="s">
        <v>114</v>
      </c>
      <c r="J555" t="s">
        <v>123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"06:13:30.555"</f>
        <v>06:13:30.555</v>
      </c>
      <c r="U555" t="str">
        <f t="shared" si="25"/>
        <v>A7E2E0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488</v>
      </c>
      <c r="AJ555">
        <v>39.128773000000002</v>
      </c>
      <c r="AK555" t="s">
        <v>489</v>
      </c>
      <c r="AL555">
        <v>-87.480140000000006</v>
      </c>
      <c r="AM555">
        <v>100</v>
      </c>
      <c r="AN555">
        <v>2300</v>
      </c>
      <c r="AO555" t="s">
        <v>118</v>
      </c>
      <c r="AP555">
        <v>-23</v>
      </c>
      <c r="AQ555">
        <v>-138</v>
      </c>
      <c r="AR555">
        <v>832</v>
      </c>
      <c r="AZ555">
        <v>4552</v>
      </c>
      <c r="BA555">
        <v>1</v>
      </c>
      <c r="BB555" t="str">
        <f t="shared" si="26"/>
        <v xml:space="preserve">N607SR  </v>
      </c>
      <c r="BC555">
        <v>1</v>
      </c>
      <c r="BE555">
        <v>1</v>
      </c>
      <c r="BF555">
        <v>0</v>
      </c>
      <c r="BG555">
        <v>0</v>
      </c>
      <c r="BH555">
        <v>2025</v>
      </c>
      <c r="BI555">
        <v>1</v>
      </c>
      <c r="BJ555">
        <v>1</v>
      </c>
      <c r="BK555">
        <v>1</v>
      </c>
      <c r="BL555">
        <v>0</v>
      </c>
      <c r="BO555">
        <v>1</v>
      </c>
      <c r="BP555">
        <v>0</v>
      </c>
      <c r="BW555" t="str">
        <f>"06:13:30.562"</f>
        <v>06:13:30.562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5</v>
      </c>
      <c r="CP555" t="s">
        <v>119</v>
      </c>
      <c r="CQ555">
        <v>465</v>
      </c>
      <c r="CR555">
        <v>0</v>
      </c>
      <c r="CW555">
        <v>4715569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"08/29/2020 06:13:27.343"</f>
        <v>08/29/2020 06:13:27.343</v>
      </c>
      <c r="C556" t="str">
        <f t="shared" si="24"/>
        <v>FFDFD3C0</v>
      </c>
      <c r="D556" t="s">
        <v>121</v>
      </c>
      <c r="E556">
        <v>13</v>
      </c>
      <c r="F556">
        <v>1013</v>
      </c>
      <c r="G556" t="s">
        <v>122</v>
      </c>
      <c r="J556" t="s">
        <v>123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"06:13:30.555"</f>
        <v>06:13:30.555</v>
      </c>
      <c r="U556" t="str">
        <f t="shared" si="25"/>
        <v>A7E2E0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488</v>
      </c>
      <c r="AJ556">
        <v>39.128773000000002</v>
      </c>
      <c r="AK556" t="s">
        <v>489</v>
      </c>
      <c r="AL556">
        <v>-87.480140000000006</v>
      </c>
      <c r="AM556">
        <v>100</v>
      </c>
      <c r="AN556">
        <v>2300</v>
      </c>
      <c r="AO556" t="s">
        <v>118</v>
      </c>
      <c r="AP556">
        <v>-23</v>
      </c>
      <c r="AQ556">
        <v>-138</v>
      </c>
      <c r="AR556">
        <v>832</v>
      </c>
      <c r="AZ556">
        <v>4552</v>
      </c>
      <c r="BA556">
        <v>1</v>
      </c>
      <c r="BB556" t="str">
        <f t="shared" si="26"/>
        <v xml:space="preserve">N607SR  </v>
      </c>
      <c r="BC556">
        <v>1</v>
      </c>
      <c r="BE556">
        <v>1</v>
      </c>
      <c r="BF556">
        <v>0</v>
      </c>
      <c r="BG556">
        <v>0</v>
      </c>
      <c r="BH556">
        <v>2025</v>
      </c>
      <c r="BI556">
        <v>1</v>
      </c>
      <c r="BJ556">
        <v>1</v>
      </c>
      <c r="BK556">
        <v>1</v>
      </c>
      <c r="BL556">
        <v>0</v>
      </c>
      <c r="BO556">
        <v>1</v>
      </c>
      <c r="BP556">
        <v>0</v>
      </c>
      <c r="BW556" t="str">
        <f>"06:13:30.562"</f>
        <v>06:13:30.562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5</v>
      </c>
      <c r="CP556" t="s">
        <v>119</v>
      </c>
      <c r="CQ556">
        <v>465</v>
      </c>
      <c r="CR556">
        <v>0</v>
      </c>
      <c r="CW556">
        <v>4715569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"08/29/2020 06:13:27.873"</f>
        <v>08/29/2020 06:13:27.873</v>
      </c>
      <c r="C557" t="str">
        <f t="shared" si="24"/>
        <v>FFDFD3C0</v>
      </c>
      <c r="D557" t="s">
        <v>128</v>
      </c>
      <c r="E557">
        <v>5</v>
      </c>
      <c r="H557">
        <v>241</v>
      </c>
      <c r="I557" t="s">
        <v>129</v>
      </c>
      <c r="J557" t="s">
        <v>130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"06:13:31.094"</f>
        <v>06:13:31.094</v>
      </c>
      <c r="T557" t="str">
        <f>"06:13:30.594"</f>
        <v>06:13:30.594</v>
      </c>
      <c r="U557" t="str">
        <f t="shared" si="25"/>
        <v>A7E2E0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198</v>
      </c>
      <c r="AJ557">
        <v>39.128408</v>
      </c>
      <c r="AK557" t="s">
        <v>490</v>
      </c>
      <c r="AL557">
        <v>-87.480247000000006</v>
      </c>
      <c r="AM557">
        <v>100</v>
      </c>
      <c r="AN557">
        <v>2300</v>
      </c>
      <c r="AO557" t="s">
        <v>118</v>
      </c>
      <c r="AP557">
        <v>-23</v>
      </c>
      <c r="AQ557">
        <v>-138</v>
      </c>
      <c r="AR557">
        <v>832</v>
      </c>
      <c r="AZ557">
        <v>4552</v>
      </c>
      <c r="BA557">
        <v>1</v>
      </c>
      <c r="BB557" t="str">
        <f t="shared" si="26"/>
        <v xml:space="preserve">N607SR  </v>
      </c>
      <c r="BC557">
        <v>1</v>
      </c>
      <c r="BE557">
        <v>1</v>
      </c>
      <c r="BF557">
        <v>0</v>
      </c>
      <c r="BG557">
        <v>0</v>
      </c>
      <c r="BH557">
        <v>2025</v>
      </c>
      <c r="BI557">
        <v>1</v>
      </c>
      <c r="BJ557">
        <v>1</v>
      </c>
      <c r="BK557">
        <v>1</v>
      </c>
      <c r="BL557">
        <v>0</v>
      </c>
      <c r="BO557">
        <v>1</v>
      </c>
      <c r="BP557">
        <v>0</v>
      </c>
      <c r="BW557" t="str">
        <f>"06:13:31.099"</f>
        <v>06:13:31.099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457</v>
      </c>
      <c r="CR557">
        <v>0</v>
      </c>
      <c r="CW557">
        <v>15511950</v>
      </c>
      <c r="CY557">
        <v>1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"08/29/2020 06:13:27.873"</f>
        <v>08/29/2020 06:13:27.873</v>
      </c>
      <c r="C558" t="str">
        <f t="shared" si="24"/>
        <v>FFDFD3C0</v>
      </c>
      <c r="D558" t="s">
        <v>113</v>
      </c>
      <c r="E558">
        <v>5</v>
      </c>
      <c r="H558">
        <v>163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"06:13:31.094"</f>
        <v>06:13:31.094</v>
      </c>
      <c r="T558" t="str">
        <f>"06:13:30.594"</f>
        <v>06:13:30.594</v>
      </c>
      <c r="U558" t="str">
        <f t="shared" si="25"/>
        <v>A7E2E0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198</v>
      </c>
      <c r="AJ558">
        <v>39.128408</v>
      </c>
      <c r="AK558" t="s">
        <v>490</v>
      </c>
      <c r="AL558">
        <v>-87.480247000000006</v>
      </c>
      <c r="AM558">
        <v>100</v>
      </c>
      <c r="AN558">
        <v>2300</v>
      </c>
      <c r="AO558" t="s">
        <v>118</v>
      </c>
      <c r="AP558">
        <v>-23</v>
      </c>
      <c r="AQ558">
        <v>-138</v>
      </c>
      <c r="AR558">
        <v>832</v>
      </c>
      <c r="AZ558">
        <v>4552</v>
      </c>
      <c r="BA558">
        <v>1</v>
      </c>
      <c r="BB558" t="str">
        <f t="shared" si="26"/>
        <v xml:space="preserve">N607SR  </v>
      </c>
      <c r="BC558">
        <v>1</v>
      </c>
      <c r="BE558">
        <v>1</v>
      </c>
      <c r="BF558">
        <v>0</v>
      </c>
      <c r="BG558">
        <v>0</v>
      </c>
      <c r="BH558">
        <v>2025</v>
      </c>
      <c r="BI558">
        <v>1</v>
      </c>
      <c r="BJ558">
        <v>1</v>
      </c>
      <c r="BK558">
        <v>1</v>
      </c>
      <c r="BL558">
        <v>0</v>
      </c>
      <c r="BO558">
        <v>1</v>
      </c>
      <c r="BP558">
        <v>0</v>
      </c>
      <c r="BW558" t="str">
        <f>"06:13:31.099"</f>
        <v>06:13:31.099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457</v>
      </c>
      <c r="CR558">
        <v>0</v>
      </c>
      <c r="CW558">
        <v>15511950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"08/29/2020 06:13:28.358"</f>
        <v>08/29/2020 06:13:28.358</v>
      </c>
      <c r="C559" t="str">
        <f t="shared" si="24"/>
        <v>FFDFD3C0</v>
      </c>
      <c r="D559" t="s">
        <v>121</v>
      </c>
      <c r="E559">
        <v>11</v>
      </c>
      <c r="F559">
        <v>1011</v>
      </c>
      <c r="G559" t="s">
        <v>125</v>
      </c>
      <c r="J559" t="s">
        <v>123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"06:13:31.578"</f>
        <v>06:13:31.578</v>
      </c>
      <c r="T559" t="str">
        <f>"06:13:31.178"</f>
        <v>06:13:31.178</v>
      </c>
      <c r="U559" t="str">
        <f t="shared" si="25"/>
        <v>A7E2E0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491</v>
      </c>
      <c r="AJ559">
        <v>39.128129000000001</v>
      </c>
      <c r="AK559" t="s">
        <v>490</v>
      </c>
      <c r="AL559">
        <v>-87.480247000000006</v>
      </c>
      <c r="AM559">
        <v>100</v>
      </c>
      <c r="AN559">
        <v>2300</v>
      </c>
      <c r="AO559" t="s">
        <v>118</v>
      </c>
      <c r="AP559">
        <v>-21</v>
      </c>
      <c r="AQ559">
        <v>-138</v>
      </c>
      <c r="AR559">
        <v>832</v>
      </c>
      <c r="AZ559">
        <v>4552</v>
      </c>
      <c r="BA559">
        <v>1</v>
      </c>
      <c r="BB559" t="str">
        <f t="shared" si="26"/>
        <v xml:space="preserve">N607SR  </v>
      </c>
      <c r="BC559">
        <v>1</v>
      </c>
      <c r="BE559">
        <v>1</v>
      </c>
      <c r="BF559">
        <v>0</v>
      </c>
      <c r="BG559">
        <v>0</v>
      </c>
      <c r="BH559">
        <v>2050</v>
      </c>
      <c r="BI559">
        <v>1</v>
      </c>
      <c r="BJ559">
        <v>1</v>
      </c>
      <c r="BK559">
        <v>1</v>
      </c>
      <c r="BL559">
        <v>0</v>
      </c>
      <c r="BO559">
        <v>1</v>
      </c>
      <c r="BP559">
        <v>0</v>
      </c>
      <c r="BW559" t="str">
        <f>"06:13:31.585"</f>
        <v>06:13:31.585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457</v>
      </c>
      <c r="CR559">
        <v>0</v>
      </c>
      <c r="CW559">
        <v>15511962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"08/29/2020 06:13:28.358"</f>
        <v>08/29/2020 06:13:28.358</v>
      </c>
      <c r="C560" t="str">
        <f t="shared" si="24"/>
        <v>FFDFD3C0</v>
      </c>
      <c r="D560" t="s">
        <v>121</v>
      </c>
      <c r="E560">
        <v>10</v>
      </c>
      <c r="F560">
        <v>1010</v>
      </c>
      <c r="G560" t="s">
        <v>114</v>
      </c>
      <c r="J560" t="s">
        <v>123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"06:13:31.578"</f>
        <v>06:13:31.578</v>
      </c>
      <c r="T560" t="str">
        <f>"06:13:31.178"</f>
        <v>06:13:31.178</v>
      </c>
      <c r="U560" t="str">
        <f t="shared" si="25"/>
        <v>A7E2E0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491</v>
      </c>
      <c r="AJ560">
        <v>39.128129000000001</v>
      </c>
      <c r="AK560" t="s">
        <v>490</v>
      </c>
      <c r="AL560">
        <v>-87.480247000000006</v>
      </c>
      <c r="AM560">
        <v>100</v>
      </c>
      <c r="AN560">
        <v>2300</v>
      </c>
      <c r="AO560" t="s">
        <v>118</v>
      </c>
      <c r="AP560">
        <v>-21</v>
      </c>
      <c r="AQ560">
        <v>-138</v>
      </c>
      <c r="AR560">
        <v>832</v>
      </c>
      <c r="AZ560">
        <v>4552</v>
      </c>
      <c r="BA560">
        <v>1</v>
      </c>
      <c r="BB560" t="str">
        <f t="shared" si="26"/>
        <v xml:space="preserve">N607SR  </v>
      </c>
      <c r="BC560">
        <v>1</v>
      </c>
      <c r="BE560">
        <v>1</v>
      </c>
      <c r="BF560">
        <v>0</v>
      </c>
      <c r="BG560">
        <v>0</v>
      </c>
      <c r="BH560">
        <v>2050</v>
      </c>
      <c r="BI560">
        <v>1</v>
      </c>
      <c r="BJ560">
        <v>1</v>
      </c>
      <c r="BK560">
        <v>1</v>
      </c>
      <c r="BL560">
        <v>0</v>
      </c>
      <c r="BO560">
        <v>1</v>
      </c>
      <c r="BP560">
        <v>0</v>
      </c>
      <c r="BW560" t="str">
        <f>"06:13:31.585"</f>
        <v>06:13:31.585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457</v>
      </c>
      <c r="CR560">
        <v>0</v>
      </c>
      <c r="CW560">
        <v>15511962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"08/29/2020 06:13:28.358"</f>
        <v>08/29/2020 06:13:28.358</v>
      </c>
      <c r="C561" t="str">
        <f t="shared" si="24"/>
        <v>FFDFD3C0</v>
      </c>
      <c r="D561" t="s">
        <v>121</v>
      </c>
      <c r="E561">
        <v>13</v>
      </c>
      <c r="F561">
        <v>1013</v>
      </c>
      <c r="G561" t="s">
        <v>122</v>
      </c>
      <c r="J561" t="s">
        <v>123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"06:13:31.578"</f>
        <v>06:13:31.578</v>
      </c>
      <c r="T561" t="str">
        <f>"06:13:31.178"</f>
        <v>06:13:31.178</v>
      </c>
      <c r="U561" t="str">
        <f t="shared" si="25"/>
        <v>A7E2E0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491</v>
      </c>
      <c r="AJ561">
        <v>39.128129000000001</v>
      </c>
      <c r="AK561" t="s">
        <v>490</v>
      </c>
      <c r="AL561">
        <v>-87.480247000000006</v>
      </c>
      <c r="AM561">
        <v>100</v>
      </c>
      <c r="AN561">
        <v>2300</v>
      </c>
      <c r="AO561" t="s">
        <v>118</v>
      </c>
      <c r="AP561">
        <v>-21</v>
      </c>
      <c r="AQ561">
        <v>-138</v>
      </c>
      <c r="AR561">
        <v>832</v>
      </c>
      <c r="AZ561">
        <v>4552</v>
      </c>
      <c r="BA561">
        <v>1</v>
      </c>
      <c r="BB561" t="str">
        <f t="shared" si="26"/>
        <v xml:space="preserve">N607SR  </v>
      </c>
      <c r="BC561">
        <v>1</v>
      </c>
      <c r="BE561">
        <v>1</v>
      </c>
      <c r="BF561">
        <v>0</v>
      </c>
      <c r="BG561">
        <v>0</v>
      </c>
      <c r="BH561">
        <v>2050</v>
      </c>
      <c r="BI561">
        <v>1</v>
      </c>
      <c r="BJ561">
        <v>1</v>
      </c>
      <c r="BK561">
        <v>1</v>
      </c>
      <c r="BL561">
        <v>0</v>
      </c>
      <c r="BO561">
        <v>1</v>
      </c>
      <c r="BP561">
        <v>0</v>
      </c>
      <c r="BW561" t="str">
        <f>"06:13:31.585"</f>
        <v>06:13:31.585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457</v>
      </c>
      <c r="CR561">
        <v>0</v>
      </c>
      <c r="CW561">
        <v>15511962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"08/29/2020 06:13:28.838"</f>
        <v>08/29/2020 06:13:28.838</v>
      </c>
      <c r="C562" t="str">
        <f t="shared" si="24"/>
        <v>FFDFD3C0</v>
      </c>
      <c r="D562" t="s">
        <v>128</v>
      </c>
      <c r="E562">
        <v>5</v>
      </c>
      <c r="H562">
        <v>241</v>
      </c>
      <c r="I562" t="s">
        <v>129</v>
      </c>
      <c r="J562" t="s">
        <v>130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"06:13:32.047"</f>
        <v>06:13:32.047</v>
      </c>
      <c r="T562" t="str">
        <f>"06:13:31.647"</f>
        <v>06:13:31.647</v>
      </c>
      <c r="U562" t="str">
        <f t="shared" si="25"/>
        <v>A7E2E0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492</v>
      </c>
      <c r="AJ562">
        <v>39.127808000000002</v>
      </c>
      <c r="AK562" t="s">
        <v>493</v>
      </c>
      <c r="AL562">
        <v>-87.480354000000005</v>
      </c>
      <c r="AM562">
        <v>100</v>
      </c>
      <c r="AN562">
        <v>2300</v>
      </c>
      <c r="AO562" t="s">
        <v>118</v>
      </c>
      <c r="AP562">
        <v>-20</v>
      </c>
      <c r="AQ562">
        <v>-138</v>
      </c>
      <c r="AR562">
        <v>896</v>
      </c>
      <c r="AZ562">
        <v>4552</v>
      </c>
      <c r="BA562">
        <v>1</v>
      </c>
      <c r="BB562" t="str">
        <f t="shared" si="26"/>
        <v xml:space="preserve">N607SR  </v>
      </c>
      <c r="BC562">
        <v>1</v>
      </c>
      <c r="BE562">
        <v>0</v>
      </c>
      <c r="BF562">
        <v>0</v>
      </c>
      <c r="BG562">
        <v>0</v>
      </c>
      <c r="BH562">
        <v>2050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"06:13:32.054"</f>
        <v>06:13:32.054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457</v>
      </c>
      <c r="CR562">
        <v>0</v>
      </c>
      <c r="CW562">
        <v>15511977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"08/29/2020 06:13:28.838"</f>
        <v>08/29/2020 06:13:28.838</v>
      </c>
      <c r="C563" t="str">
        <f t="shared" si="24"/>
        <v>FFDFD3C0</v>
      </c>
      <c r="D563" t="s">
        <v>113</v>
      </c>
      <c r="E563">
        <v>5</v>
      </c>
      <c r="H563">
        <v>163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"06:13:32.047"</f>
        <v>06:13:32.047</v>
      </c>
      <c r="T563" t="str">
        <f>"06:13:31.647"</f>
        <v>06:13:31.647</v>
      </c>
      <c r="U563" t="str">
        <f t="shared" si="25"/>
        <v>A7E2E0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492</v>
      </c>
      <c r="AJ563">
        <v>39.127808000000002</v>
      </c>
      <c r="AK563" t="s">
        <v>493</v>
      </c>
      <c r="AL563">
        <v>-87.480354000000005</v>
      </c>
      <c r="AM563">
        <v>100</v>
      </c>
      <c r="AN563">
        <v>2300</v>
      </c>
      <c r="AO563" t="s">
        <v>118</v>
      </c>
      <c r="AP563">
        <v>-20</v>
      </c>
      <c r="AQ563">
        <v>-138</v>
      </c>
      <c r="AR563">
        <v>896</v>
      </c>
      <c r="AZ563">
        <v>4552</v>
      </c>
      <c r="BA563">
        <v>1</v>
      </c>
      <c r="BB563" t="str">
        <f t="shared" si="26"/>
        <v xml:space="preserve">N607SR  </v>
      </c>
      <c r="BC563">
        <v>1</v>
      </c>
      <c r="BE563">
        <v>0</v>
      </c>
      <c r="BF563">
        <v>0</v>
      </c>
      <c r="BG563">
        <v>0</v>
      </c>
      <c r="BH563">
        <v>2050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"06:13:32.054"</f>
        <v>06:13:32.054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457</v>
      </c>
      <c r="CR563">
        <v>0</v>
      </c>
      <c r="CW563">
        <v>15511977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"08/29/2020 06:13:29.421"</f>
        <v>08/29/2020 06:13:29.421</v>
      </c>
      <c r="C564" t="str">
        <f t="shared" si="24"/>
        <v>FFDFD3C0</v>
      </c>
      <c r="D564" t="s">
        <v>121</v>
      </c>
      <c r="E564">
        <v>11</v>
      </c>
      <c r="F564">
        <v>1011</v>
      </c>
      <c r="G564" t="s">
        <v>125</v>
      </c>
      <c r="J564" t="s">
        <v>123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"06:13:32.609"</f>
        <v>06:13:32.609</v>
      </c>
      <c r="T564" t="str">
        <f>"06:13:32.109"</f>
        <v>06:13:32.109</v>
      </c>
      <c r="U564" t="str">
        <f t="shared" si="25"/>
        <v>A7E2E0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494</v>
      </c>
      <c r="AJ564">
        <v>39.127443</v>
      </c>
      <c r="AK564" t="s">
        <v>495</v>
      </c>
      <c r="AL564">
        <v>-87.480396999999996</v>
      </c>
      <c r="AM564">
        <v>100</v>
      </c>
      <c r="AN564">
        <v>2300</v>
      </c>
      <c r="AO564" t="s">
        <v>118</v>
      </c>
      <c r="AP564">
        <v>-18</v>
      </c>
      <c r="AQ564">
        <v>-139</v>
      </c>
      <c r="AR564">
        <v>832</v>
      </c>
      <c r="AZ564">
        <v>4552</v>
      </c>
      <c r="BA564">
        <v>1</v>
      </c>
      <c r="BB564" t="str">
        <f t="shared" si="26"/>
        <v xml:space="preserve">N607SR  </v>
      </c>
      <c r="BC564">
        <v>1</v>
      </c>
      <c r="BE564">
        <v>0</v>
      </c>
      <c r="BF564">
        <v>0</v>
      </c>
      <c r="BG564">
        <v>0</v>
      </c>
      <c r="BH564">
        <v>2050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"06:13:32.613"</f>
        <v>06:13:32.613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5</v>
      </c>
      <c r="CP564" t="s">
        <v>119</v>
      </c>
      <c r="CQ564">
        <v>457</v>
      </c>
      <c r="CR564">
        <v>0</v>
      </c>
      <c r="CW564">
        <v>15511989</v>
      </c>
      <c r="CY564">
        <v>1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"08/29/2020 06:13:29.421"</f>
        <v>08/29/2020 06:13:29.421</v>
      </c>
      <c r="C565" t="str">
        <f t="shared" si="24"/>
        <v>FFDFD3C0</v>
      </c>
      <c r="D565" t="s">
        <v>121</v>
      </c>
      <c r="E565">
        <v>10</v>
      </c>
      <c r="F565">
        <v>1010</v>
      </c>
      <c r="G565" t="s">
        <v>114</v>
      </c>
      <c r="J565" t="s">
        <v>123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"06:13:32.609"</f>
        <v>06:13:32.609</v>
      </c>
      <c r="U565" t="str">
        <f t="shared" si="25"/>
        <v>A7E2E0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494</v>
      </c>
      <c r="AJ565">
        <v>39.127443</v>
      </c>
      <c r="AK565" t="s">
        <v>495</v>
      </c>
      <c r="AL565">
        <v>-87.480396999999996</v>
      </c>
      <c r="AM565">
        <v>100</v>
      </c>
      <c r="AN565">
        <v>2300</v>
      </c>
      <c r="AO565" t="s">
        <v>118</v>
      </c>
      <c r="AP565">
        <v>-17</v>
      </c>
      <c r="AQ565">
        <v>-139</v>
      </c>
      <c r="AR565">
        <v>896</v>
      </c>
      <c r="AZ565">
        <v>4552</v>
      </c>
      <c r="BA565">
        <v>1</v>
      </c>
      <c r="BB565" t="str">
        <f t="shared" si="26"/>
        <v xml:space="preserve">N607SR  </v>
      </c>
      <c r="BC565">
        <v>1</v>
      </c>
      <c r="BE565">
        <v>0</v>
      </c>
      <c r="BF565">
        <v>0</v>
      </c>
      <c r="BG565">
        <v>0</v>
      </c>
      <c r="BH565">
        <v>2050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"06:13:32.613"</f>
        <v>06:13:32.613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4</v>
      </c>
      <c r="CP565" t="s">
        <v>119</v>
      </c>
      <c r="CQ565">
        <v>517</v>
      </c>
      <c r="CR565">
        <v>1</v>
      </c>
      <c r="CW565">
        <v>2476729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"08/29/2020 06:13:29.421"</f>
        <v>08/29/2020 06:13:29.421</v>
      </c>
      <c r="C566" t="str">
        <f t="shared" si="24"/>
        <v>FFDFD3C0</v>
      </c>
      <c r="D566" t="s">
        <v>121</v>
      </c>
      <c r="E566">
        <v>13</v>
      </c>
      <c r="F566">
        <v>1013</v>
      </c>
      <c r="G566" t="s">
        <v>122</v>
      </c>
      <c r="J566" t="s">
        <v>123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"06:13:32.609"</f>
        <v>06:13:32.609</v>
      </c>
      <c r="U566" t="str">
        <f t="shared" si="25"/>
        <v>A7E2E0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494</v>
      </c>
      <c r="AJ566">
        <v>39.127443</v>
      </c>
      <c r="AK566" t="s">
        <v>495</v>
      </c>
      <c r="AL566">
        <v>-87.480396999999996</v>
      </c>
      <c r="AM566">
        <v>100</v>
      </c>
      <c r="AN566">
        <v>2300</v>
      </c>
      <c r="AO566" t="s">
        <v>118</v>
      </c>
      <c r="AP566">
        <v>-17</v>
      </c>
      <c r="AQ566">
        <v>-139</v>
      </c>
      <c r="AR566">
        <v>896</v>
      </c>
      <c r="AZ566">
        <v>4552</v>
      </c>
      <c r="BA566">
        <v>1</v>
      </c>
      <c r="BB566" t="str">
        <f t="shared" si="26"/>
        <v xml:space="preserve">N607SR  </v>
      </c>
      <c r="BC566">
        <v>1</v>
      </c>
      <c r="BE566">
        <v>0</v>
      </c>
      <c r="BF566">
        <v>0</v>
      </c>
      <c r="BG566">
        <v>0</v>
      </c>
      <c r="BH566">
        <v>2050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"06:13:32.613"</f>
        <v>06:13:32.613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4</v>
      </c>
      <c r="CP566" t="s">
        <v>119</v>
      </c>
      <c r="CQ566">
        <v>517</v>
      </c>
      <c r="CR566">
        <v>1</v>
      </c>
      <c r="CW566">
        <v>2476729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"08/29/2020 06:13:29.955"</f>
        <v>08/29/2020 06:13:29.955</v>
      </c>
      <c r="C567" t="str">
        <f t="shared" si="24"/>
        <v>FFDFD3C0</v>
      </c>
      <c r="D567" t="s">
        <v>128</v>
      </c>
      <c r="E567">
        <v>5</v>
      </c>
      <c r="H567">
        <v>241</v>
      </c>
      <c r="I567" t="s">
        <v>129</v>
      </c>
      <c r="J567" t="s">
        <v>130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"06:13:33.172"</f>
        <v>06:13:33.172</v>
      </c>
      <c r="T567" t="str">
        <f>"06:13:32.672"</f>
        <v>06:13:32.672</v>
      </c>
      <c r="U567" t="str">
        <f t="shared" si="25"/>
        <v>A7E2E0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192</v>
      </c>
      <c r="AJ567">
        <v>39.127121000000002</v>
      </c>
      <c r="AK567" t="s">
        <v>496</v>
      </c>
      <c r="AL567">
        <v>-87.480418999999998</v>
      </c>
      <c r="AM567">
        <v>100</v>
      </c>
      <c r="AN567">
        <v>2300</v>
      </c>
      <c r="AO567" t="s">
        <v>118</v>
      </c>
      <c r="AP567">
        <v>-17</v>
      </c>
      <c r="AQ567">
        <v>-139</v>
      </c>
      <c r="AR567">
        <v>896</v>
      </c>
      <c r="AZ567">
        <v>4552</v>
      </c>
      <c r="BA567">
        <v>1</v>
      </c>
      <c r="BB567" t="str">
        <f t="shared" si="26"/>
        <v xml:space="preserve">N607SR  </v>
      </c>
      <c r="BC567">
        <v>1</v>
      </c>
      <c r="BE567">
        <v>0</v>
      </c>
      <c r="BF567">
        <v>0</v>
      </c>
      <c r="BG567">
        <v>0</v>
      </c>
      <c r="BH567">
        <v>2050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"06:13:33.176"</f>
        <v>06:13:33.176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5</v>
      </c>
      <c r="CP567" t="s">
        <v>119</v>
      </c>
      <c r="CQ567">
        <v>177</v>
      </c>
      <c r="CR567">
        <v>2</v>
      </c>
      <c r="CW567">
        <v>1617664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"08/29/2020 06:13:29.955"</f>
        <v>08/29/2020 06:13:29.955</v>
      </c>
      <c r="C568" t="str">
        <f t="shared" si="24"/>
        <v>FFDFD3C0</v>
      </c>
      <c r="D568" t="s">
        <v>113</v>
      </c>
      <c r="E568">
        <v>5</v>
      </c>
      <c r="H568">
        <v>163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"06:13:33.172"</f>
        <v>06:13:33.172</v>
      </c>
      <c r="T568" t="str">
        <f>"06:13:32.672"</f>
        <v>06:13:32.672</v>
      </c>
      <c r="U568" t="str">
        <f t="shared" si="25"/>
        <v>A7E2E0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192</v>
      </c>
      <c r="AJ568">
        <v>39.127121000000002</v>
      </c>
      <c r="AK568" t="s">
        <v>496</v>
      </c>
      <c r="AL568">
        <v>-87.480418999999998</v>
      </c>
      <c r="AM568">
        <v>100</v>
      </c>
      <c r="AN568">
        <v>2300</v>
      </c>
      <c r="AO568" t="s">
        <v>118</v>
      </c>
      <c r="AP568">
        <v>-17</v>
      </c>
      <c r="AQ568">
        <v>-139</v>
      </c>
      <c r="AR568">
        <v>896</v>
      </c>
      <c r="AZ568">
        <v>4552</v>
      </c>
      <c r="BA568">
        <v>1</v>
      </c>
      <c r="BB568" t="str">
        <f t="shared" si="26"/>
        <v xml:space="preserve">N607SR  </v>
      </c>
      <c r="BC568">
        <v>1</v>
      </c>
      <c r="BE568">
        <v>0</v>
      </c>
      <c r="BF568">
        <v>0</v>
      </c>
      <c r="BG568">
        <v>0</v>
      </c>
      <c r="BH568">
        <v>2050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"06:13:33.176"</f>
        <v>06:13:33.176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5</v>
      </c>
      <c r="CP568" t="s">
        <v>119</v>
      </c>
      <c r="CQ568">
        <v>177</v>
      </c>
      <c r="CR568">
        <v>2</v>
      </c>
      <c r="CW568">
        <v>1617664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"08/29/2020 06:13:30.385"</f>
        <v>08/29/2020 06:13:30.385</v>
      </c>
      <c r="C569" t="str">
        <f t="shared" si="24"/>
        <v>FFDFD3C0</v>
      </c>
      <c r="D569" t="s">
        <v>121</v>
      </c>
      <c r="E569">
        <v>10</v>
      </c>
      <c r="F569">
        <v>1010</v>
      </c>
      <c r="G569" t="s">
        <v>114</v>
      </c>
      <c r="J569" t="s">
        <v>123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"06:13:33.609"</f>
        <v>06:13:33.609</v>
      </c>
      <c r="T569" t="str">
        <f>"06:13:33.209"</f>
        <v>06:13:33.209</v>
      </c>
      <c r="U569" t="str">
        <f t="shared" si="25"/>
        <v>A7E2E0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497</v>
      </c>
      <c r="AJ569">
        <v>39.126778000000002</v>
      </c>
      <c r="AK569" t="s">
        <v>498</v>
      </c>
      <c r="AL569">
        <v>-87.480462000000003</v>
      </c>
      <c r="AM569">
        <v>100</v>
      </c>
      <c r="AN569">
        <v>2300</v>
      </c>
      <c r="AO569" t="s">
        <v>118</v>
      </c>
      <c r="AP569">
        <v>-16</v>
      </c>
      <c r="AQ569">
        <v>-139</v>
      </c>
      <c r="AR569">
        <v>896</v>
      </c>
      <c r="AZ569">
        <v>4552</v>
      </c>
      <c r="BA569">
        <v>1</v>
      </c>
      <c r="BB569" t="str">
        <f t="shared" si="26"/>
        <v xml:space="preserve">N607SR  </v>
      </c>
      <c r="BC569">
        <v>1</v>
      </c>
      <c r="BE569">
        <v>0</v>
      </c>
      <c r="BF569">
        <v>0</v>
      </c>
      <c r="BG569">
        <v>0</v>
      </c>
      <c r="BH569">
        <v>2075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"06:13:33.614"</f>
        <v>06:13:33.614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5</v>
      </c>
      <c r="CP569" t="s">
        <v>119</v>
      </c>
      <c r="CQ569">
        <v>517</v>
      </c>
      <c r="CR569">
        <v>1</v>
      </c>
      <c r="CW569">
        <v>2476755</v>
      </c>
      <c r="CY569">
        <v>1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"08/29/2020 06:13:30.385"</f>
        <v>08/29/2020 06:13:30.385</v>
      </c>
      <c r="C570" t="str">
        <f t="shared" si="24"/>
        <v>FFDFD3C0</v>
      </c>
      <c r="D570" t="s">
        <v>121</v>
      </c>
      <c r="E570">
        <v>11</v>
      </c>
      <c r="F570">
        <v>1011</v>
      </c>
      <c r="G570" t="s">
        <v>125</v>
      </c>
      <c r="J570" t="s">
        <v>123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"06:13:33.609"</f>
        <v>06:13:33.609</v>
      </c>
      <c r="T570" t="str">
        <f>"06:13:33.209"</f>
        <v>06:13:33.209</v>
      </c>
      <c r="U570" t="str">
        <f t="shared" si="25"/>
        <v>A7E2E0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497</v>
      </c>
      <c r="AJ570">
        <v>39.126778000000002</v>
      </c>
      <c r="AK570" t="s">
        <v>498</v>
      </c>
      <c r="AL570">
        <v>-87.480462000000003</v>
      </c>
      <c r="AM570">
        <v>100</v>
      </c>
      <c r="AN570">
        <v>2300</v>
      </c>
      <c r="AO570" t="s">
        <v>118</v>
      </c>
      <c r="AP570">
        <v>-16</v>
      </c>
      <c r="AQ570">
        <v>-139</v>
      </c>
      <c r="AR570">
        <v>896</v>
      </c>
      <c r="AZ570">
        <v>4552</v>
      </c>
      <c r="BA570">
        <v>1</v>
      </c>
      <c r="BB570" t="str">
        <f t="shared" si="26"/>
        <v xml:space="preserve">N607SR  </v>
      </c>
      <c r="BC570">
        <v>1</v>
      </c>
      <c r="BE570">
        <v>0</v>
      </c>
      <c r="BF570">
        <v>0</v>
      </c>
      <c r="BG570">
        <v>0</v>
      </c>
      <c r="BH570">
        <v>2075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"06:13:33.614"</f>
        <v>06:13:33.614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5</v>
      </c>
      <c r="CP570" t="s">
        <v>119</v>
      </c>
      <c r="CQ570">
        <v>177</v>
      </c>
      <c r="CR570">
        <v>2</v>
      </c>
      <c r="CW570">
        <v>1617745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"08/29/2020 06:13:30.385"</f>
        <v>08/29/2020 06:13:30.385</v>
      </c>
      <c r="C571" t="str">
        <f t="shared" si="24"/>
        <v>FFDFD3C0</v>
      </c>
      <c r="D571" t="s">
        <v>121</v>
      </c>
      <c r="E571">
        <v>13</v>
      </c>
      <c r="F571">
        <v>1013</v>
      </c>
      <c r="G571" t="s">
        <v>122</v>
      </c>
      <c r="J571" t="s">
        <v>123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"06:13:33.609"</f>
        <v>06:13:33.609</v>
      </c>
      <c r="T571" t="str">
        <f>"06:13:33.209"</f>
        <v>06:13:33.209</v>
      </c>
      <c r="U571" t="str">
        <f t="shared" si="25"/>
        <v>A7E2E0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497</v>
      </c>
      <c r="AJ571">
        <v>39.126778000000002</v>
      </c>
      <c r="AK571" t="s">
        <v>498</v>
      </c>
      <c r="AL571">
        <v>-87.480462000000003</v>
      </c>
      <c r="AM571">
        <v>100</v>
      </c>
      <c r="AN571">
        <v>2300</v>
      </c>
      <c r="AO571" t="s">
        <v>118</v>
      </c>
      <c r="AP571">
        <v>-16</v>
      </c>
      <c r="AQ571">
        <v>-139</v>
      </c>
      <c r="AR571">
        <v>896</v>
      </c>
      <c r="AZ571">
        <v>4552</v>
      </c>
      <c r="BA571">
        <v>1</v>
      </c>
      <c r="BB571" t="str">
        <f t="shared" si="26"/>
        <v xml:space="preserve">N607SR  </v>
      </c>
      <c r="BC571">
        <v>1</v>
      </c>
      <c r="BE571">
        <v>0</v>
      </c>
      <c r="BF571">
        <v>0</v>
      </c>
      <c r="BG571">
        <v>0</v>
      </c>
      <c r="BH571">
        <v>2075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"06:13:33.614"</f>
        <v>06:13:33.614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5</v>
      </c>
      <c r="CP571" t="s">
        <v>119</v>
      </c>
      <c r="CQ571">
        <v>517</v>
      </c>
      <c r="CR571">
        <v>1</v>
      </c>
      <c r="CW571">
        <v>2476755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"08/29/2020 06:13:30.970"</f>
        <v>08/29/2020 06:13:30.970</v>
      </c>
      <c r="C572" t="str">
        <f t="shared" si="24"/>
        <v>FFDFD3C0</v>
      </c>
      <c r="D572" t="s">
        <v>128</v>
      </c>
      <c r="E572">
        <v>5</v>
      </c>
      <c r="H572">
        <v>241</v>
      </c>
      <c r="I572" t="s">
        <v>129</v>
      </c>
      <c r="J572" t="s">
        <v>130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"06:13:34.141"</f>
        <v>06:13:34.141</v>
      </c>
      <c r="T572" t="str">
        <f>"06:13:33.641"</f>
        <v>06:13:33.641</v>
      </c>
      <c r="U572" t="str">
        <f t="shared" si="25"/>
        <v>A7E2E0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499</v>
      </c>
      <c r="AJ572">
        <v>39.126477000000001</v>
      </c>
      <c r="AK572" t="s">
        <v>500</v>
      </c>
      <c r="AL572">
        <v>-87.480483000000007</v>
      </c>
      <c r="AM572">
        <v>100</v>
      </c>
      <c r="AN572">
        <v>2300</v>
      </c>
      <c r="AO572" t="s">
        <v>118</v>
      </c>
      <c r="AP572">
        <v>-14</v>
      </c>
      <c r="AQ572">
        <v>-140</v>
      </c>
      <c r="AR572">
        <v>832</v>
      </c>
      <c r="AZ572">
        <v>4552</v>
      </c>
      <c r="BA572">
        <v>1</v>
      </c>
      <c r="BB572" t="str">
        <f t="shared" si="26"/>
        <v xml:space="preserve">N607SR  </v>
      </c>
      <c r="BC572">
        <v>1</v>
      </c>
      <c r="BE572">
        <v>0</v>
      </c>
      <c r="BF572">
        <v>0</v>
      </c>
      <c r="BG572">
        <v>0</v>
      </c>
      <c r="BH572">
        <v>2075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"06:13:34.143"</f>
        <v>06:13:34.143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5</v>
      </c>
      <c r="CP572" t="s">
        <v>119</v>
      </c>
      <c r="CQ572">
        <v>465</v>
      </c>
      <c r="CR572">
        <v>0</v>
      </c>
      <c r="CW572">
        <v>4715676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"08/29/2020 06:13:30.970"</f>
        <v>08/29/2020 06:13:30.970</v>
      </c>
      <c r="C573" t="str">
        <f t="shared" si="24"/>
        <v>FFDFD3C0</v>
      </c>
      <c r="D573" t="s">
        <v>113</v>
      </c>
      <c r="E573">
        <v>5</v>
      </c>
      <c r="H573">
        <v>163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"06:13:34.141"</f>
        <v>06:13:34.141</v>
      </c>
      <c r="T573" t="str">
        <f>"06:13:33.641"</f>
        <v>06:13:33.641</v>
      </c>
      <c r="U573" t="str">
        <f t="shared" si="25"/>
        <v>A7E2E0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499</v>
      </c>
      <c r="AJ573">
        <v>39.126477000000001</v>
      </c>
      <c r="AK573" t="s">
        <v>500</v>
      </c>
      <c r="AL573">
        <v>-87.480483000000007</v>
      </c>
      <c r="AM573">
        <v>100</v>
      </c>
      <c r="AN573">
        <v>2300</v>
      </c>
      <c r="AO573" t="s">
        <v>118</v>
      </c>
      <c r="AP573">
        <v>-14</v>
      </c>
      <c r="AQ573">
        <v>-140</v>
      </c>
      <c r="AR573">
        <v>832</v>
      </c>
      <c r="AZ573">
        <v>4552</v>
      </c>
      <c r="BA573">
        <v>1</v>
      </c>
      <c r="BB573" t="str">
        <f t="shared" si="26"/>
        <v xml:space="preserve">N607SR  </v>
      </c>
      <c r="BC573">
        <v>1</v>
      </c>
      <c r="BE573">
        <v>0</v>
      </c>
      <c r="BF573">
        <v>0</v>
      </c>
      <c r="BG573">
        <v>0</v>
      </c>
      <c r="BH573">
        <v>2075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"06:13:34.143"</f>
        <v>06:13:34.143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5</v>
      </c>
      <c r="CP573" t="s">
        <v>119</v>
      </c>
      <c r="CQ573">
        <v>465</v>
      </c>
      <c r="CR573">
        <v>0</v>
      </c>
      <c r="CW573">
        <v>4715676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"08/29/2020 06:13:31.375"</f>
        <v>08/29/2020 06:13:31.375</v>
      </c>
      <c r="C574" t="str">
        <f t="shared" si="24"/>
        <v>FFDFD3C0</v>
      </c>
      <c r="D574" t="s">
        <v>121</v>
      </c>
      <c r="E574">
        <v>13</v>
      </c>
      <c r="F574">
        <v>1013</v>
      </c>
      <c r="G574" t="s">
        <v>122</v>
      </c>
      <c r="J574" t="s">
        <v>123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"06:13:34.609"</f>
        <v>06:13:34.609</v>
      </c>
      <c r="T574" t="str">
        <f>"06:13:34.209"</f>
        <v>06:13:34.209</v>
      </c>
      <c r="U574" t="str">
        <f t="shared" si="25"/>
        <v>A7E2E0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186</v>
      </c>
      <c r="AJ574">
        <v>39.126134</v>
      </c>
      <c r="AK574" t="s">
        <v>501</v>
      </c>
      <c r="AL574">
        <v>-87.480525999999998</v>
      </c>
      <c r="AM574">
        <v>100</v>
      </c>
      <c r="AN574">
        <v>2300</v>
      </c>
      <c r="AO574" t="s">
        <v>118</v>
      </c>
      <c r="AP574">
        <v>-13</v>
      </c>
      <c r="AQ574">
        <v>-140</v>
      </c>
      <c r="AR574">
        <v>896</v>
      </c>
      <c r="AZ574">
        <v>4552</v>
      </c>
      <c r="BA574">
        <v>1</v>
      </c>
      <c r="BB574" t="str">
        <f t="shared" si="26"/>
        <v xml:space="preserve">N607SR  </v>
      </c>
      <c r="BC574">
        <v>1</v>
      </c>
      <c r="BE574">
        <v>0</v>
      </c>
      <c r="BF574">
        <v>0</v>
      </c>
      <c r="BG574">
        <v>0</v>
      </c>
      <c r="BH574">
        <v>2075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"06:13:34.617"</f>
        <v>06:13:34.617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5</v>
      </c>
      <c r="CP574" t="s">
        <v>119</v>
      </c>
      <c r="CQ574">
        <v>465</v>
      </c>
      <c r="CR574">
        <v>0</v>
      </c>
      <c r="CW574">
        <v>4715690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"08/29/2020 06:13:31.375"</f>
        <v>08/29/2020 06:13:31.375</v>
      </c>
      <c r="C575" t="str">
        <f t="shared" si="24"/>
        <v>FFDFD3C0</v>
      </c>
      <c r="D575" t="s">
        <v>121</v>
      </c>
      <c r="E575">
        <v>10</v>
      </c>
      <c r="F575">
        <v>1010</v>
      </c>
      <c r="G575" t="s">
        <v>114</v>
      </c>
      <c r="J575" t="s">
        <v>123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"06:13:34.609"</f>
        <v>06:13:34.609</v>
      </c>
      <c r="T575" t="str">
        <f>"06:13:34.209"</f>
        <v>06:13:34.209</v>
      </c>
      <c r="U575" t="str">
        <f t="shared" si="25"/>
        <v>A7E2E0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186</v>
      </c>
      <c r="AJ575">
        <v>39.126134</v>
      </c>
      <c r="AK575" t="s">
        <v>501</v>
      </c>
      <c r="AL575">
        <v>-87.480525999999998</v>
      </c>
      <c r="AM575">
        <v>100</v>
      </c>
      <c r="AN575">
        <v>2300</v>
      </c>
      <c r="AO575" t="s">
        <v>118</v>
      </c>
      <c r="AP575">
        <v>-13</v>
      </c>
      <c r="AQ575">
        <v>-140</v>
      </c>
      <c r="AR575">
        <v>896</v>
      </c>
      <c r="AZ575">
        <v>4552</v>
      </c>
      <c r="BA575">
        <v>1</v>
      </c>
      <c r="BB575" t="str">
        <f t="shared" si="26"/>
        <v xml:space="preserve">N607SR  </v>
      </c>
      <c r="BC575">
        <v>1</v>
      </c>
      <c r="BE575">
        <v>0</v>
      </c>
      <c r="BF575">
        <v>0</v>
      </c>
      <c r="BG575">
        <v>0</v>
      </c>
      <c r="BH575">
        <v>2075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"06:13:34.617"</f>
        <v>06:13:34.617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119</v>
      </c>
      <c r="CQ575">
        <v>465</v>
      </c>
      <c r="CR575">
        <v>0</v>
      </c>
      <c r="CW575">
        <v>4715690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"08/29/2020 06:13:31.375"</f>
        <v>08/29/2020 06:13:31.375</v>
      </c>
      <c r="C576" t="str">
        <f t="shared" si="24"/>
        <v>FFDFD3C0</v>
      </c>
      <c r="D576" t="s">
        <v>121</v>
      </c>
      <c r="E576">
        <v>11</v>
      </c>
      <c r="F576">
        <v>1011</v>
      </c>
      <c r="G576" t="s">
        <v>125</v>
      </c>
      <c r="J576" t="s">
        <v>123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"06:13:34.609"</f>
        <v>06:13:34.609</v>
      </c>
      <c r="T576" t="str">
        <f>"06:13:34.209"</f>
        <v>06:13:34.209</v>
      </c>
      <c r="U576" t="str">
        <f t="shared" si="25"/>
        <v>A7E2E0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186</v>
      </c>
      <c r="AJ576">
        <v>39.126134</v>
      </c>
      <c r="AK576" t="s">
        <v>501</v>
      </c>
      <c r="AL576">
        <v>-87.480525999999998</v>
      </c>
      <c r="AM576">
        <v>100</v>
      </c>
      <c r="AN576">
        <v>2300</v>
      </c>
      <c r="AO576" t="s">
        <v>118</v>
      </c>
      <c r="AP576">
        <v>-13</v>
      </c>
      <c r="AQ576">
        <v>-140</v>
      </c>
      <c r="AR576">
        <v>896</v>
      </c>
      <c r="AZ576">
        <v>4552</v>
      </c>
      <c r="BA576">
        <v>1</v>
      </c>
      <c r="BB576" t="str">
        <f t="shared" si="26"/>
        <v xml:space="preserve">N607SR  </v>
      </c>
      <c r="BC576">
        <v>1</v>
      </c>
      <c r="BE576">
        <v>0</v>
      </c>
      <c r="BF576">
        <v>0</v>
      </c>
      <c r="BG576">
        <v>0</v>
      </c>
      <c r="BH576">
        <v>2075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"06:13:34.617"</f>
        <v>06:13:34.617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4</v>
      </c>
      <c r="CP576" t="s">
        <v>119</v>
      </c>
      <c r="CQ576">
        <v>177</v>
      </c>
      <c r="CR576">
        <v>2</v>
      </c>
      <c r="CW576">
        <v>1617939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"08/29/2020 06:13:31.933"</f>
        <v>08/29/2020 06:13:31.933</v>
      </c>
      <c r="C577" t="str">
        <f t="shared" si="24"/>
        <v>FFDFD3C0</v>
      </c>
      <c r="D577" t="s">
        <v>128</v>
      </c>
      <c r="E577">
        <v>5</v>
      </c>
      <c r="H577">
        <v>241</v>
      </c>
      <c r="I577" t="s">
        <v>129</v>
      </c>
      <c r="J577" t="s">
        <v>130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"06:13:35.180"</f>
        <v>06:13:35.180</v>
      </c>
      <c r="T577" t="str">
        <f>"06:13:34.680"</f>
        <v>06:13:34.680</v>
      </c>
      <c r="U577" t="str">
        <f t="shared" si="25"/>
        <v>A7E2E0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502</v>
      </c>
      <c r="AJ577">
        <v>39.125791</v>
      </c>
      <c r="AK577" t="s">
        <v>503</v>
      </c>
      <c r="AL577">
        <v>-87.480611999999994</v>
      </c>
      <c r="AM577">
        <v>100</v>
      </c>
      <c r="AN577">
        <v>2300</v>
      </c>
      <c r="AO577" t="s">
        <v>118</v>
      </c>
      <c r="AP577">
        <v>-11</v>
      </c>
      <c r="AQ577">
        <v>-140</v>
      </c>
      <c r="AR577">
        <v>896</v>
      </c>
      <c r="AZ577">
        <v>4552</v>
      </c>
      <c r="BA577">
        <v>1</v>
      </c>
      <c r="BB577" t="str">
        <f t="shared" si="26"/>
        <v xml:space="preserve">N607SR  </v>
      </c>
      <c r="BC577">
        <v>1</v>
      </c>
      <c r="BE577">
        <v>0</v>
      </c>
      <c r="BF577">
        <v>0</v>
      </c>
      <c r="BG577">
        <v>0</v>
      </c>
      <c r="BH577">
        <v>2100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"06:13:35.180"</f>
        <v>06:13:35.180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5</v>
      </c>
      <c r="CP577" t="s">
        <v>119</v>
      </c>
      <c r="CQ577">
        <v>465</v>
      </c>
      <c r="CR577">
        <v>0</v>
      </c>
      <c r="CW577">
        <v>4715708</v>
      </c>
      <c r="CY577">
        <v>1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"08/29/2020 06:13:31.933"</f>
        <v>08/29/2020 06:13:31.933</v>
      </c>
      <c r="C578" t="str">
        <f t="shared" ref="C578:C641" si="27">"FFDFD3C0"</f>
        <v>FFDFD3C0</v>
      </c>
      <c r="D578" t="s">
        <v>113</v>
      </c>
      <c r="E578">
        <v>5</v>
      </c>
      <c r="H578">
        <v>163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"06:13:35.180"</f>
        <v>06:13:35.180</v>
      </c>
      <c r="T578" t="str">
        <f>"06:13:34.680"</f>
        <v>06:13:34.680</v>
      </c>
      <c r="U578" t="str">
        <f t="shared" ref="U578:U641" si="28">"A7E2E0"</f>
        <v>A7E2E0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502</v>
      </c>
      <c r="AJ578">
        <v>39.125791</v>
      </c>
      <c r="AK578" t="s">
        <v>503</v>
      </c>
      <c r="AL578">
        <v>-87.480611999999994</v>
      </c>
      <c r="AM578">
        <v>100</v>
      </c>
      <c r="AN578">
        <v>2300</v>
      </c>
      <c r="AO578" t="s">
        <v>118</v>
      </c>
      <c r="AP578">
        <v>-11</v>
      </c>
      <c r="AQ578">
        <v>-140</v>
      </c>
      <c r="AR578">
        <v>896</v>
      </c>
      <c r="AZ578">
        <v>4552</v>
      </c>
      <c r="BA578">
        <v>1</v>
      </c>
      <c r="BB578" t="str">
        <f t="shared" ref="BB578:BB641" si="29">"N607SR  "</f>
        <v xml:space="preserve">N607SR  </v>
      </c>
      <c r="BC578">
        <v>1</v>
      </c>
      <c r="BE578">
        <v>0</v>
      </c>
      <c r="BF578">
        <v>0</v>
      </c>
      <c r="BG578">
        <v>0</v>
      </c>
      <c r="BH578">
        <v>2100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"06:13:35.180"</f>
        <v>06:13:35.180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5</v>
      </c>
      <c r="CP578" t="s">
        <v>119</v>
      </c>
      <c r="CQ578">
        <v>465</v>
      </c>
      <c r="CR578">
        <v>0</v>
      </c>
      <c r="CW578">
        <v>4715708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"08/29/2020 06:13:32.517"</f>
        <v>08/29/2020 06:13:32.517</v>
      </c>
      <c r="C579" t="str">
        <f t="shared" si="27"/>
        <v>FFDFD3C0</v>
      </c>
      <c r="D579" t="s">
        <v>121</v>
      </c>
      <c r="E579">
        <v>11</v>
      </c>
      <c r="F579">
        <v>1011</v>
      </c>
      <c r="G579" t="s">
        <v>125</v>
      </c>
      <c r="J579" t="s">
        <v>123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"06:13:35.727"</f>
        <v>06:13:35.727</v>
      </c>
      <c r="T579" t="str">
        <f>"06:13:35.227"</f>
        <v>06:13:35.227</v>
      </c>
      <c r="U579" t="str">
        <f t="shared" si="28"/>
        <v>A7E2E0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504</v>
      </c>
      <c r="AJ579">
        <v>39.125425999999997</v>
      </c>
      <c r="AK579" t="s">
        <v>503</v>
      </c>
      <c r="AL579">
        <v>-87.480611999999994</v>
      </c>
      <c r="AM579">
        <v>100</v>
      </c>
      <c r="AN579">
        <v>2300</v>
      </c>
      <c r="AO579" t="s">
        <v>118</v>
      </c>
      <c r="AP579">
        <v>-10</v>
      </c>
      <c r="AQ579">
        <v>-141</v>
      </c>
      <c r="AR579">
        <v>896</v>
      </c>
      <c r="AZ579">
        <v>4552</v>
      </c>
      <c r="BA579">
        <v>1</v>
      </c>
      <c r="BB579" t="str">
        <f t="shared" si="29"/>
        <v xml:space="preserve">N607SR  </v>
      </c>
      <c r="BC579">
        <v>1</v>
      </c>
      <c r="BE579">
        <v>0</v>
      </c>
      <c r="BF579">
        <v>0</v>
      </c>
      <c r="BG579">
        <v>0</v>
      </c>
      <c r="BH579">
        <v>2100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"06:13:35.734"</f>
        <v>06:13:35.734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119</v>
      </c>
      <c r="CQ579">
        <v>457</v>
      </c>
      <c r="CR579">
        <v>0</v>
      </c>
      <c r="CW579">
        <v>15512073</v>
      </c>
      <c r="CY579">
        <v>1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"08/29/2020 06:13:32.517"</f>
        <v>08/29/2020 06:13:32.517</v>
      </c>
      <c r="C580" t="str">
        <f t="shared" si="27"/>
        <v>FFDFD3C0</v>
      </c>
      <c r="D580" t="s">
        <v>121</v>
      </c>
      <c r="E580">
        <v>10</v>
      </c>
      <c r="F580">
        <v>1010</v>
      </c>
      <c r="G580" t="s">
        <v>114</v>
      </c>
      <c r="J580" t="s">
        <v>123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"06:13:35.727"</f>
        <v>06:13:35.727</v>
      </c>
      <c r="U580" t="str">
        <f t="shared" si="28"/>
        <v>A7E2E0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504</v>
      </c>
      <c r="AJ580">
        <v>39.125425999999997</v>
      </c>
      <c r="AK580" t="s">
        <v>503</v>
      </c>
      <c r="AL580">
        <v>-87.480611999999994</v>
      </c>
      <c r="AM580">
        <v>100</v>
      </c>
      <c r="AN580">
        <v>2300</v>
      </c>
      <c r="AO580" t="s">
        <v>118</v>
      </c>
      <c r="AP580">
        <v>-9</v>
      </c>
      <c r="AQ580">
        <v>-141</v>
      </c>
      <c r="AR580">
        <v>896</v>
      </c>
      <c r="AZ580">
        <v>4552</v>
      </c>
      <c r="BA580">
        <v>1</v>
      </c>
      <c r="BB580" t="str">
        <f t="shared" si="29"/>
        <v xml:space="preserve">N607SR  </v>
      </c>
      <c r="BC580">
        <v>1</v>
      </c>
      <c r="BE580">
        <v>0</v>
      </c>
      <c r="BF580">
        <v>0</v>
      </c>
      <c r="BG580">
        <v>0</v>
      </c>
      <c r="BH580">
        <v>2100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"06:13:35.734"</f>
        <v>06:13:35.734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2</v>
      </c>
      <c r="CP580" t="s">
        <v>119</v>
      </c>
      <c r="CQ580">
        <v>465</v>
      </c>
      <c r="CR580">
        <v>1</v>
      </c>
      <c r="CW580">
        <v>4715723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"08/29/2020 06:13:32.517"</f>
        <v>08/29/2020 06:13:32.517</v>
      </c>
      <c r="C581" t="str">
        <f t="shared" si="27"/>
        <v>FFDFD3C0</v>
      </c>
      <c r="D581" t="s">
        <v>121</v>
      </c>
      <c r="E581">
        <v>13</v>
      </c>
      <c r="F581">
        <v>1013</v>
      </c>
      <c r="G581" t="s">
        <v>122</v>
      </c>
      <c r="J581" t="s">
        <v>123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"06:13:35.727"</f>
        <v>06:13:35.727</v>
      </c>
      <c r="U581" t="str">
        <f t="shared" si="28"/>
        <v>A7E2E0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504</v>
      </c>
      <c r="AJ581">
        <v>39.125425999999997</v>
      </c>
      <c r="AK581" t="s">
        <v>503</v>
      </c>
      <c r="AL581">
        <v>-87.480611999999994</v>
      </c>
      <c r="AM581">
        <v>100</v>
      </c>
      <c r="AN581">
        <v>2300</v>
      </c>
      <c r="AO581" t="s">
        <v>118</v>
      </c>
      <c r="AP581">
        <v>-9</v>
      </c>
      <c r="AQ581">
        <v>-141</v>
      </c>
      <c r="AR581">
        <v>896</v>
      </c>
      <c r="AZ581">
        <v>4552</v>
      </c>
      <c r="BA581">
        <v>1</v>
      </c>
      <c r="BB581" t="str">
        <f t="shared" si="29"/>
        <v xml:space="preserve">N607SR  </v>
      </c>
      <c r="BC581">
        <v>1</v>
      </c>
      <c r="BE581">
        <v>0</v>
      </c>
      <c r="BF581">
        <v>0</v>
      </c>
      <c r="BG581">
        <v>0</v>
      </c>
      <c r="BH581">
        <v>2100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"06:13:35.734"</f>
        <v>06:13:35.734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2</v>
      </c>
      <c r="CP581" t="s">
        <v>119</v>
      </c>
      <c r="CQ581">
        <v>465</v>
      </c>
      <c r="CR581">
        <v>1</v>
      </c>
      <c r="CW581">
        <v>4715723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"08/29/2020 06:13:33.000"</f>
        <v>08/29/2020 06:13:33.000</v>
      </c>
      <c r="C582" t="str">
        <f t="shared" si="27"/>
        <v>FFDFD3C0</v>
      </c>
      <c r="D582" t="s">
        <v>128</v>
      </c>
      <c r="E582">
        <v>5</v>
      </c>
      <c r="H582">
        <v>241</v>
      </c>
      <c r="I582" t="s">
        <v>129</v>
      </c>
      <c r="J582" t="s">
        <v>130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"06:13:36.211"</f>
        <v>06:13:36.211</v>
      </c>
      <c r="T582" t="str">
        <f>"06:13:35.811"</f>
        <v>06:13:35.811</v>
      </c>
      <c r="U582" t="str">
        <f t="shared" si="28"/>
        <v>A7E2E0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181</v>
      </c>
      <c r="AJ582">
        <v>39.125104</v>
      </c>
      <c r="AK582" t="s">
        <v>505</v>
      </c>
      <c r="AL582">
        <v>-87.480654999999999</v>
      </c>
      <c r="AM582">
        <v>100</v>
      </c>
      <c r="AN582">
        <v>2300</v>
      </c>
      <c r="AO582" t="s">
        <v>118</v>
      </c>
      <c r="AP582">
        <v>-9</v>
      </c>
      <c r="AQ582">
        <v>-141</v>
      </c>
      <c r="AR582">
        <v>896</v>
      </c>
      <c r="AZ582">
        <v>4552</v>
      </c>
      <c r="BA582">
        <v>1</v>
      </c>
      <c r="BB582" t="str">
        <f t="shared" si="29"/>
        <v xml:space="preserve">N607SR  </v>
      </c>
      <c r="BC582">
        <v>1</v>
      </c>
      <c r="BE582">
        <v>0</v>
      </c>
      <c r="BF582">
        <v>0</v>
      </c>
      <c r="BG582">
        <v>0</v>
      </c>
      <c r="BH582">
        <v>2100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"06:13:36.212"</f>
        <v>06:13:36.212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5</v>
      </c>
      <c r="CP582" t="s">
        <v>119</v>
      </c>
      <c r="CQ582">
        <v>457</v>
      </c>
      <c r="CR582">
        <v>0</v>
      </c>
      <c r="CW582">
        <v>15512087</v>
      </c>
      <c r="CY582">
        <v>1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"08/29/2020 06:13:33.000"</f>
        <v>08/29/2020 06:13:33.000</v>
      </c>
      <c r="C583" t="str">
        <f t="shared" si="27"/>
        <v>FFDFD3C0</v>
      </c>
      <c r="D583" t="s">
        <v>113</v>
      </c>
      <c r="E583">
        <v>5</v>
      </c>
      <c r="H583">
        <v>163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"06:13:36.211"</f>
        <v>06:13:36.211</v>
      </c>
      <c r="T583" t="str">
        <f>"06:13:35.811"</f>
        <v>06:13:35.811</v>
      </c>
      <c r="U583" t="str">
        <f t="shared" si="28"/>
        <v>A7E2E0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181</v>
      </c>
      <c r="AJ583">
        <v>39.125104</v>
      </c>
      <c r="AK583" t="s">
        <v>505</v>
      </c>
      <c r="AL583">
        <v>-87.480654999999999</v>
      </c>
      <c r="AM583">
        <v>100</v>
      </c>
      <c r="AN583">
        <v>2300</v>
      </c>
      <c r="AO583" t="s">
        <v>118</v>
      </c>
      <c r="AP583">
        <v>-9</v>
      </c>
      <c r="AQ583">
        <v>-141</v>
      </c>
      <c r="AR583">
        <v>896</v>
      </c>
      <c r="AZ583">
        <v>4552</v>
      </c>
      <c r="BA583">
        <v>1</v>
      </c>
      <c r="BB583" t="str">
        <f t="shared" si="29"/>
        <v xml:space="preserve">N607SR  </v>
      </c>
      <c r="BC583">
        <v>1</v>
      </c>
      <c r="BE583">
        <v>0</v>
      </c>
      <c r="BF583">
        <v>0</v>
      </c>
      <c r="BG583">
        <v>0</v>
      </c>
      <c r="BH583">
        <v>2100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"06:13:36.212"</f>
        <v>06:13:36.212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5</v>
      </c>
      <c r="CP583" t="s">
        <v>119</v>
      </c>
      <c r="CQ583">
        <v>457</v>
      </c>
      <c r="CR583">
        <v>0</v>
      </c>
      <c r="CW583">
        <v>15512087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"08/29/2020 06:13:33.520"</f>
        <v>08/29/2020 06:13:33.520</v>
      </c>
      <c r="C584" t="str">
        <f t="shared" si="27"/>
        <v>FFDFD3C0</v>
      </c>
      <c r="D584" t="s">
        <v>121</v>
      </c>
      <c r="E584">
        <v>10</v>
      </c>
      <c r="F584">
        <v>1010</v>
      </c>
      <c r="G584" t="s">
        <v>114</v>
      </c>
      <c r="J584" t="s">
        <v>123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"06:13:36.750"</f>
        <v>06:13:36.750</v>
      </c>
      <c r="U584" t="str">
        <f t="shared" si="28"/>
        <v>A7E2E0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179</v>
      </c>
      <c r="AJ584">
        <v>39.124738999999998</v>
      </c>
      <c r="AK584" t="s">
        <v>506</v>
      </c>
      <c r="AL584">
        <v>-87.480676000000003</v>
      </c>
      <c r="AM584">
        <v>100</v>
      </c>
      <c r="AN584">
        <v>2300</v>
      </c>
      <c r="AO584" t="s">
        <v>118</v>
      </c>
      <c r="AP584">
        <v>-6</v>
      </c>
      <c r="AQ584">
        <v>-141</v>
      </c>
      <c r="AR584">
        <v>896</v>
      </c>
      <c r="AZ584">
        <v>4552</v>
      </c>
      <c r="BA584">
        <v>1</v>
      </c>
      <c r="BB584" t="str">
        <f t="shared" si="29"/>
        <v xml:space="preserve">N607SR  </v>
      </c>
      <c r="BC584">
        <v>1</v>
      </c>
      <c r="BE584">
        <v>0</v>
      </c>
      <c r="BF584">
        <v>0</v>
      </c>
      <c r="BG584">
        <v>0</v>
      </c>
      <c r="BH584">
        <v>2125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"06:13:36.756"</f>
        <v>06:13:36.756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5</v>
      </c>
      <c r="CP584" t="s">
        <v>119</v>
      </c>
      <c r="CQ584">
        <v>517</v>
      </c>
      <c r="CR584">
        <v>1</v>
      </c>
      <c r="CW584">
        <v>2476842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"08/29/2020 06:13:33.520"</f>
        <v>08/29/2020 06:13:33.520</v>
      </c>
      <c r="C585" t="str">
        <f t="shared" si="27"/>
        <v>FFDFD3C0</v>
      </c>
      <c r="D585" t="s">
        <v>121</v>
      </c>
      <c r="E585">
        <v>11</v>
      </c>
      <c r="F585">
        <v>1011</v>
      </c>
      <c r="G585" t="s">
        <v>125</v>
      </c>
      <c r="J585" t="s">
        <v>123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"06:13:36.750"</f>
        <v>06:13:36.750</v>
      </c>
      <c r="T585" t="str">
        <f>"06:13:36.250"</f>
        <v>06:13:36.250</v>
      </c>
      <c r="U585" t="str">
        <f t="shared" si="28"/>
        <v>A7E2E0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179</v>
      </c>
      <c r="AJ585">
        <v>39.124738999999998</v>
      </c>
      <c r="AK585" t="s">
        <v>506</v>
      </c>
      <c r="AL585">
        <v>-87.480676000000003</v>
      </c>
      <c r="AM585">
        <v>100</v>
      </c>
      <c r="AN585">
        <v>2300</v>
      </c>
      <c r="AO585" t="s">
        <v>118</v>
      </c>
      <c r="AP585">
        <v>-7</v>
      </c>
      <c r="AQ585">
        <v>-141</v>
      </c>
      <c r="AR585">
        <v>832</v>
      </c>
      <c r="AZ585">
        <v>4552</v>
      </c>
      <c r="BA585">
        <v>1</v>
      </c>
      <c r="BB585" t="str">
        <f t="shared" si="29"/>
        <v xml:space="preserve">N607SR  </v>
      </c>
      <c r="BC585">
        <v>1</v>
      </c>
      <c r="BE585">
        <v>0</v>
      </c>
      <c r="BF585">
        <v>0</v>
      </c>
      <c r="BG585">
        <v>0</v>
      </c>
      <c r="BH585">
        <v>2100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"06:13:36.756"</f>
        <v>06:13:36.756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5</v>
      </c>
      <c r="CP585" t="s">
        <v>119</v>
      </c>
      <c r="CQ585">
        <v>457</v>
      </c>
      <c r="CR585">
        <v>0</v>
      </c>
      <c r="CW585">
        <v>15512103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"08/29/2020 06:13:33.520"</f>
        <v>08/29/2020 06:13:33.520</v>
      </c>
      <c r="C586" t="str">
        <f t="shared" si="27"/>
        <v>FFDFD3C0</v>
      </c>
      <c r="D586" t="s">
        <v>121</v>
      </c>
      <c r="E586">
        <v>13</v>
      </c>
      <c r="F586">
        <v>1013</v>
      </c>
      <c r="G586" t="s">
        <v>122</v>
      </c>
      <c r="J586" t="s">
        <v>123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"06:13:36.750"</f>
        <v>06:13:36.750</v>
      </c>
      <c r="U586" t="str">
        <f t="shared" si="28"/>
        <v>A7E2E0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179</v>
      </c>
      <c r="AJ586">
        <v>39.124738999999998</v>
      </c>
      <c r="AK586" t="s">
        <v>506</v>
      </c>
      <c r="AL586">
        <v>-87.480676000000003</v>
      </c>
      <c r="AM586">
        <v>100</v>
      </c>
      <c r="AN586">
        <v>2300</v>
      </c>
      <c r="AO586" t="s">
        <v>118</v>
      </c>
      <c r="AP586">
        <v>-6</v>
      </c>
      <c r="AQ586">
        <v>-141</v>
      </c>
      <c r="AR586">
        <v>896</v>
      </c>
      <c r="AZ586">
        <v>4552</v>
      </c>
      <c r="BA586">
        <v>1</v>
      </c>
      <c r="BB586" t="str">
        <f t="shared" si="29"/>
        <v xml:space="preserve">N607SR  </v>
      </c>
      <c r="BC586">
        <v>1</v>
      </c>
      <c r="BE586">
        <v>0</v>
      </c>
      <c r="BF586">
        <v>0</v>
      </c>
      <c r="BG586">
        <v>0</v>
      </c>
      <c r="BH586">
        <v>2125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"06:13:36.756"</f>
        <v>06:13:36.756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5</v>
      </c>
      <c r="CP586" t="s">
        <v>119</v>
      </c>
      <c r="CQ586">
        <v>517</v>
      </c>
      <c r="CR586">
        <v>1</v>
      </c>
      <c r="CW586">
        <v>2476842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"08/29/2020 06:13:34.015"</f>
        <v>08/29/2020 06:13:34.015</v>
      </c>
      <c r="C587" t="str">
        <f t="shared" si="27"/>
        <v>FFDFD3C0</v>
      </c>
      <c r="D587" t="s">
        <v>128</v>
      </c>
      <c r="E587">
        <v>5</v>
      </c>
      <c r="H587">
        <v>241</v>
      </c>
      <c r="I587" t="s">
        <v>129</v>
      </c>
      <c r="J587" t="s">
        <v>130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"06:13:37.219"</f>
        <v>06:13:37.219</v>
      </c>
      <c r="T587" t="str">
        <f>"06:13:36.819"</f>
        <v>06:13:36.819</v>
      </c>
      <c r="U587" t="str">
        <f t="shared" si="28"/>
        <v>A7E2E0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507</v>
      </c>
      <c r="AJ587">
        <v>39.124459999999999</v>
      </c>
      <c r="AK587" t="s">
        <v>505</v>
      </c>
      <c r="AL587">
        <v>-87.480654999999999</v>
      </c>
      <c r="AM587">
        <v>100</v>
      </c>
      <c r="AN587">
        <v>2300</v>
      </c>
      <c r="AO587" t="s">
        <v>118</v>
      </c>
      <c r="AP587">
        <v>-6</v>
      </c>
      <c r="AQ587">
        <v>-141</v>
      </c>
      <c r="AR587">
        <v>896</v>
      </c>
      <c r="AZ587">
        <v>4552</v>
      </c>
      <c r="BA587">
        <v>1</v>
      </c>
      <c r="BB587" t="str">
        <f t="shared" si="29"/>
        <v xml:space="preserve">N607SR  </v>
      </c>
      <c r="BC587">
        <v>1</v>
      </c>
      <c r="BE587">
        <v>0</v>
      </c>
      <c r="BF587">
        <v>0</v>
      </c>
      <c r="BG587">
        <v>0</v>
      </c>
      <c r="BH587">
        <v>2125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"06:13:37.224"</f>
        <v>06:13:37.224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5</v>
      </c>
      <c r="CP587" t="s">
        <v>119</v>
      </c>
      <c r="CQ587">
        <v>465</v>
      </c>
      <c r="CR587">
        <v>0</v>
      </c>
      <c r="CW587">
        <v>4715767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"08/29/2020 06:13:34.015"</f>
        <v>08/29/2020 06:13:34.015</v>
      </c>
      <c r="C588" t="str">
        <f t="shared" si="27"/>
        <v>FFDFD3C0</v>
      </c>
      <c r="D588" t="s">
        <v>113</v>
      </c>
      <c r="E588">
        <v>5</v>
      </c>
      <c r="H588">
        <v>163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"06:13:37.219"</f>
        <v>06:13:37.219</v>
      </c>
      <c r="T588" t="str">
        <f>"06:13:36.819"</f>
        <v>06:13:36.819</v>
      </c>
      <c r="U588" t="str">
        <f t="shared" si="28"/>
        <v>A7E2E0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507</v>
      </c>
      <c r="AJ588">
        <v>39.124459999999999</v>
      </c>
      <c r="AK588" t="s">
        <v>505</v>
      </c>
      <c r="AL588">
        <v>-87.480654999999999</v>
      </c>
      <c r="AM588">
        <v>100</v>
      </c>
      <c r="AN588">
        <v>2300</v>
      </c>
      <c r="AO588" t="s">
        <v>118</v>
      </c>
      <c r="AP588">
        <v>-6</v>
      </c>
      <c r="AQ588">
        <v>-141</v>
      </c>
      <c r="AR588">
        <v>896</v>
      </c>
      <c r="AZ588">
        <v>4552</v>
      </c>
      <c r="BA588">
        <v>1</v>
      </c>
      <c r="BB588" t="str">
        <f t="shared" si="29"/>
        <v xml:space="preserve">N607SR  </v>
      </c>
      <c r="BC588">
        <v>1</v>
      </c>
      <c r="BE588">
        <v>0</v>
      </c>
      <c r="BF588">
        <v>0</v>
      </c>
      <c r="BG588">
        <v>0</v>
      </c>
      <c r="BH588">
        <v>2125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"06:13:37.224"</f>
        <v>06:13:37.224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5</v>
      </c>
      <c r="CP588" t="s">
        <v>119</v>
      </c>
      <c r="CQ588">
        <v>465</v>
      </c>
      <c r="CR588">
        <v>0</v>
      </c>
      <c r="CW588">
        <v>4715767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"08/29/2020 06:13:34.467"</f>
        <v>08/29/2020 06:13:34.467</v>
      </c>
      <c r="C589" t="str">
        <f t="shared" si="27"/>
        <v>FFDFD3C0</v>
      </c>
      <c r="D589" t="s">
        <v>121</v>
      </c>
      <c r="E589">
        <v>13</v>
      </c>
      <c r="F589">
        <v>1013</v>
      </c>
      <c r="G589" t="s">
        <v>122</v>
      </c>
      <c r="J589" t="s">
        <v>123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"06:13:37.680"</f>
        <v>06:13:37.680</v>
      </c>
      <c r="T589" t="str">
        <f>"06:13:37.280"</f>
        <v>06:13:37.280</v>
      </c>
      <c r="U589" t="str">
        <f t="shared" si="28"/>
        <v>A7E2E0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508</v>
      </c>
      <c r="AJ589">
        <v>39.124181</v>
      </c>
      <c r="AK589" t="s">
        <v>505</v>
      </c>
      <c r="AL589">
        <v>-87.480654999999999</v>
      </c>
      <c r="AM589">
        <v>100</v>
      </c>
      <c r="AN589">
        <v>2300</v>
      </c>
      <c r="AO589" t="s">
        <v>118</v>
      </c>
      <c r="AP589">
        <v>-4</v>
      </c>
      <c r="AQ589">
        <v>-142</v>
      </c>
      <c r="AR589">
        <v>832</v>
      </c>
      <c r="AZ589">
        <v>4552</v>
      </c>
      <c r="BA589">
        <v>1</v>
      </c>
      <c r="BB589" t="str">
        <f t="shared" si="29"/>
        <v xml:space="preserve">N607SR  </v>
      </c>
      <c r="BC589">
        <v>1</v>
      </c>
      <c r="BE589">
        <v>0</v>
      </c>
      <c r="BF589">
        <v>0</v>
      </c>
      <c r="BG589">
        <v>0</v>
      </c>
      <c r="BH589">
        <v>2125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"06:13:37.684"</f>
        <v>06:13:37.684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5</v>
      </c>
      <c r="CP589" t="s">
        <v>119</v>
      </c>
      <c r="CQ589">
        <v>465</v>
      </c>
      <c r="CR589">
        <v>0</v>
      </c>
      <c r="CW589">
        <v>4715782</v>
      </c>
      <c r="CY589">
        <v>1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"08/29/2020 06:13:34.467"</f>
        <v>08/29/2020 06:13:34.467</v>
      </c>
      <c r="C590" t="str">
        <f t="shared" si="27"/>
        <v>FFDFD3C0</v>
      </c>
      <c r="D590" t="s">
        <v>121</v>
      </c>
      <c r="E590">
        <v>10</v>
      </c>
      <c r="F590">
        <v>1010</v>
      </c>
      <c r="G590" t="s">
        <v>114</v>
      </c>
      <c r="J590" t="s">
        <v>123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"06:13:37.680"</f>
        <v>06:13:37.680</v>
      </c>
      <c r="T590" t="str">
        <f>"06:13:37.280"</f>
        <v>06:13:37.280</v>
      </c>
      <c r="U590" t="str">
        <f t="shared" si="28"/>
        <v>A7E2E0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508</v>
      </c>
      <c r="AJ590">
        <v>39.124181</v>
      </c>
      <c r="AK590" t="s">
        <v>505</v>
      </c>
      <c r="AL590">
        <v>-87.480654999999999</v>
      </c>
      <c r="AM590">
        <v>100</v>
      </c>
      <c r="AN590">
        <v>2300</v>
      </c>
      <c r="AO590" t="s">
        <v>118</v>
      </c>
      <c r="AP590">
        <v>-4</v>
      </c>
      <c r="AQ590">
        <v>-142</v>
      </c>
      <c r="AR590">
        <v>832</v>
      </c>
      <c r="AZ590">
        <v>4552</v>
      </c>
      <c r="BA590">
        <v>1</v>
      </c>
      <c r="BB590" t="str">
        <f t="shared" si="29"/>
        <v xml:space="preserve">N607SR  </v>
      </c>
      <c r="BC590">
        <v>1</v>
      </c>
      <c r="BE590">
        <v>0</v>
      </c>
      <c r="BF590">
        <v>0</v>
      </c>
      <c r="BG590">
        <v>0</v>
      </c>
      <c r="BH590">
        <v>2125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"06:13:37.684"</f>
        <v>06:13:37.684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5</v>
      </c>
      <c r="CP590" t="s">
        <v>119</v>
      </c>
      <c r="CQ590">
        <v>465</v>
      </c>
      <c r="CR590">
        <v>0</v>
      </c>
      <c r="CW590">
        <v>4715782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"08/29/2020 06:13:34.467"</f>
        <v>08/29/2020 06:13:34.467</v>
      </c>
      <c r="C591" t="str">
        <f t="shared" si="27"/>
        <v>FFDFD3C0</v>
      </c>
      <c r="D591" t="s">
        <v>121</v>
      </c>
      <c r="E591">
        <v>11</v>
      </c>
      <c r="F591">
        <v>1011</v>
      </c>
      <c r="G591" t="s">
        <v>125</v>
      </c>
      <c r="J591" t="s">
        <v>123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"06:13:37.680"</f>
        <v>06:13:37.680</v>
      </c>
      <c r="T591" t="str">
        <f>"06:13:37.280"</f>
        <v>06:13:37.280</v>
      </c>
      <c r="U591" t="str">
        <f t="shared" si="28"/>
        <v>A7E2E0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508</v>
      </c>
      <c r="AJ591">
        <v>39.124181</v>
      </c>
      <c r="AK591" t="s">
        <v>505</v>
      </c>
      <c r="AL591">
        <v>-87.480654999999999</v>
      </c>
      <c r="AM591">
        <v>100</v>
      </c>
      <c r="AN591">
        <v>2300</v>
      </c>
      <c r="AO591" t="s">
        <v>118</v>
      </c>
      <c r="AP591">
        <v>-4</v>
      </c>
      <c r="AQ591">
        <v>-142</v>
      </c>
      <c r="AR591">
        <v>832</v>
      </c>
      <c r="AZ591">
        <v>4552</v>
      </c>
      <c r="BA591">
        <v>1</v>
      </c>
      <c r="BB591" t="str">
        <f t="shared" si="29"/>
        <v xml:space="preserve">N607SR  </v>
      </c>
      <c r="BC591">
        <v>1</v>
      </c>
      <c r="BE591">
        <v>0</v>
      </c>
      <c r="BF591">
        <v>0</v>
      </c>
      <c r="BG591">
        <v>0</v>
      </c>
      <c r="BH591">
        <v>2125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"06:13:37.684"</f>
        <v>06:13:37.684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5</v>
      </c>
      <c r="CP591" t="s">
        <v>119</v>
      </c>
      <c r="CQ591">
        <v>457</v>
      </c>
      <c r="CR591">
        <v>0</v>
      </c>
      <c r="CW591">
        <v>15512129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"08/29/2020 06:13:34.974"</f>
        <v>08/29/2020 06:13:34.974</v>
      </c>
      <c r="C592" t="str">
        <f t="shared" si="27"/>
        <v>FFDFD3C0</v>
      </c>
      <c r="D592" t="s">
        <v>128</v>
      </c>
      <c r="E592">
        <v>5</v>
      </c>
      <c r="H592">
        <v>241</v>
      </c>
      <c r="I592" t="s">
        <v>129</v>
      </c>
      <c r="J592" t="s">
        <v>130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"06:13:38.195"</f>
        <v>06:13:38.195</v>
      </c>
      <c r="T592" t="str">
        <f>"06:13:37.695"</f>
        <v>06:13:37.695</v>
      </c>
      <c r="U592" t="str">
        <f t="shared" si="28"/>
        <v>A7E2E0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509</v>
      </c>
      <c r="AJ592">
        <v>39.123752000000003</v>
      </c>
      <c r="AK592" t="s">
        <v>505</v>
      </c>
      <c r="AL592">
        <v>-87.480654999999999</v>
      </c>
      <c r="AM592">
        <v>100</v>
      </c>
      <c r="AN592">
        <v>2300</v>
      </c>
      <c r="AO592" t="s">
        <v>118</v>
      </c>
      <c r="AP592">
        <v>-3</v>
      </c>
      <c r="AQ592">
        <v>-142</v>
      </c>
      <c r="AR592">
        <v>832</v>
      </c>
      <c r="AZ592">
        <v>4552</v>
      </c>
      <c r="BA592">
        <v>1</v>
      </c>
      <c r="BB592" t="str">
        <f t="shared" si="29"/>
        <v xml:space="preserve">N607SR  </v>
      </c>
      <c r="BC592">
        <v>1</v>
      </c>
      <c r="BE592">
        <v>0</v>
      </c>
      <c r="BF592">
        <v>0</v>
      </c>
      <c r="BG592">
        <v>0</v>
      </c>
      <c r="BH592">
        <v>2125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"06:13:38.201"</f>
        <v>06:13:38.201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6</v>
      </c>
      <c r="CP592" t="s">
        <v>119</v>
      </c>
      <c r="CQ592">
        <v>457</v>
      </c>
      <c r="CR592">
        <v>0</v>
      </c>
      <c r="CW592">
        <v>15512145</v>
      </c>
      <c r="CY592">
        <v>1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"08/29/2020 06:13:34.974"</f>
        <v>08/29/2020 06:13:34.974</v>
      </c>
      <c r="C593" t="str">
        <f t="shared" si="27"/>
        <v>FFDFD3C0</v>
      </c>
      <c r="D593" t="s">
        <v>113</v>
      </c>
      <c r="E593">
        <v>5</v>
      </c>
      <c r="H593">
        <v>163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"06:13:38.195"</f>
        <v>06:13:38.195</v>
      </c>
      <c r="T593" t="str">
        <f>"06:13:37.695"</f>
        <v>06:13:37.695</v>
      </c>
      <c r="U593" t="str">
        <f t="shared" si="28"/>
        <v>A7E2E0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509</v>
      </c>
      <c r="AJ593">
        <v>39.123752000000003</v>
      </c>
      <c r="AK593" t="s">
        <v>505</v>
      </c>
      <c r="AL593">
        <v>-87.480654999999999</v>
      </c>
      <c r="AM593">
        <v>100</v>
      </c>
      <c r="AN593">
        <v>2300</v>
      </c>
      <c r="AO593" t="s">
        <v>118</v>
      </c>
      <c r="AP593">
        <v>-3</v>
      </c>
      <c r="AQ593">
        <v>-142</v>
      </c>
      <c r="AR593">
        <v>832</v>
      </c>
      <c r="AZ593">
        <v>4552</v>
      </c>
      <c r="BA593">
        <v>1</v>
      </c>
      <c r="BB593" t="str">
        <f t="shared" si="29"/>
        <v xml:space="preserve">N607SR  </v>
      </c>
      <c r="BC593">
        <v>1</v>
      </c>
      <c r="BE593">
        <v>0</v>
      </c>
      <c r="BF593">
        <v>0</v>
      </c>
      <c r="BG593">
        <v>0</v>
      </c>
      <c r="BH593">
        <v>2125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"06:13:38.201"</f>
        <v>06:13:38.201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6</v>
      </c>
      <c r="CP593" t="s">
        <v>119</v>
      </c>
      <c r="CQ593">
        <v>457</v>
      </c>
      <c r="CR593">
        <v>0</v>
      </c>
      <c r="CW593">
        <v>15512145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"08/29/2020 06:13:35.379"</f>
        <v>08/29/2020 06:13:35.379</v>
      </c>
      <c r="C594" t="str">
        <f t="shared" si="27"/>
        <v>FFDFD3C0</v>
      </c>
      <c r="D594" t="s">
        <v>121</v>
      </c>
      <c r="E594">
        <v>13</v>
      </c>
      <c r="F594">
        <v>1013</v>
      </c>
      <c r="G594" t="s">
        <v>122</v>
      </c>
      <c r="J594" t="s">
        <v>123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"06:13:38.594"</f>
        <v>06:13:38.594</v>
      </c>
      <c r="T594" t="str">
        <f>"06:13:38.294"</f>
        <v>06:13:38.294</v>
      </c>
      <c r="U594" t="str">
        <f t="shared" si="28"/>
        <v>A7E2E0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510</v>
      </c>
      <c r="AJ594">
        <v>39.123516000000002</v>
      </c>
      <c r="AK594" t="s">
        <v>505</v>
      </c>
      <c r="AL594">
        <v>-87.480654999999999</v>
      </c>
      <c r="AM594">
        <v>100</v>
      </c>
      <c r="AN594">
        <v>2400</v>
      </c>
      <c r="AO594" t="s">
        <v>118</v>
      </c>
      <c r="AP594">
        <v>-1</v>
      </c>
      <c r="AQ594">
        <v>-142</v>
      </c>
      <c r="AR594">
        <v>832</v>
      </c>
      <c r="AZ594">
        <v>4552</v>
      </c>
      <c r="BA594">
        <v>1</v>
      </c>
      <c r="BB594" t="str">
        <f t="shared" si="29"/>
        <v xml:space="preserve">N607SR  </v>
      </c>
      <c r="BC594">
        <v>1</v>
      </c>
      <c r="BE594">
        <v>0</v>
      </c>
      <c r="BF594">
        <v>0</v>
      </c>
      <c r="BG594">
        <v>0</v>
      </c>
      <c r="BH594">
        <v>2250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"06:13:38.601"</f>
        <v>06:13:38.601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6</v>
      </c>
      <c r="CP594" t="s">
        <v>119</v>
      </c>
      <c r="CQ594">
        <v>457</v>
      </c>
      <c r="CR594">
        <v>0</v>
      </c>
      <c r="CW594">
        <v>15512159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"08/29/2020 06:13:35.379"</f>
        <v>08/29/2020 06:13:35.379</v>
      </c>
      <c r="C595" t="str">
        <f t="shared" si="27"/>
        <v>FFDFD3C0</v>
      </c>
      <c r="D595" t="s">
        <v>121</v>
      </c>
      <c r="E595">
        <v>10</v>
      </c>
      <c r="F595">
        <v>1010</v>
      </c>
      <c r="G595" t="s">
        <v>114</v>
      </c>
      <c r="J595" t="s">
        <v>123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"06:13:38.594"</f>
        <v>06:13:38.594</v>
      </c>
      <c r="T595" t="str">
        <f>"06:13:38.294"</f>
        <v>06:13:38.294</v>
      </c>
      <c r="U595" t="str">
        <f t="shared" si="28"/>
        <v>A7E2E0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510</v>
      </c>
      <c r="AJ595">
        <v>39.123516000000002</v>
      </c>
      <c r="AK595" t="s">
        <v>505</v>
      </c>
      <c r="AL595">
        <v>-87.480654999999999</v>
      </c>
      <c r="AM595">
        <v>100</v>
      </c>
      <c r="AN595">
        <v>2400</v>
      </c>
      <c r="AO595" t="s">
        <v>118</v>
      </c>
      <c r="AP595">
        <v>-1</v>
      </c>
      <c r="AQ595">
        <v>-142</v>
      </c>
      <c r="AR595">
        <v>832</v>
      </c>
      <c r="AZ595">
        <v>4552</v>
      </c>
      <c r="BA595">
        <v>1</v>
      </c>
      <c r="BB595" t="str">
        <f t="shared" si="29"/>
        <v xml:space="preserve">N607SR  </v>
      </c>
      <c r="BC595">
        <v>1</v>
      </c>
      <c r="BE595">
        <v>0</v>
      </c>
      <c r="BF595">
        <v>0</v>
      </c>
      <c r="BG595">
        <v>0</v>
      </c>
      <c r="BH595">
        <v>2250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"06:13:38.601"</f>
        <v>06:13:38.601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119</v>
      </c>
      <c r="CQ595">
        <v>457</v>
      </c>
      <c r="CR595">
        <v>0</v>
      </c>
      <c r="CW595">
        <v>15512159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"08/29/2020 06:13:35.379"</f>
        <v>08/29/2020 06:13:35.379</v>
      </c>
      <c r="C596" t="str">
        <f t="shared" si="27"/>
        <v>FFDFD3C0</v>
      </c>
      <c r="D596" t="s">
        <v>121</v>
      </c>
      <c r="E596">
        <v>11</v>
      </c>
      <c r="F596">
        <v>1011</v>
      </c>
      <c r="G596" t="s">
        <v>125</v>
      </c>
      <c r="J596" t="s">
        <v>123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"06:13:38.594"</f>
        <v>06:13:38.594</v>
      </c>
      <c r="T596" t="str">
        <f>"06:13:38.294"</f>
        <v>06:13:38.294</v>
      </c>
      <c r="U596" t="str">
        <f t="shared" si="28"/>
        <v>A7E2E0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510</v>
      </c>
      <c r="AJ596">
        <v>39.123516000000002</v>
      </c>
      <c r="AK596" t="s">
        <v>505</v>
      </c>
      <c r="AL596">
        <v>-87.480654999999999</v>
      </c>
      <c r="AM596">
        <v>100</v>
      </c>
      <c r="AN596">
        <v>2400</v>
      </c>
      <c r="AO596" t="s">
        <v>118</v>
      </c>
      <c r="AP596">
        <v>-1</v>
      </c>
      <c r="AQ596">
        <v>-142</v>
      </c>
      <c r="AR596">
        <v>832</v>
      </c>
      <c r="AZ596">
        <v>4552</v>
      </c>
      <c r="BA596">
        <v>1</v>
      </c>
      <c r="BB596" t="str">
        <f t="shared" si="29"/>
        <v xml:space="preserve">N607SR  </v>
      </c>
      <c r="BC596">
        <v>1</v>
      </c>
      <c r="BE596">
        <v>0</v>
      </c>
      <c r="BF596">
        <v>0</v>
      </c>
      <c r="BG596">
        <v>0</v>
      </c>
      <c r="BH596">
        <v>2250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"06:13:38.601"</f>
        <v>06:13:38.601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119</v>
      </c>
      <c r="CQ596">
        <v>457</v>
      </c>
      <c r="CR596">
        <v>0</v>
      </c>
      <c r="CW596">
        <v>15512159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"08/29/2020 06:13:35.838"</f>
        <v>08/29/2020 06:13:35.838</v>
      </c>
      <c r="C597" t="str">
        <f t="shared" si="27"/>
        <v>FFDFD3C0</v>
      </c>
      <c r="D597" t="s">
        <v>113</v>
      </c>
      <c r="E597">
        <v>5</v>
      </c>
      <c r="H597">
        <v>163</v>
      </c>
      <c r="I597" t="s">
        <v>114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"06:13:39.070"</f>
        <v>06:13:39.070</v>
      </c>
      <c r="T597" t="str">
        <f>"06:13:38.270"</f>
        <v>06:13:38.270</v>
      </c>
      <c r="U597" t="str">
        <f t="shared" si="28"/>
        <v>A7E2E0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172</v>
      </c>
      <c r="AJ597">
        <v>39.123237000000003</v>
      </c>
      <c r="AK597" t="s">
        <v>505</v>
      </c>
      <c r="AL597">
        <v>-87.480654999999999</v>
      </c>
      <c r="AM597">
        <v>100</v>
      </c>
      <c r="AN597">
        <v>2400</v>
      </c>
      <c r="AO597" t="s">
        <v>118</v>
      </c>
      <c r="AP597">
        <v>-1</v>
      </c>
      <c r="AQ597">
        <v>-142</v>
      </c>
      <c r="AR597">
        <v>832</v>
      </c>
      <c r="AZ597">
        <v>4552</v>
      </c>
      <c r="BA597">
        <v>1</v>
      </c>
      <c r="BB597" t="str">
        <f t="shared" si="29"/>
        <v xml:space="preserve">N607SR  </v>
      </c>
      <c r="BC597">
        <v>1</v>
      </c>
      <c r="BE597">
        <v>0</v>
      </c>
      <c r="BF597">
        <v>0</v>
      </c>
      <c r="BG597">
        <v>0</v>
      </c>
      <c r="BH597">
        <v>2150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"06:13:39.076"</f>
        <v>06:13:39.076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3</v>
      </c>
      <c r="CP597" t="s">
        <v>119</v>
      </c>
      <c r="CQ597">
        <v>177</v>
      </c>
      <c r="CR597">
        <v>2</v>
      </c>
      <c r="CW597">
        <v>1618680</v>
      </c>
      <c r="CY597">
        <v>1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"08/29/2020 06:13:35.838"</f>
        <v>08/29/2020 06:13:35.838</v>
      </c>
      <c r="C598" t="str">
        <f t="shared" si="27"/>
        <v>FFDFD3C0</v>
      </c>
      <c r="D598" t="s">
        <v>128</v>
      </c>
      <c r="E598">
        <v>5</v>
      </c>
      <c r="H598">
        <v>241</v>
      </c>
      <c r="I598" t="s">
        <v>129</v>
      </c>
      <c r="J598" t="s">
        <v>130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"06:13:39.070"</f>
        <v>06:13:39.070</v>
      </c>
      <c r="T598" t="str">
        <f>"06:13:38.270"</f>
        <v>06:13:38.270</v>
      </c>
      <c r="U598" t="str">
        <f t="shared" si="28"/>
        <v>A7E2E0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172</v>
      </c>
      <c r="AJ598">
        <v>39.123237000000003</v>
      </c>
      <c r="AK598" t="s">
        <v>505</v>
      </c>
      <c r="AL598">
        <v>-87.480654999999999</v>
      </c>
      <c r="AM598">
        <v>100</v>
      </c>
      <c r="AN598">
        <v>2400</v>
      </c>
      <c r="AO598" t="s">
        <v>118</v>
      </c>
      <c r="AP598">
        <v>-1</v>
      </c>
      <c r="AQ598">
        <v>-142</v>
      </c>
      <c r="AR598">
        <v>832</v>
      </c>
      <c r="AZ598">
        <v>4552</v>
      </c>
      <c r="BA598">
        <v>1</v>
      </c>
      <c r="BB598" t="str">
        <f t="shared" si="29"/>
        <v xml:space="preserve">N607SR  </v>
      </c>
      <c r="BC598">
        <v>1</v>
      </c>
      <c r="BE598">
        <v>0</v>
      </c>
      <c r="BF598">
        <v>0</v>
      </c>
      <c r="BG598">
        <v>0</v>
      </c>
      <c r="BH598">
        <v>2150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"06:13:39.076"</f>
        <v>06:13:39.076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3</v>
      </c>
      <c r="CP598" t="s">
        <v>119</v>
      </c>
      <c r="CQ598">
        <v>177</v>
      </c>
      <c r="CR598">
        <v>2</v>
      </c>
      <c r="CW598">
        <v>1618680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"08/29/2020 06:13:36.365"</f>
        <v>08/29/2020 06:13:36.365</v>
      </c>
      <c r="C599" t="str">
        <f t="shared" si="27"/>
        <v>FFDFD3C0</v>
      </c>
      <c r="D599" t="s">
        <v>121</v>
      </c>
      <c r="E599">
        <v>11</v>
      </c>
      <c r="F599">
        <v>1011</v>
      </c>
      <c r="G599" t="s">
        <v>125</v>
      </c>
      <c r="J599" t="s">
        <v>123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"06:13:39.594"</f>
        <v>06:13:39.594</v>
      </c>
      <c r="T599" t="str">
        <f>"06:13:39.094"</f>
        <v>06:13:39.094</v>
      </c>
      <c r="U599" t="str">
        <f t="shared" si="28"/>
        <v>A7E2E0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511</v>
      </c>
      <c r="AJ599">
        <v>39.122872000000001</v>
      </c>
      <c r="AK599" t="s">
        <v>505</v>
      </c>
      <c r="AL599">
        <v>-87.480654999999999</v>
      </c>
      <c r="AM599">
        <v>100</v>
      </c>
      <c r="AN599">
        <v>2400</v>
      </c>
      <c r="AO599" t="s">
        <v>118</v>
      </c>
      <c r="AP599">
        <v>1</v>
      </c>
      <c r="AQ599">
        <v>-142</v>
      </c>
      <c r="AR599">
        <v>832</v>
      </c>
      <c r="AZ599">
        <v>4552</v>
      </c>
      <c r="BA599">
        <v>1</v>
      </c>
      <c r="BB599" t="str">
        <f t="shared" si="29"/>
        <v xml:space="preserve">N607SR  </v>
      </c>
      <c r="BC599">
        <v>1</v>
      </c>
      <c r="BE599">
        <v>0</v>
      </c>
      <c r="BF599">
        <v>0</v>
      </c>
      <c r="BG599">
        <v>0</v>
      </c>
      <c r="BH599">
        <v>2150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"06:13:39.599"</f>
        <v>06:13:39.599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457</v>
      </c>
      <c r="CR599">
        <v>0</v>
      </c>
      <c r="CW599">
        <v>15512191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"08/29/2020 06:13:36.365"</f>
        <v>08/29/2020 06:13:36.365</v>
      </c>
      <c r="C600" t="str">
        <f t="shared" si="27"/>
        <v>FFDFD3C0</v>
      </c>
      <c r="D600" t="s">
        <v>121</v>
      </c>
      <c r="E600">
        <v>13</v>
      </c>
      <c r="F600">
        <v>1013</v>
      </c>
      <c r="G600" t="s">
        <v>122</v>
      </c>
      <c r="J600" t="s">
        <v>123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"06:13:39.594"</f>
        <v>06:13:39.594</v>
      </c>
      <c r="U600" t="str">
        <f t="shared" si="28"/>
        <v>A7E2E0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511</v>
      </c>
      <c r="AJ600">
        <v>39.122872000000001</v>
      </c>
      <c r="AK600" t="s">
        <v>505</v>
      </c>
      <c r="AL600">
        <v>-87.480654999999999</v>
      </c>
      <c r="AM600">
        <v>100</v>
      </c>
      <c r="AN600">
        <v>2400</v>
      </c>
      <c r="AO600" t="s">
        <v>118</v>
      </c>
      <c r="AP600">
        <v>2</v>
      </c>
      <c r="AQ600">
        <v>-143</v>
      </c>
      <c r="AR600">
        <v>832</v>
      </c>
      <c r="AZ600">
        <v>4552</v>
      </c>
      <c r="BA600">
        <v>1</v>
      </c>
      <c r="BB600" t="str">
        <f t="shared" si="29"/>
        <v xml:space="preserve">N607SR  </v>
      </c>
      <c r="BC600">
        <v>1</v>
      </c>
      <c r="BE600">
        <v>0</v>
      </c>
      <c r="BF600">
        <v>0</v>
      </c>
      <c r="BG600">
        <v>0</v>
      </c>
      <c r="BH600">
        <v>2150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"06:13:39.599"</f>
        <v>06:13:39.599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2</v>
      </c>
      <c r="CP600" t="s">
        <v>119</v>
      </c>
      <c r="CQ600">
        <v>517</v>
      </c>
      <c r="CR600">
        <v>0</v>
      </c>
      <c r="CW600">
        <v>2476928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"08/29/2020 06:13:36.365"</f>
        <v>08/29/2020 06:13:36.365</v>
      </c>
      <c r="C601" t="str">
        <f t="shared" si="27"/>
        <v>FFDFD3C0</v>
      </c>
      <c r="D601" t="s">
        <v>121</v>
      </c>
      <c r="E601">
        <v>10</v>
      </c>
      <c r="F601">
        <v>1010</v>
      </c>
      <c r="G601" t="s">
        <v>114</v>
      </c>
      <c r="J601" t="s">
        <v>123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"06:13:39.594"</f>
        <v>06:13:39.594</v>
      </c>
      <c r="U601" t="str">
        <f t="shared" si="28"/>
        <v>A7E2E0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511</v>
      </c>
      <c r="AJ601">
        <v>39.122872000000001</v>
      </c>
      <c r="AK601" t="s">
        <v>505</v>
      </c>
      <c r="AL601">
        <v>-87.480654999999999</v>
      </c>
      <c r="AM601">
        <v>100</v>
      </c>
      <c r="AN601">
        <v>2400</v>
      </c>
      <c r="AO601" t="s">
        <v>118</v>
      </c>
      <c r="AP601">
        <v>2</v>
      </c>
      <c r="AQ601">
        <v>-143</v>
      </c>
      <c r="AR601">
        <v>832</v>
      </c>
      <c r="AZ601">
        <v>4552</v>
      </c>
      <c r="BA601">
        <v>1</v>
      </c>
      <c r="BB601" t="str">
        <f t="shared" si="29"/>
        <v xml:space="preserve">N607SR  </v>
      </c>
      <c r="BC601">
        <v>1</v>
      </c>
      <c r="BE601">
        <v>0</v>
      </c>
      <c r="BF601">
        <v>0</v>
      </c>
      <c r="BG601">
        <v>0</v>
      </c>
      <c r="BH601">
        <v>2150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"06:13:39.599"</f>
        <v>06:13:39.599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2</v>
      </c>
      <c r="CP601" t="s">
        <v>119</v>
      </c>
      <c r="CQ601">
        <v>517</v>
      </c>
      <c r="CR601">
        <v>0</v>
      </c>
      <c r="CW601">
        <v>2476928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"08/29/2020 06:13:36.898"</f>
        <v>08/29/2020 06:13:36.898</v>
      </c>
      <c r="C602" t="str">
        <f t="shared" si="27"/>
        <v>FFDFD3C0</v>
      </c>
      <c r="D602" t="s">
        <v>128</v>
      </c>
      <c r="E602">
        <v>5</v>
      </c>
      <c r="H602">
        <v>241</v>
      </c>
      <c r="I602" t="s">
        <v>129</v>
      </c>
      <c r="J602" t="s">
        <v>130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"06:13:40.117"</f>
        <v>06:13:40.117</v>
      </c>
      <c r="T602" t="str">
        <f>"06:13:39.617"</f>
        <v>06:13:39.617</v>
      </c>
      <c r="U602" t="str">
        <f t="shared" si="28"/>
        <v>A7E2E0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512</v>
      </c>
      <c r="AJ602">
        <v>39.122508000000003</v>
      </c>
      <c r="AK602" t="s">
        <v>506</v>
      </c>
      <c r="AL602">
        <v>-87.480676000000003</v>
      </c>
      <c r="AM602">
        <v>100</v>
      </c>
      <c r="AN602">
        <v>2400</v>
      </c>
      <c r="AO602" t="s">
        <v>118</v>
      </c>
      <c r="AP602">
        <v>2</v>
      </c>
      <c r="AQ602">
        <v>-143</v>
      </c>
      <c r="AR602">
        <v>832</v>
      </c>
      <c r="AZ602">
        <v>4552</v>
      </c>
      <c r="BA602">
        <v>1</v>
      </c>
      <c r="BB602" t="str">
        <f t="shared" si="29"/>
        <v xml:space="preserve">N607SR  </v>
      </c>
      <c r="BC602">
        <v>1</v>
      </c>
      <c r="BE602">
        <v>0</v>
      </c>
      <c r="BF602">
        <v>0</v>
      </c>
      <c r="BG602">
        <v>0</v>
      </c>
      <c r="BH602">
        <v>2150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"06:13:40.120"</f>
        <v>06:13:40.120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6</v>
      </c>
      <c r="CP602" t="s">
        <v>119</v>
      </c>
      <c r="CQ602">
        <v>457</v>
      </c>
      <c r="CR602">
        <v>0</v>
      </c>
      <c r="CW602">
        <v>15512208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"08/29/2020 06:13:36.898"</f>
        <v>08/29/2020 06:13:36.898</v>
      </c>
      <c r="C603" t="str">
        <f t="shared" si="27"/>
        <v>FFDFD3C0</v>
      </c>
      <c r="D603" t="s">
        <v>113</v>
      </c>
      <c r="E603">
        <v>5</v>
      </c>
      <c r="H603">
        <v>163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"06:13:40.117"</f>
        <v>06:13:40.117</v>
      </c>
      <c r="T603" t="str">
        <f>"06:13:39.617"</f>
        <v>06:13:39.617</v>
      </c>
      <c r="U603" t="str">
        <f t="shared" si="28"/>
        <v>A7E2E0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512</v>
      </c>
      <c r="AJ603">
        <v>39.122508000000003</v>
      </c>
      <c r="AK603" t="s">
        <v>506</v>
      </c>
      <c r="AL603">
        <v>-87.480676000000003</v>
      </c>
      <c r="AM603">
        <v>100</v>
      </c>
      <c r="AN603">
        <v>2400</v>
      </c>
      <c r="AO603" t="s">
        <v>118</v>
      </c>
      <c r="AP603">
        <v>2</v>
      </c>
      <c r="AQ603">
        <v>-143</v>
      </c>
      <c r="AR603">
        <v>832</v>
      </c>
      <c r="AZ603">
        <v>4552</v>
      </c>
      <c r="BA603">
        <v>1</v>
      </c>
      <c r="BB603" t="str">
        <f t="shared" si="29"/>
        <v xml:space="preserve">N607SR  </v>
      </c>
      <c r="BC603">
        <v>1</v>
      </c>
      <c r="BE603">
        <v>0</v>
      </c>
      <c r="BF603">
        <v>0</v>
      </c>
      <c r="BG603">
        <v>0</v>
      </c>
      <c r="BH603">
        <v>2150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"06:13:40.120"</f>
        <v>06:13:40.120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6</v>
      </c>
      <c r="CP603" t="s">
        <v>119</v>
      </c>
      <c r="CQ603">
        <v>457</v>
      </c>
      <c r="CR603">
        <v>0</v>
      </c>
      <c r="CW603">
        <v>15512208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"08/29/2020 06:13:37.356"</f>
        <v>08/29/2020 06:13:37.356</v>
      </c>
      <c r="C604" t="str">
        <f t="shared" si="27"/>
        <v>FFDFD3C0</v>
      </c>
      <c r="D604" t="s">
        <v>121</v>
      </c>
      <c r="E604">
        <v>13</v>
      </c>
      <c r="F604">
        <v>1013</v>
      </c>
      <c r="G604" t="s">
        <v>122</v>
      </c>
      <c r="J604" t="s">
        <v>123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"06:13:40.547"</f>
        <v>06:13:40.547</v>
      </c>
      <c r="T604" t="str">
        <f>"06:13:40.147"</f>
        <v>06:13:40.147</v>
      </c>
      <c r="U604" t="str">
        <f t="shared" si="28"/>
        <v>A7E2E0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513</v>
      </c>
      <c r="AJ604">
        <v>39.122272000000002</v>
      </c>
      <c r="AK604" t="s">
        <v>506</v>
      </c>
      <c r="AL604">
        <v>-87.480676000000003</v>
      </c>
      <c r="AM604">
        <v>100</v>
      </c>
      <c r="AN604">
        <v>2400</v>
      </c>
      <c r="AO604" t="s">
        <v>118</v>
      </c>
      <c r="AP604">
        <v>3</v>
      </c>
      <c r="AQ604">
        <v>-143</v>
      </c>
      <c r="AR604">
        <v>832</v>
      </c>
      <c r="AZ604">
        <v>4552</v>
      </c>
      <c r="BA604">
        <v>1</v>
      </c>
      <c r="BB604" t="str">
        <f t="shared" si="29"/>
        <v xml:space="preserve">N607SR  </v>
      </c>
      <c r="BC604">
        <v>1</v>
      </c>
      <c r="BE604">
        <v>0</v>
      </c>
      <c r="BF604">
        <v>0</v>
      </c>
      <c r="BG604">
        <v>0</v>
      </c>
      <c r="BH604">
        <v>2175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"06:13:40.554"</f>
        <v>06:13:40.554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119</v>
      </c>
      <c r="CQ604">
        <v>457</v>
      </c>
      <c r="CR604">
        <v>0</v>
      </c>
      <c r="CW604">
        <v>15512221</v>
      </c>
      <c r="CY604">
        <v>1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"08/29/2020 06:13:37.356"</f>
        <v>08/29/2020 06:13:37.356</v>
      </c>
      <c r="C605" t="str">
        <f t="shared" si="27"/>
        <v>FFDFD3C0</v>
      </c>
      <c r="D605" t="s">
        <v>121</v>
      </c>
      <c r="E605">
        <v>10</v>
      </c>
      <c r="F605">
        <v>1010</v>
      </c>
      <c r="G605" t="s">
        <v>114</v>
      </c>
      <c r="J605" t="s">
        <v>123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"06:13:40.547"</f>
        <v>06:13:40.547</v>
      </c>
      <c r="T605" t="str">
        <f>"06:13:40.147"</f>
        <v>06:13:40.147</v>
      </c>
      <c r="U605" t="str">
        <f t="shared" si="28"/>
        <v>A7E2E0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513</v>
      </c>
      <c r="AJ605">
        <v>39.122272000000002</v>
      </c>
      <c r="AK605" t="s">
        <v>506</v>
      </c>
      <c r="AL605">
        <v>-87.480676000000003</v>
      </c>
      <c r="AM605">
        <v>100</v>
      </c>
      <c r="AN605">
        <v>2400</v>
      </c>
      <c r="AO605" t="s">
        <v>118</v>
      </c>
      <c r="AP605">
        <v>3</v>
      </c>
      <c r="AQ605">
        <v>-143</v>
      </c>
      <c r="AR605">
        <v>832</v>
      </c>
      <c r="AZ605">
        <v>4552</v>
      </c>
      <c r="BA605">
        <v>1</v>
      </c>
      <c r="BB605" t="str">
        <f t="shared" si="29"/>
        <v xml:space="preserve">N607SR  </v>
      </c>
      <c r="BC605">
        <v>1</v>
      </c>
      <c r="BE605">
        <v>0</v>
      </c>
      <c r="BF605">
        <v>0</v>
      </c>
      <c r="BG605">
        <v>0</v>
      </c>
      <c r="BH605">
        <v>2175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"06:13:40.554"</f>
        <v>06:13:40.554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119</v>
      </c>
      <c r="CQ605">
        <v>457</v>
      </c>
      <c r="CR605">
        <v>0</v>
      </c>
      <c r="CW605">
        <v>15512221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"08/29/2020 06:13:37.356"</f>
        <v>08/29/2020 06:13:37.356</v>
      </c>
      <c r="C606" t="str">
        <f t="shared" si="27"/>
        <v>FFDFD3C0</v>
      </c>
      <c r="D606" t="s">
        <v>121</v>
      </c>
      <c r="E606">
        <v>11</v>
      </c>
      <c r="F606">
        <v>1011</v>
      </c>
      <c r="G606" t="s">
        <v>125</v>
      </c>
      <c r="J606" t="s">
        <v>123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"06:13:40.547"</f>
        <v>06:13:40.547</v>
      </c>
      <c r="T606" t="str">
        <f>"06:13:40.147"</f>
        <v>06:13:40.147</v>
      </c>
      <c r="U606" t="str">
        <f t="shared" si="28"/>
        <v>A7E2E0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513</v>
      </c>
      <c r="AJ606">
        <v>39.122272000000002</v>
      </c>
      <c r="AK606" t="s">
        <v>506</v>
      </c>
      <c r="AL606">
        <v>-87.480676000000003</v>
      </c>
      <c r="AM606">
        <v>100</v>
      </c>
      <c r="AN606">
        <v>2400</v>
      </c>
      <c r="AO606" t="s">
        <v>118</v>
      </c>
      <c r="AP606">
        <v>3</v>
      </c>
      <c r="AQ606">
        <v>-143</v>
      </c>
      <c r="AR606">
        <v>832</v>
      </c>
      <c r="AZ606">
        <v>4552</v>
      </c>
      <c r="BA606">
        <v>1</v>
      </c>
      <c r="BB606" t="str">
        <f t="shared" si="29"/>
        <v xml:space="preserve">N607SR  </v>
      </c>
      <c r="BC606">
        <v>1</v>
      </c>
      <c r="BE606">
        <v>0</v>
      </c>
      <c r="BF606">
        <v>0</v>
      </c>
      <c r="BG606">
        <v>0</v>
      </c>
      <c r="BH606">
        <v>2175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"06:13:40.554"</f>
        <v>06:13:40.554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119</v>
      </c>
      <c r="CQ606">
        <v>457</v>
      </c>
      <c r="CR606">
        <v>0</v>
      </c>
      <c r="CW606">
        <v>15512221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"08/29/2020 06:13:37.914"</f>
        <v>08/29/2020 06:13:37.914</v>
      </c>
      <c r="C607" t="str">
        <f t="shared" si="27"/>
        <v>FFDFD3C0</v>
      </c>
      <c r="D607" t="s">
        <v>128</v>
      </c>
      <c r="E607">
        <v>5</v>
      </c>
      <c r="H607">
        <v>241</v>
      </c>
      <c r="I607" t="s">
        <v>129</v>
      </c>
      <c r="J607" t="s">
        <v>130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"06:13:41.125"</f>
        <v>06:13:41.125</v>
      </c>
      <c r="T607" t="str">
        <f>"06:13:40.625"</f>
        <v>06:13:40.625</v>
      </c>
      <c r="U607" t="str">
        <f t="shared" si="28"/>
        <v>A7E2E0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514</v>
      </c>
      <c r="AJ607">
        <v>39.121864000000002</v>
      </c>
      <c r="AK607" t="s">
        <v>503</v>
      </c>
      <c r="AL607">
        <v>-87.480611999999994</v>
      </c>
      <c r="AM607">
        <v>100</v>
      </c>
      <c r="AN607">
        <v>2400</v>
      </c>
      <c r="AO607" t="s">
        <v>118</v>
      </c>
      <c r="AP607">
        <v>4</v>
      </c>
      <c r="AQ607">
        <v>-143</v>
      </c>
      <c r="AR607">
        <v>832</v>
      </c>
      <c r="AZ607">
        <v>4552</v>
      </c>
      <c r="BA607">
        <v>1</v>
      </c>
      <c r="BB607" t="str">
        <f t="shared" si="29"/>
        <v xml:space="preserve">N607SR  </v>
      </c>
      <c r="BC607">
        <v>1</v>
      </c>
      <c r="BE607">
        <v>0</v>
      </c>
      <c r="BF607">
        <v>0</v>
      </c>
      <c r="BG607">
        <v>0</v>
      </c>
      <c r="BH607">
        <v>2175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"06:13:41.131"</f>
        <v>06:13:41.131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119</v>
      </c>
      <c r="CQ607">
        <v>465</v>
      </c>
      <c r="CR607">
        <v>0</v>
      </c>
      <c r="CW607">
        <v>4715893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"08/29/2020 06:13:37.914"</f>
        <v>08/29/2020 06:13:37.914</v>
      </c>
      <c r="C608" t="str">
        <f t="shared" si="27"/>
        <v>FFDFD3C0</v>
      </c>
      <c r="D608" t="s">
        <v>113</v>
      </c>
      <c r="E608">
        <v>5</v>
      </c>
      <c r="H608">
        <v>163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"06:13:41.125"</f>
        <v>06:13:41.125</v>
      </c>
      <c r="T608" t="str">
        <f>"06:13:40.625"</f>
        <v>06:13:40.625</v>
      </c>
      <c r="U608" t="str">
        <f t="shared" si="28"/>
        <v>A7E2E0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514</v>
      </c>
      <c r="AJ608">
        <v>39.121864000000002</v>
      </c>
      <c r="AK608" t="s">
        <v>503</v>
      </c>
      <c r="AL608">
        <v>-87.480611999999994</v>
      </c>
      <c r="AM608">
        <v>100</v>
      </c>
      <c r="AN608">
        <v>2400</v>
      </c>
      <c r="AO608" t="s">
        <v>118</v>
      </c>
      <c r="AP608">
        <v>4</v>
      </c>
      <c r="AQ608">
        <v>-143</v>
      </c>
      <c r="AR608">
        <v>832</v>
      </c>
      <c r="AZ608">
        <v>4552</v>
      </c>
      <c r="BA608">
        <v>1</v>
      </c>
      <c r="BB608" t="str">
        <f t="shared" si="29"/>
        <v xml:space="preserve">N607SR  </v>
      </c>
      <c r="BC608">
        <v>1</v>
      </c>
      <c r="BE608">
        <v>0</v>
      </c>
      <c r="BF608">
        <v>0</v>
      </c>
      <c r="BG608">
        <v>0</v>
      </c>
      <c r="BH608">
        <v>2175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"06:13:41.131"</f>
        <v>06:13:41.131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465</v>
      </c>
      <c r="CR608">
        <v>0</v>
      </c>
      <c r="CW608">
        <v>4715893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"08/29/2020 06:13:38.470"</f>
        <v>08/29/2020 06:13:38.470</v>
      </c>
      <c r="C609" t="str">
        <f t="shared" si="27"/>
        <v>FFDFD3C0</v>
      </c>
      <c r="D609" t="s">
        <v>121</v>
      </c>
      <c r="E609">
        <v>13</v>
      </c>
      <c r="F609">
        <v>1013</v>
      </c>
      <c r="G609" t="s">
        <v>122</v>
      </c>
      <c r="J609" t="s">
        <v>123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"06:13:41.664"</f>
        <v>06:13:41.664</v>
      </c>
      <c r="T609" t="str">
        <f>"06:13:41.164"</f>
        <v>06:13:41.164</v>
      </c>
      <c r="U609" t="str">
        <f t="shared" si="28"/>
        <v>A7E2E0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160</v>
      </c>
      <c r="AJ609">
        <v>39.121521000000001</v>
      </c>
      <c r="AK609" t="s">
        <v>515</v>
      </c>
      <c r="AL609">
        <v>-87.480590000000007</v>
      </c>
      <c r="AM609">
        <v>100</v>
      </c>
      <c r="AN609">
        <v>2400</v>
      </c>
      <c r="AO609" t="s">
        <v>118</v>
      </c>
      <c r="AP609">
        <v>6</v>
      </c>
      <c r="AQ609">
        <v>-143</v>
      </c>
      <c r="AR609">
        <v>832</v>
      </c>
      <c r="AZ609">
        <v>4552</v>
      </c>
      <c r="BA609">
        <v>1</v>
      </c>
      <c r="BB609" t="str">
        <f t="shared" si="29"/>
        <v xml:space="preserve">N607SR  </v>
      </c>
      <c r="BC609">
        <v>1</v>
      </c>
      <c r="BE609">
        <v>0</v>
      </c>
      <c r="BF609">
        <v>0</v>
      </c>
      <c r="BG609">
        <v>0</v>
      </c>
      <c r="BH609">
        <v>2175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"06:13:41.667"</f>
        <v>06:13:41.667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6</v>
      </c>
      <c r="CP609" t="s">
        <v>119</v>
      </c>
      <c r="CQ609">
        <v>465</v>
      </c>
      <c r="CR609">
        <v>0</v>
      </c>
      <c r="CW609">
        <v>4715912</v>
      </c>
      <c r="CY609">
        <v>1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"08/29/2020 06:13:38.470"</f>
        <v>08/29/2020 06:13:38.470</v>
      </c>
      <c r="C610" t="str">
        <f t="shared" si="27"/>
        <v>FFDFD3C0</v>
      </c>
      <c r="D610" t="s">
        <v>121</v>
      </c>
      <c r="E610">
        <v>10</v>
      </c>
      <c r="F610">
        <v>1010</v>
      </c>
      <c r="G610" t="s">
        <v>114</v>
      </c>
      <c r="J610" t="s">
        <v>123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"06:13:41.664"</f>
        <v>06:13:41.664</v>
      </c>
      <c r="T610" t="str">
        <f>"06:13:41.164"</f>
        <v>06:13:41.164</v>
      </c>
      <c r="U610" t="str">
        <f t="shared" si="28"/>
        <v>A7E2E0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160</v>
      </c>
      <c r="AJ610">
        <v>39.121521000000001</v>
      </c>
      <c r="AK610" t="s">
        <v>515</v>
      </c>
      <c r="AL610">
        <v>-87.480590000000007</v>
      </c>
      <c r="AM610">
        <v>100</v>
      </c>
      <c r="AN610">
        <v>2400</v>
      </c>
      <c r="AO610" t="s">
        <v>118</v>
      </c>
      <c r="AP610">
        <v>6</v>
      </c>
      <c r="AQ610">
        <v>-143</v>
      </c>
      <c r="AR610">
        <v>832</v>
      </c>
      <c r="AZ610">
        <v>4552</v>
      </c>
      <c r="BA610">
        <v>1</v>
      </c>
      <c r="BB610" t="str">
        <f t="shared" si="29"/>
        <v xml:space="preserve">N607SR  </v>
      </c>
      <c r="BC610">
        <v>1</v>
      </c>
      <c r="BE610">
        <v>0</v>
      </c>
      <c r="BF610">
        <v>0</v>
      </c>
      <c r="BG610">
        <v>0</v>
      </c>
      <c r="BH610">
        <v>2175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"06:13:41.667"</f>
        <v>06:13:41.667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6</v>
      </c>
      <c r="CP610" t="s">
        <v>119</v>
      </c>
      <c r="CQ610">
        <v>465</v>
      </c>
      <c r="CR610">
        <v>0</v>
      </c>
      <c r="CW610">
        <v>4715912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"08/29/2020 06:13:38.470"</f>
        <v>08/29/2020 06:13:38.470</v>
      </c>
      <c r="C611" t="str">
        <f t="shared" si="27"/>
        <v>FFDFD3C0</v>
      </c>
      <c r="D611" t="s">
        <v>121</v>
      </c>
      <c r="E611">
        <v>11</v>
      </c>
      <c r="F611">
        <v>1011</v>
      </c>
      <c r="G611" t="s">
        <v>125</v>
      </c>
      <c r="J611" t="s">
        <v>123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"06:13:41.664"</f>
        <v>06:13:41.664</v>
      </c>
      <c r="T611" t="str">
        <f>"06:13:41.164"</f>
        <v>06:13:41.164</v>
      </c>
      <c r="U611" t="str">
        <f t="shared" si="28"/>
        <v>A7E2E0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160</v>
      </c>
      <c r="AJ611">
        <v>39.121521000000001</v>
      </c>
      <c r="AK611" t="s">
        <v>515</v>
      </c>
      <c r="AL611">
        <v>-87.480590000000007</v>
      </c>
      <c r="AM611">
        <v>100</v>
      </c>
      <c r="AN611">
        <v>2400</v>
      </c>
      <c r="AO611" t="s">
        <v>118</v>
      </c>
      <c r="AP611">
        <v>6</v>
      </c>
      <c r="AQ611">
        <v>-143</v>
      </c>
      <c r="AR611">
        <v>832</v>
      </c>
      <c r="AZ611">
        <v>4552</v>
      </c>
      <c r="BA611">
        <v>1</v>
      </c>
      <c r="BB611" t="str">
        <f t="shared" si="29"/>
        <v xml:space="preserve">N607SR  </v>
      </c>
      <c r="BC611">
        <v>1</v>
      </c>
      <c r="BE611">
        <v>0</v>
      </c>
      <c r="BF611">
        <v>0</v>
      </c>
      <c r="BG611">
        <v>0</v>
      </c>
      <c r="BH611">
        <v>2175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"06:13:41.667"</f>
        <v>06:13:41.667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5</v>
      </c>
      <c r="CP611" t="s">
        <v>119</v>
      </c>
      <c r="CQ611">
        <v>457</v>
      </c>
      <c r="CR611">
        <v>0</v>
      </c>
      <c r="CW611">
        <v>15512249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"08/29/2020 06:13:38.927"</f>
        <v>08/29/2020 06:13:38.927</v>
      </c>
      <c r="C612" t="str">
        <f t="shared" si="27"/>
        <v>FFDFD3C0</v>
      </c>
      <c r="D612" t="s">
        <v>128</v>
      </c>
      <c r="E612">
        <v>5</v>
      </c>
      <c r="H612">
        <v>241</v>
      </c>
      <c r="I612" t="s">
        <v>129</v>
      </c>
      <c r="J612" t="s">
        <v>130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"06:13:42.117"</f>
        <v>06:13:42.117</v>
      </c>
      <c r="T612" t="str">
        <f>"06:13:41.717"</f>
        <v>06:13:41.717</v>
      </c>
      <c r="U612" t="str">
        <f t="shared" si="28"/>
        <v>A7E2E0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516</v>
      </c>
      <c r="AJ612">
        <v>39.121220000000001</v>
      </c>
      <c r="AK612" t="s">
        <v>517</v>
      </c>
      <c r="AL612">
        <v>-87.480547000000001</v>
      </c>
      <c r="AM612">
        <v>100</v>
      </c>
      <c r="AN612">
        <v>2400</v>
      </c>
      <c r="AO612" t="s">
        <v>118</v>
      </c>
      <c r="AP612">
        <v>7</v>
      </c>
      <c r="AQ612">
        <v>-143</v>
      </c>
      <c r="AR612">
        <v>832</v>
      </c>
      <c r="AZ612">
        <v>4552</v>
      </c>
      <c r="BA612">
        <v>1</v>
      </c>
      <c r="BB612" t="str">
        <f t="shared" si="29"/>
        <v xml:space="preserve">N607SR  </v>
      </c>
      <c r="BC612">
        <v>1</v>
      </c>
      <c r="BE612">
        <v>0</v>
      </c>
      <c r="BF612">
        <v>0</v>
      </c>
      <c r="BG612">
        <v>0</v>
      </c>
      <c r="BH612">
        <v>2200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"06:13:42.121"</f>
        <v>06:13:42.121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119</v>
      </c>
      <c r="CQ612">
        <v>465</v>
      </c>
      <c r="CR612">
        <v>0</v>
      </c>
      <c r="CW612">
        <v>4715924</v>
      </c>
      <c r="CY612">
        <v>1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"08/29/2020 06:13:38.927"</f>
        <v>08/29/2020 06:13:38.927</v>
      </c>
      <c r="C613" t="str">
        <f t="shared" si="27"/>
        <v>FFDFD3C0</v>
      </c>
      <c r="D613" t="s">
        <v>113</v>
      </c>
      <c r="E613">
        <v>5</v>
      </c>
      <c r="H613">
        <v>163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"06:13:42.117"</f>
        <v>06:13:42.117</v>
      </c>
      <c r="T613" t="str">
        <f>"06:13:41.717"</f>
        <v>06:13:41.717</v>
      </c>
      <c r="U613" t="str">
        <f t="shared" si="28"/>
        <v>A7E2E0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516</v>
      </c>
      <c r="AJ613">
        <v>39.121220000000001</v>
      </c>
      <c r="AK613" t="s">
        <v>517</v>
      </c>
      <c r="AL613">
        <v>-87.480547000000001</v>
      </c>
      <c r="AM613">
        <v>100</v>
      </c>
      <c r="AN613">
        <v>2400</v>
      </c>
      <c r="AO613" t="s">
        <v>118</v>
      </c>
      <c r="AP613">
        <v>7</v>
      </c>
      <c r="AQ613">
        <v>-143</v>
      </c>
      <c r="AR613">
        <v>832</v>
      </c>
      <c r="AZ613">
        <v>4552</v>
      </c>
      <c r="BA613">
        <v>1</v>
      </c>
      <c r="BB613" t="str">
        <f t="shared" si="29"/>
        <v xml:space="preserve">N607SR  </v>
      </c>
      <c r="BC613">
        <v>1</v>
      </c>
      <c r="BE613">
        <v>0</v>
      </c>
      <c r="BF613">
        <v>0</v>
      </c>
      <c r="BG613">
        <v>0</v>
      </c>
      <c r="BH613">
        <v>2200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"06:13:42.121"</f>
        <v>06:13:42.121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119</v>
      </c>
      <c r="CQ613">
        <v>465</v>
      </c>
      <c r="CR613">
        <v>0</v>
      </c>
      <c r="CW613">
        <v>4715924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"08/29/2020 06:13:39.381"</f>
        <v>08/29/2020 06:13:39.381</v>
      </c>
      <c r="C614" t="str">
        <f t="shared" si="27"/>
        <v>FFDFD3C0</v>
      </c>
      <c r="D614" t="s">
        <v>121</v>
      </c>
      <c r="E614">
        <v>13</v>
      </c>
      <c r="F614">
        <v>1013</v>
      </c>
      <c r="G614" t="s">
        <v>122</v>
      </c>
      <c r="J614" t="s">
        <v>123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"06:13:42.594"</f>
        <v>06:13:42.594</v>
      </c>
      <c r="U614" t="str">
        <f t="shared" si="28"/>
        <v>A7E2E0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518</v>
      </c>
      <c r="AJ614">
        <v>39.120877</v>
      </c>
      <c r="AK614" t="s">
        <v>501</v>
      </c>
      <c r="AL614">
        <v>-87.480525999999998</v>
      </c>
      <c r="AM614">
        <v>100</v>
      </c>
      <c r="AN614">
        <v>2400</v>
      </c>
      <c r="AO614" t="s">
        <v>118</v>
      </c>
      <c r="AP614">
        <v>9</v>
      </c>
      <c r="AQ614">
        <v>-143</v>
      </c>
      <c r="AR614">
        <v>832</v>
      </c>
      <c r="AZ614">
        <v>4552</v>
      </c>
      <c r="BA614">
        <v>1</v>
      </c>
      <c r="BB614" t="str">
        <f t="shared" si="29"/>
        <v xml:space="preserve">N607SR  </v>
      </c>
      <c r="BC614">
        <v>1</v>
      </c>
      <c r="BE614">
        <v>0</v>
      </c>
      <c r="BF614">
        <v>0</v>
      </c>
      <c r="BG614">
        <v>0</v>
      </c>
      <c r="BH614">
        <v>2200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"06:13:42.599"</f>
        <v>06:13:42.599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5</v>
      </c>
      <c r="CP614" t="s">
        <v>119</v>
      </c>
      <c r="CQ614">
        <v>465</v>
      </c>
      <c r="CR614">
        <v>0</v>
      </c>
      <c r="CW614">
        <v>4715940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"08/29/2020 06:13:39.381"</f>
        <v>08/29/2020 06:13:39.381</v>
      </c>
      <c r="C615" t="str">
        <f t="shared" si="27"/>
        <v>FFDFD3C0</v>
      </c>
      <c r="D615" t="s">
        <v>121</v>
      </c>
      <c r="E615">
        <v>10</v>
      </c>
      <c r="F615">
        <v>1010</v>
      </c>
      <c r="G615" t="s">
        <v>114</v>
      </c>
      <c r="J615" t="s">
        <v>123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"06:13:42.594"</f>
        <v>06:13:42.594</v>
      </c>
      <c r="U615" t="str">
        <f t="shared" si="28"/>
        <v>A7E2E0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518</v>
      </c>
      <c r="AJ615">
        <v>39.120877</v>
      </c>
      <c r="AK615" t="s">
        <v>501</v>
      </c>
      <c r="AL615">
        <v>-87.480525999999998</v>
      </c>
      <c r="AM615">
        <v>100</v>
      </c>
      <c r="AN615">
        <v>2400</v>
      </c>
      <c r="AO615" t="s">
        <v>118</v>
      </c>
      <c r="AP615">
        <v>9</v>
      </c>
      <c r="AQ615">
        <v>-143</v>
      </c>
      <c r="AR615">
        <v>832</v>
      </c>
      <c r="AZ615">
        <v>4552</v>
      </c>
      <c r="BA615">
        <v>1</v>
      </c>
      <c r="BB615" t="str">
        <f t="shared" si="29"/>
        <v xml:space="preserve">N607SR  </v>
      </c>
      <c r="BC615">
        <v>1</v>
      </c>
      <c r="BE615">
        <v>0</v>
      </c>
      <c r="BF615">
        <v>0</v>
      </c>
      <c r="BG615">
        <v>0</v>
      </c>
      <c r="BH615">
        <v>2200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"06:13:42.599"</f>
        <v>06:13:42.599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5</v>
      </c>
      <c r="CP615" t="s">
        <v>119</v>
      </c>
      <c r="CQ615">
        <v>465</v>
      </c>
      <c r="CR615">
        <v>0</v>
      </c>
      <c r="CW615">
        <v>4715940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"08/29/2020 06:13:39.381"</f>
        <v>08/29/2020 06:13:39.381</v>
      </c>
      <c r="C616" t="str">
        <f t="shared" si="27"/>
        <v>FFDFD3C0</v>
      </c>
      <c r="D616" t="s">
        <v>121</v>
      </c>
      <c r="E616">
        <v>11</v>
      </c>
      <c r="F616">
        <v>1011</v>
      </c>
      <c r="G616" t="s">
        <v>125</v>
      </c>
      <c r="J616" t="s">
        <v>123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"06:13:42.594"</f>
        <v>06:13:42.594</v>
      </c>
      <c r="T616" t="str">
        <f>"06:13:42.194"</f>
        <v>06:13:42.194</v>
      </c>
      <c r="U616" t="str">
        <f t="shared" si="28"/>
        <v>A7E2E0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518</v>
      </c>
      <c r="AJ616">
        <v>39.120877</v>
      </c>
      <c r="AK616" t="s">
        <v>501</v>
      </c>
      <c r="AL616">
        <v>-87.480525999999998</v>
      </c>
      <c r="AM616">
        <v>100</v>
      </c>
      <c r="AN616">
        <v>2400</v>
      </c>
      <c r="AO616" t="s">
        <v>118</v>
      </c>
      <c r="AP616">
        <v>8</v>
      </c>
      <c r="AQ616">
        <v>-143</v>
      </c>
      <c r="AR616">
        <v>832</v>
      </c>
      <c r="AZ616">
        <v>4552</v>
      </c>
      <c r="BA616">
        <v>1</v>
      </c>
      <c r="BB616" t="str">
        <f t="shared" si="29"/>
        <v xml:space="preserve">N607SR  </v>
      </c>
      <c r="BC616">
        <v>1</v>
      </c>
      <c r="BE616">
        <v>0</v>
      </c>
      <c r="BF616">
        <v>0</v>
      </c>
      <c r="BG616">
        <v>0</v>
      </c>
      <c r="BH616">
        <v>2200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"06:13:42.599"</f>
        <v>06:13:42.599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5</v>
      </c>
      <c r="CP616" t="s">
        <v>119</v>
      </c>
      <c r="CQ616">
        <v>457</v>
      </c>
      <c r="CR616">
        <v>0</v>
      </c>
      <c r="CW616">
        <v>15512277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"08/29/2020 06:13:39.841"</f>
        <v>08/29/2020 06:13:39.841</v>
      </c>
      <c r="C617" t="str">
        <f t="shared" si="27"/>
        <v>FFDFD3C0</v>
      </c>
      <c r="D617" t="s">
        <v>128</v>
      </c>
      <c r="E617">
        <v>5</v>
      </c>
      <c r="H617">
        <v>241</v>
      </c>
      <c r="I617" t="s">
        <v>129</v>
      </c>
      <c r="J617" t="s">
        <v>130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"06:13:43.055"</f>
        <v>06:13:43.055</v>
      </c>
      <c r="T617" t="str">
        <f>"06:13:42.655"</f>
        <v>06:13:42.655</v>
      </c>
      <c r="U617" t="str">
        <f t="shared" si="28"/>
        <v>A7E2E0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519</v>
      </c>
      <c r="AJ617">
        <v>39.120598000000001</v>
      </c>
      <c r="AK617" t="s">
        <v>501</v>
      </c>
      <c r="AL617">
        <v>-87.480525999999998</v>
      </c>
      <c r="AM617">
        <v>100</v>
      </c>
      <c r="AN617">
        <v>2400</v>
      </c>
      <c r="AO617" t="s">
        <v>118</v>
      </c>
      <c r="AP617">
        <v>9</v>
      </c>
      <c r="AQ617">
        <v>-143</v>
      </c>
      <c r="AR617">
        <v>832</v>
      </c>
      <c r="AZ617">
        <v>4552</v>
      </c>
      <c r="BA617">
        <v>1</v>
      </c>
      <c r="BB617" t="str">
        <f t="shared" si="29"/>
        <v xml:space="preserve">N607SR  </v>
      </c>
      <c r="BC617">
        <v>1</v>
      </c>
      <c r="BE617">
        <v>0</v>
      </c>
      <c r="BF617">
        <v>0</v>
      </c>
      <c r="BG617">
        <v>0</v>
      </c>
      <c r="BH617">
        <v>2200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"06:13:43.055"</f>
        <v>06:13:43.055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465</v>
      </c>
      <c r="CR617">
        <v>0</v>
      </c>
      <c r="CW617">
        <v>4715950</v>
      </c>
      <c r="CY617">
        <v>1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"08/29/2020 06:13:39.841"</f>
        <v>08/29/2020 06:13:39.841</v>
      </c>
      <c r="C618" t="str">
        <f t="shared" si="27"/>
        <v>FFDFD3C0</v>
      </c>
      <c r="D618" t="s">
        <v>113</v>
      </c>
      <c r="E618">
        <v>5</v>
      </c>
      <c r="H618">
        <v>163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"06:13:43.055"</f>
        <v>06:13:43.055</v>
      </c>
      <c r="T618" t="str">
        <f>"06:13:42.655"</f>
        <v>06:13:42.655</v>
      </c>
      <c r="U618" t="str">
        <f t="shared" si="28"/>
        <v>A7E2E0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519</v>
      </c>
      <c r="AJ618">
        <v>39.120598000000001</v>
      </c>
      <c r="AK618" t="s">
        <v>501</v>
      </c>
      <c r="AL618">
        <v>-87.480525999999998</v>
      </c>
      <c r="AM618">
        <v>100</v>
      </c>
      <c r="AN618">
        <v>2400</v>
      </c>
      <c r="AO618" t="s">
        <v>118</v>
      </c>
      <c r="AP618">
        <v>9</v>
      </c>
      <c r="AQ618">
        <v>-143</v>
      </c>
      <c r="AR618">
        <v>832</v>
      </c>
      <c r="AZ618">
        <v>4552</v>
      </c>
      <c r="BA618">
        <v>1</v>
      </c>
      <c r="BB618" t="str">
        <f t="shared" si="29"/>
        <v xml:space="preserve">N607SR  </v>
      </c>
      <c r="BC618">
        <v>1</v>
      </c>
      <c r="BE618">
        <v>0</v>
      </c>
      <c r="BF618">
        <v>0</v>
      </c>
      <c r="BG618">
        <v>0</v>
      </c>
      <c r="BH618">
        <v>2200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"06:13:43.055"</f>
        <v>06:13:43.055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465</v>
      </c>
      <c r="CR618">
        <v>0</v>
      </c>
      <c r="CW618">
        <v>4715950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"08/29/2020 06:13:40.444"</f>
        <v>08/29/2020 06:13:40.444</v>
      </c>
      <c r="C619" t="str">
        <f t="shared" si="27"/>
        <v>FFDFD3C0</v>
      </c>
      <c r="D619" t="s">
        <v>121</v>
      </c>
      <c r="E619">
        <v>13</v>
      </c>
      <c r="F619">
        <v>1013</v>
      </c>
      <c r="G619" t="s">
        <v>122</v>
      </c>
      <c r="J619" t="s">
        <v>123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"06:13:43.648"</f>
        <v>06:13:43.648</v>
      </c>
      <c r="T619" t="str">
        <f>"06:13:43.148"</f>
        <v>06:13:43.148</v>
      </c>
      <c r="U619" t="str">
        <f t="shared" si="28"/>
        <v>A7E2E0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520</v>
      </c>
      <c r="AJ619">
        <v>39.120212000000002</v>
      </c>
      <c r="AK619" t="s">
        <v>498</v>
      </c>
      <c r="AL619">
        <v>-87.480462000000003</v>
      </c>
      <c r="AM619">
        <v>100</v>
      </c>
      <c r="AN619">
        <v>2400</v>
      </c>
      <c r="AO619" t="s">
        <v>118</v>
      </c>
      <c r="AP619">
        <v>10</v>
      </c>
      <c r="AQ619">
        <v>-143</v>
      </c>
      <c r="AR619">
        <v>832</v>
      </c>
      <c r="AZ619">
        <v>4552</v>
      </c>
      <c r="BA619">
        <v>1</v>
      </c>
      <c r="BB619" t="str">
        <f t="shared" si="29"/>
        <v xml:space="preserve">N607SR  </v>
      </c>
      <c r="BC619">
        <v>1</v>
      </c>
      <c r="BE619">
        <v>0</v>
      </c>
      <c r="BF619">
        <v>0</v>
      </c>
      <c r="BG619">
        <v>0</v>
      </c>
      <c r="BH619">
        <v>2200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"06:13:43.650"</f>
        <v>06:13:43.650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465</v>
      </c>
      <c r="CR619">
        <v>0</v>
      </c>
      <c r="CW619">
        <v>4715966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"08/29/2020 06:13:40.444"</f>
        <v>08/29/2020 06:13:40.444</v>
      </c>
      <c r="C620" t="str">
        <f t="shared" si="27"/>
        <v>FFDFD3C0</v>
      </c>
      <c r="D620" t="s">
        <v>121</v>
      </c>
      <c r="E620">
        <v>10</v>
      </c>
      <c r="F620">
        <v>1010</v>
      </c>
      <c r="G620" t="s">
        <v>114</v>
      </c>
      <c r="J620" t="s">
        <v>123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"06:13:43.648"</f>
        <v>06:13:43.648</v>
      </c>
      <c r="T620" t="str">
        <f>"06:13:43.148"</f>
        <v>06:13:43.148</v>
      </c>
      <c r="U620" t="str">
        <f t="shared" si="28"/>
        <v>A7E2E0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520</v>
      </c>
      <c r="AJ620">
        <v>39.120212000000002</v>
      </c>
      <c r="AK620" t="s">
        <v>498</v>
      </c>
      <c r="AL620">
        <v>-87.480462000000003</v>
      </c>
      <c r="AM620">
        <v>100</v>
      </c>
      <c r="AN620">
        <v>2400</v>
      </c>
      <c r="AO620" t="s">
        <v>118</v>
      </c>
      <c r="AP620">
        <v>10</v>
      </c>
      <c r="AQ620">
        <v>-143</v>
      </c>
      <c r="AR620">
        <v>832</v>
      </c>
      <c r="AZ620">
        <v>4552</v>
      </c>
      <c r="BA620">
        <v>1</v>
      </c>
      <c r="BB620" t="str">
        <f t="shared" si="29"/>
        <v xml:space="preserve">N607SR  </v>
      </c>
      <c r="BC620">
        <v>1</v>
      </c>
      <c r="BE620">
        <v>0</v>
      </c>
      <c r="BF620">
        <v>0</v>
      </c>
      <c r="BG620">
        <v>0</v>
      </c>
      <c r="BH620">
        <v>2200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"06:13:43.650"</f>
        <v>06:13:43.650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465</v>
      </c>
      <c r="CR620">
        <v>0</v>
      </c>
      <c r="CW620">
        <v>4715966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"08/29/2020 06:13:40.444"</f>
        <v>08/29/2020 06:13:40.444</v>
      </c>
      <c r="C621" t="str">
        <f t="shared" si="27"/>
        <v>FFDFD3C0</v>
      </c>
      <c r="D621" t="s">
        <v>121</v>
      </c>
      <c r="E621">
        <v>11</v>
      </c>
      <c r="F621">
        <v>1011</v>
      </c>
      <c r="G621" t="s">
        <v>125</v>
      </c>
      <c r="J621" t="s">
        <v>123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"06:13:43.648"</f>
        <v>06:13:43.648</v>
      </c>
      <c r="T621" t="str">
        <f>"06:13:43.148"</f>
        <v>06:13:43.148</v>
      </c>
      <c r="U621" t="str">
        <f t="shared" si="28"/>
        <v>A7E2E0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520</v>
      </c>
      <c r="AJ621">
        <v>39.120212000000002</v>
      </c>
      <c r="AK621" t="s">
        <v>498</v>
      </c>
      <c r="AL621">
        <v>-87.480462000000003</v>
      </c>
      <c r="AM621">
        <v>100</v>
      </c>
      <c r="AN621">
        <v>2400</v>
      </c>
      <c r="AO621" t="s">
        <v>118</v>
      </c>
      <c r="AP621">
        <v>10</v>
      </c>
      <c r="AQ621">
        <v>-143</v>
      </c>
      <c r="AR621">
        <v>832</v>
      </c>
      <c r="AZ621">
        <v>4552</v>
      </c>
      <c r="BA621">
        <v>1</v>
      </c>
      <c r="BB621" t="str">
        <f t="shared" si="29"/>
        <v xml:space="preserve">N607SR  </v>
      </c>
      <c r="BC621">
        <v>1</v>
      </c>
      <c r="BE621">
        <v>0</v>
      </c>
      <c r="BF621">
        <v>0</v>
      </c>
      <c r="BG621">
        <v>0</v>
      </c>
      <c r="BH621">
        <v>2200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"06:13:43.649"</f>
        <v>06:13:43.649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5</v>
      </c>
      <c r="CP621" t="s">
        <v>119</v>
      </c>
      <c r="CQ621">
        <v>457</v>
      </c>
      <c r="CR621">
        <v>0</v>
      </c>
      <c r="CW621">
        <v>15512303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"08/29/2020 06:13:40.956"</f>
        <v>08/29/2020 06:13:40.956</v>
      </c>
      <c r="C622" t="str">
        <f t="shared" si="27"/>
        <v>FFDFD3C0</v>
      </c>
      <c r="D622" t="s">
        <v>128</v>
      </c>
      <c r="E622">
        <v>5</v>
      </c>
      <c r="H622">
        <v>241</v>
      </c>
      <c r="I622" t="s">
        <v>129</v>
      </c>
      <c r="J622" t="s">
        <v>130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"06:13:44.133"</f>
        <v>06:13:44.133</v>
      </c>
      <c r="T622" t="str">
        <f>"06:13:43.733"</f>
        <v>06:13:43.733</v>
      </c>
      <c r="U622" t="str">
        <f t="shared" si="28"/>
        <v>A7E2E0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521</v>
      </c>
      <c r="AJ622">
        <v>39.119847</v>
      </c>
      <c r="AK622" t="s">
        <v>496</v>
      </c>
      <c r="AL622">
        <v>-87.480418999999998</v>
      </c>
      <c r="AM622">
        <v>100</v>
      </c>
      <c r="AN622">
        <v>2400</v>
      </c>
      <c r="AO622" t="s">
        <v>118</v>
      </c>
      <c r="AP622">
        <v>11</v>
      </c>
      <c r="AQ622">
        <v>-143</v>
      </c>
      <c r="AR622">
        <v>832</v>
      </c>
      <c r="AZ622">
        <v>4552</v>
      </c>
      <c r="BA622">
        <v>1</v>
      </c>
      <c r="BB622" t="str">
        <f t="shared" si="29"/>
        <v xml:space="preserve">N607SR  </v>
      </c>
      <c r="BC622">
        <v>1</v>
      </c>
      <c r="BE622">
        <v>0</v>
      </c>
      <c r="BF622">
        <v>0</v>
      </c>
      <c r="BG622">
        <v>0</v>
      </c>
      <c r="BH622">
        <v>2225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"06:13:44.135"</f>
        <v>06:13:44.135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6</v>
      </c>
      <c r="CP622" t="s">
        <v>119</v>
      </c>
      <c r="CQ622">
        <v>465</v>
      </c>
      <c r="CR622">
        <v>0</v>
      </c>
      <c r="CW622">
        <v>4715978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"08/29/2020 06:13:40.956"</f>
        <v>08/29/2020 06:13:40.956</v>
      </c>
      <c r="C623" t="str">
        <f t="shared" si="27"/>
        <v>FFDFD3C0</v>
      </c>
      <c r="D623" t="s">
        <v>113</v>
      </c>
      <c r="E623">
        <v>5</v>
      </c>
      <c r="H623">
        <v>163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"06:13:44.133"</f>
        <v>06:13:44.133</v>
      </c>
      <c r="T623" t="str">
        <f>"06:13:43.733"</f>
        <v>06:13:43.733</v>
      </c>
      <c r="U623" t="str">
        <f t="shared" si="28"/>
        <v>A7E2E0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521</v>
      </c>
      <c r="AJ623">
        <v>39.119847</v>
      </c>
      <c r="AK623" t="s">
        <v>496</v>
      </c>
      <c r="AL623">
        <v>-87.480418999999998</v>
      </c>
      <c r="AM623">
        <v>100</v>
      </c>
      <c r="AN623">
        <v>2400</v>
      </c>
      <c r="AO623" t="s">
        <v>118</v>
      </c>
      <c r="AP623">
        <v>11</v>
      </c>
      <c r="AQ623">
        <v>-143</v>
      </c>
      <c r="AR623">
        <v>832</v>
      </c>
      <c r="AZ623">
        <v>4552</v>
      </c>
      <c r="BA623">
        <v>1</v>
      </c>
      <c r="BB623" t="str">
        <f t="shared" si="29"/>
        <v xml:space="preserve">N607SR  </v>
      </c>
      <c r="BC623">
        <v>1</v>
      </c>
      <c r="BE623">
        <v>0</v>
      </c>
      <c r="BF623">
        <v>0</v>
      </c>
      <c r="BG623">
        <v>0</v>
      </c>
      <c r="BH623">
        <v>2225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"06:13:44.135"</f>
        <v>06:13:44.135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465</v>
      </c>
      <c r="CR623">
        <v>0</v>
      </c>
      <c r="CW623">
        <v>4715978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"08/29/2020 06:13:41.458"</f>
        <v>08/29/2020 06:13:41.458</v>
      </c>
      <c r="C624" t="str">
        <f t="shared" si="27"/>
        <v>FFDFD3C0</v>
      </c>
      <c r="D624" t="s">
        <v>121</v>
      </c>
      <c r="E624">
        <v>13</v>
      </c>
      <c r="F624">
        <v>1013</v>
      </c>
      <c r="G624" t="s">
        <v>122</v>
      </c>
      <c r="J624" t="s">
        <v>123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"06:13:44.680"</f>
        <v>06:13:44.680</v>
      </c>
      <c r="U624" t="str">
        <f t="shared" si="28"/>
        <v>A7E2E0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146</v>
      </c>
      <c r="AJ624">
        <v>39.119525000000003</v>
      </c>
      <c r="AK624" t="s">
        <v>495</v>
      </c>
      <c r="AL624">
        <v>-87.480396999999996</v>
      </c>
      <c r="AM624">
        <v>100</v>
      </c>
      <c r="AN624">
        <v>2400</v>
      </c>
      <c r="AO624" t="s">
        <v>118</v>
      </c>
      <c r="AP624">
        <v>12</v>
      </c>
      <c r="AQ624">
        <v>-144</v>
      </c>
      <c r="AR624">
        <v>832</v>
      </c>
      <c r="AZ624">
        <v>4552</v>
      </c>
      <c r="BA624">
        <v>1</v>
      </c>
      <c r="BB624" t="str">
        <f t="shared" si="29"/>
        <v xml:space="preserve">N607SR  </v>
      </c>
      <c r="BC624">
        <v>1</v>
      </c>
      <c r="BE624">
        <v>0</v>
      </c>
      <c r="BF624">
        <v>0</v>
      </c>
      <c r="BG624">
        <v>0</v>
      </c>
      <c r="BH624">
        <v>2225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"06:13:44.685"</f>
        <v>06:13:44.685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6</v>
      </c>
      <c r="CP624" t="s">
        <v>119</v>
      </c>
      <c r="CQ624">
        <v>465</v>
      </c>
      <c r="CR624">
        <v>0</v>
      </c>
      <c r="CW624">
        <v>4715995</v>
      </c>
      <c r="CY624">
        <v>1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"08/29/2020 06:13:41.458"</f>
        <v>08/29/2020 06:13:41.458</v>
      </c>
      <c r="C625" t="str">
        <f t="shared" si="27"/>
        <v>FFDFD3C0</v>
      </c>
      <c r="D625" t="s">
        <v>121</v>
      </c>
      <c r="E625">
        <v>10</v>
      </c>
      <c r="F625">
        <v>1010</v>
      </c>
      <c r="G625" t="s">
        <v>114</v>
      </c>
      <c r="J625" t="s">
        <v>123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"06:13:44.680"</f>
        <v>06:13:44.680</v>
      </c>
      <c r="U625" t="str">
        <f t="shared" si="28"/>
        <v>A7E2E0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146</v>
      </c>
      <c r="AJ625">
        <v>39.119525000000003</v>
      </c>
      <c r="AK625" t="s">
        <v>495</v>
      </c>
      <c r="AL625">
        <v>-87.480396999999996</v>
      </c>
      <c r="AM625">
        <v>100</v>
      </c>
      <c r="AN625">
        <v>2400</v>
      </c>
      <c r="AO625" t="s">
        <v>118</v>
      </c>
      <c r="AP625">
        <v>12</v>
      </c>
      <c r="AQ625">
        <v>-144</v>
      </c>
      <c r="AR625">
        <v>832</v>
      </c>
      <c r="AZ625">
        <v>4552</v>
      </c>
      <c r="BA625">
        <v>1</v>
      </c>
      <c r="BB625" t="str">
        <f t="shared" si="29"/>
        <v xml:space="preserve">N607SR  </v>
      </c>
      <c r="BC625">
        <v>1</v>
      </c>
      <c r="BE625">
        <v>0</v>
      </c>
      <c r="BF625">
        <v>0</v>
      </c>
      <c r="BG625">
        <v>0</v>
      </c>
      <c r="BH625">
        <v>2225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"06:13:44.685"</f>
        <v>06:13:44.685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465</v>
      </c>
      <c r="CR625">
        <v>0</v>
      </c>
      <c r="CW625">
        <v>4715995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"08/29/2020 06:13:41.458"</f>
        <v>08/29/2020 06:13:41.458</v>
      </c>
      <c r="C626" t="str">
        <f t="shared" si="27"/>
        <v>FFDFD3C0</v>
      </c>
      <c r="D626" t="s">
        <v>121</v>
      </c>
      <c r="E626">
        <v>11</v>
      </c>
      <c r="F626">
        <v>1011</v>
      </c>
      <c r="G626" t="s">
        <v>125</v>
      </c>
      <c r="J626" t="s">
        <v>123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"06:13:44.680"</f>
        <v>06:13:44.680</v>
      </c>
      <c r="T626" t="str">
        <f>"06:13:44.180"</f>
        <v>06:13:44.180</v>
      </c>
      <c r="U626" t="str">
        <f t="shared" si="28"/>
        <v>A7E2E0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146</v>
      </c>
      <c r="AJ626">
        <v>39.119525000000003</v>
      </c>
      <c r="AK626" t="s">
        <v>495</v>
      </c>
      <c r="AL626">
        <v>-87.480396999999996</v>
      </c>
      <c r="AM626">
        <v>100</v>
      </c>
      <c r="AN626">
        <v>2400</v>
      </c>
      <c r="AO626" t="s">
        <v>118</v>
      </c>
      <c r="AP626">
        <v>11</v>
      </c>
      <c r="AQ626">
        <v>-144</v>
      </c>
      <c r="AR626">
        <v>832</v>
      </c>
      <c r="AZ626">
        <v>4552</v>
      </c>
      <c r="BA626">
        <v>1</v>
      </c>
      <c r="BB626" t="str">
        <f t="shared" si="29"/>
        <v xml:space="preserve">N607SR  </v>
      </c>
      <c r="BC626">
        <v>1</v>
      </c>
      <c r="BE626">
        <v>0</v>
      </c>
      <c r="BF626">
        <v>0</v>
      </c>
      <c r="BG626">
        <v>0</v>
      </c>
      <c r="BH626">
        <v>2225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"06:13:44.685"</f>
        <v>06:13:44.685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119</v>
      </c>
      <c r="CQ626">
        <v>457</v>
      </c>
      <c r="CR626">
        <v>0</v>
      </c>
      <c r="CW626">
        <v>15512333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"08/29/2020 06:13:41.918"</f>
        <v>08/29/2020 06:13:41.918</v>
      </c>
      <c r="C627" t="str">
        <f t="shared" si="27"/>
        <v>FFDFD3C0</v>
      </c>
      <c r="D627" t="s">
        <v>128</v>
      </c>
      <c r="E627">
        <v>5</v>
      </c>
      <c r="H627">
        <v>241</v>
      </c>
      <c r="I627" t="s">
        <v>129</v>
      </c>
      <c r="J627" t="s">
        <v>130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"06:13:45.102"</f>
        <v>06:13:45.102</v>
      </c>
      <c r="T627" t="str">
        <f>"06:13:44.702"</f>
        <v>06:13:44.702</v>
      </c>
      <c r="U627" t="str">
        <f t="shared" si="28"/>
        <v>A7E2E0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144</v>
      </c>
      <c r="AJ627">
        <v>39.119202999999999</v>
      </c>
      <c r="AK627" t="s">
        <v>522</v>
      </c>
      <c r="AL627">
        <v>-87.480376000000007</v>
      </c>
      <c r="AM627">
        <v>100</v>
      </c>
      <c r="AN627">
        <v>2400</v>
      </c>
      <c r="AO627" t="s">
        <v>118</v>
      </c>
      <c r="AP627">
        <v>12</v>
      </c>
      <c r="AQ627">
        <v>-144</v>
      </c>
      <c r="AR627">
        <v>832</v>
      </c>
      <c r="AZ627">
        <v>4552</v>
      </c>
      <c r="BA627">
        <v>1</v>
      </c>
      <c r="BB627" t="str">
        <f t="shared" si="29"/>
        <v xml:space="preserve">N607SR  </v>
      </c>
      <c r="BC627">
        <v>1</v>
      </c>
      <c r="BE627">
        <v>0</v>
      </c>
      <c r="BF627">
        <v>0</v>
      </c>
      <c r="BG627">
        <v>0</v>
      </c>
      <c r="BH627">
        <v>2225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"06:13:45.104"</f>
        <v>06:13:45.104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119</v>
      </c>
      <c r="CQ627">
        <v>465</v>
      </c>
      <c r="CR627">
        <v>0</v>
      </c>
      <c r="CW627">
        <v>4716008</v>
      </c>
      <c r="CY627">
        <v>1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"08/29/2020 06:13:41.918"</f>
        <v>08/29/2020 06:13:41.918</v>
      </c>
      <c r="C628" t="str">
        <f t="shared" si="27"/>
        <v>FFDFD3C0</v>
      </c>
      <c r="D628" t="s">
        <v>113</v>
      </c>
      <c r="E628">
        <v>5</v>
      </c>
      <c r="H628">
        <v>163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"06:13:45.102"</f>
        <v>06:13:45.102</v>
      </c>
      <c r="T628" t="str">
        <f>"06:13:44.702"</f>
        <v>06:13:44.702</v>
      </c>
      <c r="U628" t="str">
        <f t="shared" si="28"/>
        <v>A7E2E0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144</v>
      </c>
      <c r="AJ628">
        <v>39.119202999999999</v>
      </c>
      <c r="AK628" t="s">
        <v>522</v>
      </c>
      <c r="AL628">
        <v>-87.480376000000007</v>
      </c>
      <c r="AM628">
        <v>100</v>
      </c>
      <c r="AN628">
        <v>2400</v>
      </c>
      <c r="AO628" t="s">
        <v>118</v>
      </c>
      <c r="AP628">
        <v>12</v>
      </c>
      <c r="AQ628">
        <v>-144</v>
      </c>
      <c r="AR628">
        <v>832</v>
      </c>
      <c r="AZ628">
        <v>4552</v>
      </c>
      <c r="BA628">
        <v>1</v>
      </c>
      <c r="BB628" t="str">
        <f t="shared" si="29"/>
        <v xml:space="preserve">N607SR  </v>
      </c>
      <c r="BC628">
        <v>1</v>
      </c>
      <c r="BE628">
        <v>0</v>
      </c>
      <c r="BF628">
        <v>0</v>
      </c>
      <c r="BG628">
        <v>0</v>
      </c>
      <c r="BH628">
        <v>2225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"06:13:45.104"</f>
        <v>06:13:45.104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6</v>
      </c>
      <c r="CP628" t="s">
        <v>119</v>
      </c>
      <c r="CQ628">
        <v>465</v>
      </c>
      <c r="CR628">
        <v>0</v>
      </c>
      <c r="CW628">
        <v>4716008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"08/29/2020 06:13:42.369"</f>
        <v>08/29/2020 06:13:42.369</v>
      </c>
      <c r="C629" t="str">
        <f t="shared" si="27"/>
        <v>FFDFD3C0</v>
      </c>
      <c r="D629" t="s">
        <v>121</v>
      </c>
      <c r="E629">
        <v>10</v>
      </c>
      <c r="F629">
        <v>1010</v>
      </c>
      <c r="G629" t="s">
        <v>114</v>
      </c>
      <c r="J629" t="s">
        <v>123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"06:13:45.617"</f>
        <v>06:13:45.617</v>
      </c>
      <c r="T629" t="str">
        <f>"06:13:45.117"</f>
        <v>06:13:45.117</v>
      </c>
      <c r="U629" t="str">
        <f t="shared" si="28"/>
        <v>A7E2E0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523</v>
      </c>
      <c r="AJ629">
        <v>39.118859999999998</v>
      </c>
      <c r="AK629" t="s">
        <v>493</v>
      </c>
      <c r="AL629">
        <v>-87.480354000000005</v>
      </c>
      <c r="AM629">
        <v>100</v>
      </c>
      <c r="AN629">
        <v>2400</v>
      </c>
      <c r="AO629" t="s">
        <v>118</v>
      </c>
      <c r="AP629">
        <v>13</v>
      </c>
      <c r="AQ629">
        <v>-144</v>
      </c>
      <c r="AR629">
        <v>832</v>
      </c>
      <c r="AZ629">
        <v>4552</v>
      </c>
      <c r="BA629">
        <v>1</v>
      </c>
      <c r="BB629" t="str">
        <f t="shared" si="29"/>
        <v xml:space="preserve">N607SR  </v>
      </c>
      <c r="BC629">
        <v>1</v>
      </c>
      <c r="BE629">
        <v>0</v>
      </c>
      <c r="BF629">
        <v>0</v>
      </c>
      <c r="BG629">
        <v>0</v>
      </c>
      <c r="BH629">
        <v>2250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"06:13:45.617"</f>
        <v>06:13:45.617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6</v>
      </c>
      <c r="CP629" t="s">
        <v>119</v>
      </c>
      <c r="CQ629">
        <v>465</v>
      </c>
      <c r="CR629">
        <v>0</v>
      </c>
      <c r="CW629">
        <v>4716020</v>
      </c>
      <c r="CY629">
        <v>1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"08/29/2020 06:13:42.369"</f>
        <v>08/29/2020 06:13:42.369</v>
      </c>
      <c r="C630" t="str">
        <f t="shared" si="27"/>
        <v>FFDFD3C0</v>
      </c>
      <c r="D630" t="s">
        <v>121</v>
      </c>
      <c r="E630">
        <v>13</v>
      </c>
      <c r="F630">
        <v>1013</v>
      </c>
      <c r="G630" t="s">
        <v>122</v>
      </c>
      <c r="J630" t="s">
        <v>123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"06:13:45.617"</f>
        <v>06:13:45.617</v>
      </c>
      <c r="T630" t="str">
        <f>"06:13:45.117"</f>
        <v>06:13:45.117</v>
      </c>
      <c r="U630" t="str">
        <f t="shared" si="28"/>
        <v>A7E2E0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523</v>
      </c>
      <c r="AJ630">
        <v>39.118859999999998</v>
      </c>
      <c r="AK630" t="s">
        <v>493</v>
      </c>
      <c r="AL630">
        <v>-87.480354000000005</v>
      </c>
      <c r="AM630">
        <v>100</v>
      </c>
      <c r="AN630">
        <v>2400</v>
      </c>
      <c r="AO630" t="s">
        <v>118</v>
      </c>
      <c r="AP630">
        <v>13</v>
      </c>
      <c r="AQ630">
        <v>-144</v>
      </c>
      <c r="AR630">
        <v>832</v>
      </c>
      <c r="AZ630">
        <v>4552</v>
      </c>
      <c r="BA630">
        <v>1</v>
      </c>
      <c r="BB630" t="str">
        <f t="shared" si="29"/>
        <v xml:space="preserve">N607SR  </v>
      </c>
      <c r="BC630">
        <v>1</v>
      </c>
      <c r="BE630">
        <v>0</v>
      </c>
      <c r="BF630">
        <v>0</v>
      </c>
      <c r="BG630">
        <v>0</v>
      </c>
      <c r="BH630">
        <v>2250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"06:13:45.617"</f>
        <v>06:13:45.617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119</v>
      </c>
      <c r="CQ630">
        <v>465</v>
      </c>
      <c r="CR630">
        <v>0</v>
      </c>
      <c r="CW630">
        <v>4716020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"08/29/2020 06:13:42.369"</f>
        <v>08/29/2020 06:13:42.369</v>
      </c>
      <c r="C631" t="str">
        <f t="shared" si="27"/>
        <v>FFDFD3C0</v>
      </c>
      <c r="D631" t="s">
        <v>121</v>
      </c>
      <c r="E631">
        <v>11</v>
      </c>
      <c r="F631">
        <v>1011</v>
      </c>
      <c r="G631" t="s">
        <v>125</v>
      </c>
      <c r="J631" t="s">
        <v>123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"06:13:45.609"</f>
        <v>06:13:45.609</v>
      </c>
      <c r="T631" t="str">
        <f>"06:13:45.109"</f>
        <v>06:13:45.109</v>
      </c>
      <c r="U631" t="str">
        <f t="shared" si="28"/>
        <v>A7E2E0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523</v>
      </c>
      <c r="AJ631">
        <v>39.118859999999998</v>
      </c>
      <c r="AK631" t="s">
        <v>493</v>
      </c>
      <c r="AL631">
        <v>-87.480354000000005</v>
      </c>
      <c r="AM631">
        <v>100</v>
      </c>
      <c r="AN631">
        <v>2400</v>
      </c>
      <c r="AO631" t="s">
        <v>118</v>
      </c>
      <c r="AP631">
        <v>13</v>
      </c>
      <c r="AQ631">
        <v>-144</v>
      </c>
      <c r="AR631">
        <v>832</v>
      </c>
      <c r="AZ631">
        <v>4552</v>
      </c>
      <c r="BA631">
        <v>1</v>
      </c>
      <c r="BB631" t="str">
        <f t="shared" si="29"/>
        <v xml:space="preserve">N607SR  </v>
      </c>
      <c r="BC631">
        <v>1</v>
      </c>
      <c r="BE631">
        <v>0</v>
      </c>
      <c r="BF631">
        <v>0</v>
      </c>
      <c r="BG631">
        <v>0</v>
      </c>
      <c r="BH631">
        <v>2250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"06:13:45.617"</f>
        <v>06:13:45.617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457</v>
      </c>
      <c r="CR631">
        <v>0</v>
      </c>
      <c r="CW631">
        <v>15512360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"08/29/2020 06:13:42.780"</f>
        <v>08/29/2020 06:13:42.780</v>
      </c>
      <c r="C632" t="str">
        <f t="shared" si="27"/>
        <v>FFDFD3C0</v>
      </c>
      <c r="D632" t="s">
        <v>128</v>
      </c>
      <c r="E632">
        <v>5</v>
      </c>
      <c r="H632">
        <v>241</v>
      </c>
      <c r="I632" t="s">
        <v>129</v>
      </c>
      <c r="J632" t="s">
        <v>130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"06:13:46.031"</f>
        <v>06:13:46.031</v>
      </c>
      <c r="T632" t="str">
        <f>"06:13:45.631"</f>
        <v>06:13:45.631</v>
      </c>
      <c r="U632" t="str">
        <f t="shared" si="28"/>
        <v>A7E2E0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524</v>
      </c>
      <c r="AJ632">
        <v>39.118580999999999</v>
      </c>
      <c r="AK632" t="s">
        <v>525</v>
      </c>
      <c r="AL632">
        <v>-87.480289999999997</v>
      </c>
      <c r="AM632">
        <v>100</v>
      </c>
      <c r="AN632">
        <v>2500</v>
      </c>
      <c r="AO632" t="s">
        <v>118</v>
      </c>
      <c r="AP632">
        <v>14</v>
      </c>
      <c r="AQ632">
        <v>-144</v>
      </c>
      <c r="AR632">
        <v>832</v>
      </c>
      <c r="AZ632">
        <v>4552</v>
      </c>
      <c r="BA632">
        <v>1</v>
      </c>
      <c r="BB632" t="str">
        <f t="shared" si="29"/>
        <v xml:space="preserve">N607SR  </v>
      </c>
      <c r="BC632">
        <v>1</v>
      </c>
      <c r="BE632">
        <v>0</v>
      </c>
      <c r="BF632">
        <v>0</v>
      </c>
      <c r="BG632">
        <v>0</v>
      </c>
      <c r="BH632">
        <v>2350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"06:13:46.037"</f>
        <v>06:13:46.037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465</v>
      </c>
      <c r="CR632">
        <v>0</v>
      </c>
      <c r="CW632">
        <v>4716030</v>
      </c>
      <c r="CY632">
        <v>1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"08/29/2020 06:13:42.780"</f>
        <v>08/29/2020 06:13:42.780</v>
      </c>
      <c r="C633" t="str">
        <f t="shared" si="27"/>
        <v>FFDFD3C0</v>
      </c>
      <c r="D633" t="s">
        <v>113</v>
      </c>
      <c r="E633">
        <v>5</v>
      </c>
      <c r="H633">
        <v>163</v>
      </c>
      <c r="I633" t="s">
        <v>114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"06:13:46.031"</f>
        <v>06:13:46.031</v>
      </c>
      <c r="T633" t="str">
        <f>"06:13:45.631"</f>
        <v>06:13:45.631</v>
      </c>
      <c r="U633" t="str">
        <f t="shared" si="28"/>
        <v>A7E2E0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524</v>
      </c>
      <c r="AJ633">
        <v>39.118580999999999</v>
      </c>
      <c r="AK633" t="s">
        <v>525</v>
      </c>
      <c r="AL633">
        <v>-87.480289999999997</v>
      </c>
      <c r="AM633">
        <v>100</v>
      </c>
      <c r="AN633">
        <v>2500</v>
      </c>
      <c r="AO633" t="s">
        <v>118</v>
      </c>
      <c r="AP633">
        <v>14</v>
      </c>
      <c r="AQ633">
        <v>-144</v>
      </c>
      <c r="AR633">
        <v>832</v>
      </c>
      <c r="AZ633">
        <v>4552</v>
      </c>
      <c r="BA633">
        <v>1</v>
      </c>
      <c r="BB633" t="str">
        <f t="shared" si="29"/>
        <v xml:space="preserve">N607SR  </v>
      </c>
      <c r="BC633">
        <v>1</v>
      </c>
      <c r="BE633">
        <v>0</v>
      </c>
      <c r="BF633">
        <v>0</v>
      </c>
      <c r="BG633">
        <v>0</v>
      </c>
      <c r="BH633">
        <v>2350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"06:13:46.037"</f>
        <v>06:13:46.037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465</v>
      </c>
      <c r="CR633">
        <v>0</v>
      </c>
      <c r="CW633">
        <v>4716030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"08/29/2020 06:13:43.258"</f>
        <v>08/29/2020 06:13:43.258</v>
      </c>
      <c r="C634" t="str">
        <f t="shared" si="27"/>
        <v>FFDFD3C0</v>
      </c>
      <c r="D634" t="s">
        <v>121</v>
      </c>
      <c r="E634">
        <v>11</v>
      </c>
      <c r="F634">
        <v>1011</v>
      </c>
      <c r="G634" t="s">
        <v>125</v>
      </c>
      <c r="J634" t="s">
        <v>123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"06:13:46.500"</f>
        <v>06:13:46.500</v>
      </c>
      <c r="T634" t="str">
        <f>"06:13:46.100"</f>
        <v>06:13:46.100</v>
      </c>
      <c r="U634" t="str">
        <f t="shared" si="28"/>
        <v>A7E2E0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139</v>
      </c>
      <c r="AJ634">
        <v>39.118279999999999</v>
      </c>
      <c r="AK634" t="s">
        <v>490</v>
      </c>
      <c r="AL634">
        <v>-87.480247000000006</v>
      </c>
      <c r="AM634">
        <v>100</v>
      </c>
      <c r="AN634">
        <v>2500</v>
      </c>
      <c r="AO634" t="s">
        <v>118</v>
      </c>
      <c r="AP634">
        <v>14</v>
      </c>
      <c r="AQ634">
        <v>-144</v>
      </c>
      <c r="AR634">
        <v>832</v>
      </c>
      <c r="AZ634">
        <v>4552</v>
      </c>
      <c r="BA634">
        <v>1</v>
      </c>
      <c r="BB634" t="str">
        <f t="shared" si="29"/>
        <v xml:space="preserve">N607SR  </v>
      </c>
      <c r="BC634">
        <v>1</v>
      </c>
      <c r="BE634">
        <v>0</v>
      </c>
      <c r="BF634">
        <v>0</v>
      </c>
      <c r="BG634">
        <v>0</v>
      </c>
      <c r="BH634">
        <v>2250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"06:13:46.500"</f>
        <v>06:13:46.500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457</v>
      </c>
      <c r="CR634">
        <v>0</v>
      </c>
      <c r="CW634">
        <v>15512386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"08/29/2020 06:13:43.258"</f>
        <v>08/29/2020 06:13:43.258</v>
      </c>
      <c r="C635" t="str">
        <f t="shared" si="27"/>
        <v>FFDFD3C0</v>
      </c>
      <c r="D635" t="s">
        <v>121</v>
      </c>
      <c r="E635">
        <v>10</v>
      </c>
      <c r="F635">
        <v>1010</v>
      </c>
      <c r="G635" t="s">
        <v>114</v>
      </c>
      <c r="J635" t="s">
        <v>123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"06:13:46.500"</f>
        <v>06:13:46.500</v>
      </c>
      <c r="T635" t="str">
        <f>"06:13:46.100"</f>
        <v>06:13:46.100</v>
      </c>
      <c r="U635" t="str">
        <f t="shared" si="28"/>
        <v>A7E2E0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139</v>
      </c>
      <c r="AJ635">
        <v>39.118279999999999</v>
      </c>
      <c r="AK635" t="s">
        <v>490</v>
      </c>
      <c r="AL635">
        <v>-87.480247000000006</v>
      </c>
      <c r="AM635">
        <v>100</v>
      </c>
      <c r="AN635">
        <v>2500</v>
      </c>
      <c r="AO635" t="s">
        <v>118</v>
      </c>
      <c r="AP635">
        <v>14</v>
      </c>
      <c r="AQ635">
        <v>-144</v>
      </c>
      <c r="AR635">
        <v>832</v>
      </c>
      <c r="AZ635">
        <v>4552</v>
      </c>
      <c r="BA635">
        <v>1</v>
      </c>
      <c r="BB635" t="str">
        <f t="shared" si="29"/>
        <v xml:space="preserve">N607SR  </v>
      </c>
      <c r="BC635">
        <v>1</v>
      </c>
      <c r="BE635">
        <v>0</v>
      </c>
      <c r="BF635">
        <v>0</v>
      </c>
      <c r="BG635">
        <v>0</v>
      </c>
      <c r="BH635">
        <v>2250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"06:13:46.500"</f>
        <v>06:13:46.500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465</v>
      </c>
      <c r="CR635">
        <v>0</v>
      </c>
      <c r="CW635">
        <v>4716044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"08/29/2020 06:13:43.258"</f>
        <v>08/29/2020 06:13:43.258</v>
      </c>
      <c r="C636" t="str">
        <f t="shared" si="27"/>
        <v>FFDFD3C0</v>
      </c>
      <c r="D636" t="s">
        <v>121</v>
      </c>
      <c r="E636">
        <v>13</v>
      </c>
      <c r="F636">
        <v>1013</v>
      </c>
      <c r="G636" t="s">
        <v>122</v>
      </c>
      <c r="J636" t="s">
        <v>123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"06:13:46.500"</f>
        <v>06:13:46.500</v>
      </c>
      <c r="T636" t="str">
        <f>"06:13:46.100"</f>
        <v>06:13:46.100</v>
      </c>
      <c r="U636" t="str">
        <f t="shared" si="28"/>
        <v>A7E2E0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139</v>
      </c>
      <c r="AJ636">
        <v>39.118279999999999</v>
      </c>
      <c r="AK636" t="s">
        <v>490</v>
      </c>
      <c r="AL636">
        <v>-87.480247000000006</v>
      </c>
      <c r="AM636">
        <v>100</v>
      </c>
      <c r="AN636">
        <v>2500</v>
      </c>
      <c r="AO636" t="s">
        <v>118</v>
      </c>
      <c r="AP636">
        <v>14</v>
      </c>
      <c r="AQ636">
        <v>-144</v>
      </c>
      <c r="AR636">
        <v>832</v>
      </c>
      <c r="AZ636">
        <v>4552</v>
      </c>
      <c r="BA636">
        <v>1</v>
      </c>
      <c r="BB636" t="str">
        <f t="shared" si="29"/>
        <v xml:space="preserve">N607SR  </v>
      </c>
      <c r="BC636">
        <v>1</v>
      </c>
      <c r="BE636">
        <v>0</v>
      </c>
      <c r="BF636">
        <v>0</v>
      </c>
      <c r="BG636">
        <v>0</v>
      </c>
      <c r="BH636">
        <v>2250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"06:13:46.500"</f>
        <v>06:13:46.500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465</v>
      </c>
      <c r="CR636">
        <v>0</v>
      </c>
      <c r="CW636">
        <v>4716044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"08/29/2020 06:13:43.740"</f>
        <v>08/29/2020 06:13:43.740</v>
      </c>
      <c r="C637" t="str">
        <f t="shared" si="27"/>
        <v>FFDFD3C0</v>
      </c>
      <c r="D637" t="s">
        <v>128</v>
      </c>
      <c r="E637">
        <v>5</v>
      </c>
      <c r="H637">
        <v>241</v>
      </c>
      <c r="I637" t="s">
        <v>129</v>
      </c>
      <c r="J637" t="s">
        <v>130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"06:13:46.961"</f>
        <v>06:13:46.961</v>
      </c>
      <c r="T637" t="str">
        <f>"06:13:46.561"</f>
        <v>06:13:46.561</v>
      </c>
      <c r="U637" t="str">
        <f t="shared" si="28"/>
        <v>A7E2E0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526</v>
      </c>
      <c r="AJ637">
        <v>39.118001</v>
      </c>
      <c r="AK637" t="s">
        <v>490</v>
      </c>
      <c r="AL637">
        <v>-87.480247000000006</v>
      </c>
      <c r="AM637">
        <v>100</v>
      </c>
      <c r="AN637">
        <v>2500</v>
      </c>
      <c r="AO637" t="s">
        <v>118</v>
      </c>
      <c r="AP637">
        <v>15</v>
      </c>
      <c r="AQ637">
        <v>-144</v>
      </c>
      <c r="AR637">
        <v>832</v>
      </c>
      <c r="AZ637">
        <v>4552</v>
      </c>
      <c r="BA637">
        <v>1</v>
      </c>
      <c r="BB637" t="str">
        <f t="shared" si="29"/>
        <v xml:space="preserve">N607SR  </v>
      </c>
      <c r="BC637">
        <v>1</v>
      </c>
      <c r="BE637">
        <v>0</v>
      </c>
      <c r="BF637">
        <v>0</v>
      </c>
      <c r="BG637">
        <v>0</v>
      </c>
      <c r="BH637">
        <v>2250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"06:13:46.964"</f>
        <v>06:13:46.964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465</v>
      </c>
      <c r="CR637">
        <v>0</v>
      </c>
      <c r="CW637">
        <v>4716059</v>
      </c>
      <c r="CY637">
        <v>1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"08/29/2020 06:13:43.740"</f>
        <v>08/29/2020 06:13:43.740</v>
      </c>
      <c r="C638" t="str">
        <f t="shared" si="27"/>
        <v>FFDFD3C0</v>
      </c>
      <c r="D638" t="s">
        <v>113</v>
      </c>
      <c r="E638">
        <v>5</v>
      </c>
      <c r="H638">
        <v>163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"06:13:46.961"</f>
        <v>06:13:46.961</v>
      </c>
      <c r="T638" t="str">
        <f>"06:13:46.561"</f>
        <v>06:13:46.561</v>
      </c>
      <c r="U638" t="str">
        <f t="shared" si="28"/>
        <v>A7E2E0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526</v>
      </c>
      <c r="AJ638">
        <v>39.118001</v>
      </c>
      <c r="AK638" t="s">
        <v>490</v>
      </c>
      <c r="AL638">
        <v>-87.480247000000006</v>
      </c>
      <c r="AM638">
        <v>100</v>
      </c>
      <c r="AN638">
        <v>2500</v>
      </c>
      <c r="AO638" t="s">
        <v>118</v>
      </c>
      <c r="AP638">
        <v>15</v>
      </c>
      <c r="AQ638">
        <v>-144</v>
      </c>
      <c r="AR638">
        <v>832</v>
      </c>
      <c r="AZ638">
        <v>4552</v>
      </c>
      <c r="BA638">
        <v>1</v>
      </c>
      <c r="BB638" t="str">
        <f t="shared" si="29"/>
        <v xml:space="preserve">N607SR  </v>
      </c>
      <c r="BC638">
        <v>1</v>
      </c>
      <c r="BE638">
        <v>0</v>
      </c>
      <c r="BF638">
        <v>0</v>
      </c>
      <c r="BG638">
        <v>0</v>
      </c>
      <c r="BH638">
        <v>2250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"06:13:46.964"</f>
        <v>06:13:46.964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6</v>
      </c>
      <c r="CP638" t="s">
        <v>119</v>
      </c>
      <c r="CQ638">
        <v>465</v>
      </c>
      <c r="CR638">
        <v>0</v>
      </c>
      <c r="CW638">
        <v>4716059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"08/29/2020 06:13:44.321"</f>
        <v>08/29/2020 06:13:44.321</v>
      </c>
      <c r="C639" t="str">
        <f t="shared" si="27"/>
        <v>FFDFD3C0</v>
      </c>
      <c r="D639" t="s">
        <v>121</v>
      </c>
      <c r="E639">
        <v>11</v>
      </c>
      <c r="F639">
        <v>1011</v>
      </c>
      <c r="G639" t="s">
        <v>125</v>
      </c>
      <c r="J639" t="s">
        <v>123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"06:13:47.539"</f>
        <v>06:13:47.539</v>
      </c>
      <c r="T639" t="str">
        <f>"06:13:47.039"</f>
        <v>06:13:47.039</v>
      </c>
      <c r="U639" t="str">
        <f t="shared" si="28"/>
        <v>A7E2E0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527</v>
      </c>
      <c r="AJ639">
        <v>39.117593999999997</v>
      </c>
      <c r="AK639" t="s">
        <v>528</v>
      </c>
      <c r="AL639">
        <v>-87.480182999999997</v>
      </c>
      <c r="AM639">
        <v>100</v>
      </c>
      <c r="AN639">
        <v>2500</v>
      </c>
      <c r="AO639" t="s">
        <v>118</v>
      </c>
      <c r="AP639">
        <v>15</v>
      </c>
      <c r="AQ639">
        <v>-144</v>
      </c>
      <c r="AR639">
        <v>832</v>
      </c>
      <c r="AZ639">
        <v>4552</v>
      </c>
      <c r="BA639">
        <v>1</v>
      </c>
      <c r="BB639" t="str">
        <f t="shared" si="29"/>
        <v xml:space="preserve">N607SR  </v>
      </c>
      <c r="BC639">
        <v>1</v>
      </c>
      <c r="BE639">
        <v>0</v>
      </c>
      <c r="BF639">
        <v>0</v>
      </c>
      <c r="BG639">
        <v>0</v>
      </c>
      <c r="BH639">
        <v>2250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"06:13:47.542"</f>
        <v>06:13:47.542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6</v>
      </c>
      <c r="CP639" t="s">
        <v>119</v>
      </c>
      <c r="CQ639">
        <v>457</v>
      </c>
      <c r="CR639">
        <v>0</v>
      </c>
      <c r="CW639">
        <v>15512413</v>
      </c>
      <c r="CY639">
        <v>1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"08/29/2020 06:13:44.321"</f>
        <v>08/29/2020 06:13:44.321</v>
      </c>
      <c r="C640" t="str">
        <f t="shared" si="27"/>
        <v>FFDFD3C0</v>
      </c>
      <c r="D640" t="s">
        <v>121</v>
      </c>
      <c r="E640">
        <v>13</v>
      </c>
      <c r="F640">
        <v>1013</v>
      </c>
      <c r="G640" t="s">
        <v>122</v>
      </c>
      <c r="J640" t="s">
        <v>123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"06:13:47.539"</f>
        <v>06:13:47.539</v>
      </c>
      <c r="U640" t="str">
        <f t="shared" si="28"/>
        <v>A7E2E0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527</v>
      </c>
      <c r="AJ640">
        <v>39.117593999999997</v>
      </c>
      <c r="AK640" t="s">
        <v>528</v>
      </c>
      <c r="AL640">
        <v>-87.480182999999997</v>
      </c>
      <c r="AM640">
        <v>100</v>
      </c>
      <c r="AN640">
        <v>2500</v>
      </c>
      <c r="AO640" t="s">
        <v>118</v>
      </c>
      <c r="AP640">
        <v>16</v>
      </c>
      <c r="AQ640">
        <v>-144</v>
      </c>
      <c r="AR640">
        <v>832</v>
      </c>
      <c r="AZ640">
        <v>4552</v>
      </c>
      <c r="BA640">
        <v>1</v>
      </c>
      <c r="BB640" t="str">
        <f t="shared" si="29"/>
        <v xml:space="preserve">N607SR  </v>
      </c>
      <c r="BC640">
        <v>1</v>
      </c>
      <c r="BE640">
        <v>0</v>
      </c>
      <c r="BF640">
        <v>0</v>
      </c>
      <c r="BG640">
        <v>0</v>
      </c>
      <c r="BH640">
        <v>2275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"06:13:47.542"</f>
        <v>06:13:47.542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4</v>
      </c>
      <c r="CP640" t="s">
        <v>119</v>
      </c>
      <c r="CQ640">
        <v>517</v>
      </c>
      <c r="CR640">
        <v>1</v>
      </c>
      <c r="CW640">
        <v>2477163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"08/29/2020 06:13:44.321"</f>
        <v>08/29/2020 06:13:44.321</v>
      </c>
      <c r="C641" t="str">
        <f t="shared" si="27"/>
        <v>FFDFD3C0</v>
      </c>
      <c r="D641" t="s">
        <v>121</v>
      </c>
      <c r="E641">
        <v>10</v>
      </c>
      <c r="F641">
        <v>1010</v>
      </c>
      <c r="G641" t="s">
        <v>114</v>
      </c>
      <c r="J641" t="s">
        <v>123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"06:13:47.539"</f>
        <v>06:13:47.539</v>
      </c>
      <c r="U641" t="str">
        <f t="shared" si="28"/>
        <v>A7E2E0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527</v>
      </c>
      <c r="AJ641">
        <v>39.117593999999997</v>
      </c>
      <c r="AK641" t="s">
        <v>528</v>
      </c>
      <c r="AL641">
        <v>-87.480182999999997</v>
      </c>
      <c r="AM641">
        <v>100</v>
      </c>
      <c r="AN641">
        <v>2500</v>
      </c>
      <c r="AO641" t="s">
        <v>118</v>
      </c>
      <c r="AP641">
        <v>16</v>
      </c>
      <c r="AQ641">
        <v>-144</v>
      </c>
      <c r="AR641">
        <v>832</v>
      </c>
      <c r="AZ641">
        <v>4552</v>
      </c>
      <c r="BA641">
        <v>1</v>
      </c>
      <c r="BB641" t="str">
        <f t="shared" si="29"/>
        <v xml:space="preserve">N607SR  </v>
      </c>
      <c r="BC641">
        <v>1</v>
      </c>
      <c r="BE641">
        <v>0</v>
      </c>
      <c r="BF641">
        <v>0</v>
      </c>
      <c r="BG641">
        <v>0</v>
      </c>
      <c r="BH641">
        <v>2275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"06:13:47.542"</f>
        <v>06:13:47.542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4</v>
      </c>
      <c r="CP641" t="s">
        <v>119</v>
      </c>
      <c r="CQ641">
        <v>517</v>
      </c>
      <c r="CR641">
        <v>1</v>
      </c>
      <c r="CW641">
        <v>2477163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"08/29/2020 06:13:44.753"</f>
        <v>08/29/2020 06:13:44.753</v>
      </c>
      <c r="C642" t="str">
        <f t="shared" ref="C642:C705" si="30">"FFDFD3C0"</f>
        <v>FFDFD3C0</v>
      </c>
      <c r="D642" t="s">
        <v>128</v>
      </c>
      <c r="E642">
        <v>5</v>
      </c>
      <c r="H642">
        <v>241</v>
      </c>
      <c r="I642" t="s">
        <v>129</v>
      </c>
      <c r="J642" t="s">
        <v>130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"06:13:47.969"</f>
        <v>06:13:47.969</v>
      </c>
      <c r="T642" t="str">
        <f>"06:13:47.569"</f>
        <v>06:13:47.569</v>
      </c>
      <c r="U642" t="str">
        <f t="shared" ref="U642:U705" si="31">"A7E2E0"</f>
        <v>A7E2E0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133</v>
      </c>
      <c r="AJ642">
        <v>39.117314999999998</v>
      </c>
      <c r="AK642" t="s">
        <v>489</v>
      </c>
      <c r="AL642">
        <v>-87.480140000000006</v>
      </c>
      <c r="AM642">
        <v>100</v>
      </c>
      <c r="AN642">
        <v>2500</v>
      </c>
      <c r="AO642" t="s">
        <v>118</v>
      </c>
      <c r="AP642">
        <v>16</v>
      </c>
      <c r="AQ642">
        <v>-144</v>
      </c>
      <c r="AR642">
        <v>832</v>
      </c>
      <c r="AZ642">
        <v>4552</v>
      </c>
      <c r="BA642">
        <v>1</v>
      </c>
      <c r="BB642" t="str">
        <f t="shared" ref="BB642:BB705" si="32">"N607SR  "</f>
        <v xml:space="preserve">N607SR  </v>
      </c>
      <c r="BC642">
        <v>1</v>
      </c>
      <c r="BE642">
        <v>0</v>
      </c>
      <c r="BF642">
        <v>0</v>
      </c>
      <c r="BG642">
        <v>0</v>
      </c>
      <c r="BH642">
        <v>2275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"06:13:47.973"</f>
        <v>06:13:47.973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465</v>
      </c>
      <c r="CR642">
        <v>0</v>
      </c>
      <c r="CW642">
        <v>4716090</v>
      </c>
      <c r="CY642">
        <v>1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"08/29/2020 06:13:44.753"</f>
        <v>08/29/2020 06:13:44.753</v>
      </c>
      <c r="C643" t="str">
        <f t="shared" si="30"/>
        <v>FFDFD3C0</v>
      </c>
      <c r="D643" t="s">
        <v>113</v>
      </c>
      <c r="E643">
        <v>5</v>
      </c>
      <c r="H643">
        <v>163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"06:13:47.969"</f>
        <v>06:13:47.969</v>
      </c>
      <c r="T643" t="str">
        <f>"06:13:47.569"</f>
        <v>06:13:47.569</v>
      </c>
      <c r="U643" t="str">
        <f t="shared" si="31"/>
        <v>A7E2E0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133</v>
      </c>
      <c r="AJ643">
        <v>39.117314999999998</v>
      </c>
      <c r="AK643" t="s">
        <v>489</v>
      </c>
      <c r="AL643">
        <v>-87.480140000000006</v>
      </c>
      <c r="AM643">
        <v>100</v>
      </c>
      <c r="AN643">
        <v>2500</v>
      </c>
      <c r="AO643" t="s">
        <v>118</v>
      </c>
      <c r="AP643">
        <v>16</v>
      </c>
      <c r="AQ643">
        <v>-144</v>
      </c>
      <c r="AR643">
        <v>832</v>
      </c>
      <c r="AZ643">
        <v>4552</v>
      </c>
      <c r="BA643">
        <v>1</v>
      </c>
      <c r="BB643" t="str">
        <f t="shared" si="32"/>
        <v xml:space="preserve">N607SR  </v>
      </c>
      <c r="BC643">
        <v>1</v>
      </c>
      <c r="BE643">
        <v>0</v>
      </c>
      <c r="BF643">
        <v>0</v>
      </c>
      <c r="BG643">
        <v>0</v>
      </c>
      <c r="BH643">
        <v>2275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"06:13:47.973"</f>
        <v>06:13:47.973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6</v>
      </c>
      <c r="CP643" t="s">
        <v>119</v>
      </c>
      <c r="CQ643">
        <v>465</v>
      </c>
      <c r="CR643">
        <v>0</v>
      </c>
      <c r="CW643">
        <v>4716090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"08/29/2020 06:13:45.200"</f>
        <v>08/29/2020 06:13:45.200</v>
      </c>
      <c r="C644" t="str">
        <f t="shared" si="30"/>
        <v>FFDFD3C0</v>
      </c>
      <c r="D644" t="s">
        <v>121</v>
      </c>
      <c r="E644">
        <v>10</v>
      </c>
      <c r="F644">
        <v>1010</v>
      </c>
      <c r="G644" t="s">
        <v>114</v>
      </c>
      <c r="J644" t="s">
        <v>123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"06:13:48.414"</f>
        <v>06:13:48.414</v>
      </c>
      <c r="T644" t="str">
        <f>"06:13:48.014"</f>
        <v>06:13:48.014</v>
      </c>
      <c r="U644" t="str">
        <f t="shared" si="31"/>
        <v>A7E2E0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529</v>
      </c>
      <c r="AJ644">
        <v>39.117013999999998</v>
      </c>
      <c r="AK644" t="s">
        <v>530</v>
      </c>
      <c r="AL644">
        <v>-87.480097000000001</v>
      </c>
      <c r="AM644">
        <v>100</v>
      </c>
      <c r="AN644">
        <v>2500</v>
      </c>
      <c r="AO644" t="s">
        <v>118</v>
      </c>
      <c r="AP644">
        <v>16</v>
      </c>
      <c r="AQ644">
        <v>-144</v>
      </c>
      <c r="AR644">
        <v>832</v>
      </c>
      <c r="AZ644">
        <v>4552</v>
      </c>
      <c r="BA644">
        <v>1</v>
      </c>
      <c r="BB644" t="str">
        <f t="shared" si="32"/>
        <v xml:space="preserve">N607SR  </v>
      </c>
      <c r="BC644">
        <v>1</v>
      </c>
      <c r="BE644">
        <v>0</v>
      </c>
      <c r="BF644">
        <v>0</v>
      </c>
      <c r="BG644">
        <v>0</v>
      </c>
      <c r="BH644">
        <v>2275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"06:13:48.419"</f>
        <v>06:13:48.419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6</v>
      </c>
      <c r="CP644" t="s">
        <v>119</v>
      </c>
      <c r="CQ644">
        <v>465</v>
      </c>
      <c r="CR644">
        <v>0</v>
      </c>
      <c r="CW644">
        <v>4716100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"08/29/2020 06:13:45.200"</f>
        <v>08/29/2020 06:13:45.200</v>
      </c>
      <c r="C645" t="str">
        <f t="shared" si="30"/>
        <v>FFDFD3C0</v>
      </c>
      <c r="D645" t="s">
        <v>121</v>
      </c>
      <c r="E645">
        <v>13</v>
      </c>
      <c r="F645">
        <v>1013</v>
      </c>
      <c r="G645" t="s">
        <v>122</v>
      </c>
      <c r="J645" t="s">
        <v>123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"06:13:48.414"</f>
        <v>06:13:48.414</v>
      </c>
      <c r="T645" t="str">
        <f>"06:13:48.014"</f>
        <v>06:13:48.014</v>
      </c>
      <c r="U645" t="str">
        <f t="shared" si="31"/>
        <v>A7E2E0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529</v>
      </c>
      <c r="AJ645">
        <v>39.117013999999998</v>
      </c>
      <c r="AK645" t="s">
        <v>530</v>
      </c>
      <c r="AL645">
        <v>-87.480097000000001</v>
      </c>
      <c r="AM645">
        <v>100</v>
      </c>
      <c r="AN645">
        <v>2500</v>
      </c>
      <c r="AO645" t="s">
        <v>118</v>
      </c>
      <c r="AP645">
        <v>16</v>
      </c>
      <c r="AQ645">
        <v>-144</v>
      </c>
      <c r="AR645">
        <v>832</v>
      </c>
      <c r="AZ645">
        <v>4552</v>
      </c>
      <c r="BA645">
        <v>1</v>
      </c>
      <c r="BB645" t="str">
        <f t="shared" si="32"/>
        <v xml:space="preserve">N607SR  </v>
      </c>
      <c r="BC645">
        <v>1</v>
      </c>
      <c r="BE645">
        <v>0</v>
      </c>
      <c r="BF645">
        <v>0</v>
      </c>
      <c r="BG645">
        <v>0</v>
      </c>
      <c r="BH645">
        <v>2275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"06:13:48.419"</f>
        <v>06:13:48.419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6</v>
      </c>
      <c r="CP645" t="s">
        <v>119</v>
      </c>
      <c r="CQ645">
        <v>465</v>
      </c>
      <c r="CR645">
        <v>0</v>
      </c>
      <c r="CW645">
        <v>4716100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"08/29/2020 06:13:45.200"</f>
        <v>08/29/2020 06:13:45.200</v>
      </c>
      <c r="C646" t="str">
        <f t="shared" si="30"/>
        <v>FFDFD3C0</v>
      </c>
      <c r="D646" t="s">
        <v>121</v>
      </c>
      <c r="E646">
        <v>11</v>
      </c>
      <c r="F646">
        <v>1011</v>
      </c>
      <c r="G646" t="s">
        <v>125</v>
      </c>
      <c r="J646" t="s">
        <v>123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"06:13:48.414"</f>
        <v>06:13:48.414</v>
      </c>
      <c r="T646" t="str">
        <f>"06:13:48.014"</f>
        <v>06:13:48.014</v>
      </c>
      <c r="U646" t="str">
        <f t="shared" si="31"/>
        <v>A7E2E0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529</v>
      </c>
      <c r="AJ646">
        <v>39.117013999999998</v>
      </c>
      <c r="AK646" t="s">
        <v>530</v>
      </c>
      <c r="AL646">
        <v>-87.480097000000001</v>
      </c>
      <c r="AM646">
        <v>100</v>
      </c>
      <c r="AN646">
        <v>2500</v>
      </c>
      <c r="AO646" t="s">
        <v>118</v>
      </c>
      <c r="AP646">
        <v>16</v>
      </c>
      <c r="AQ646">
        <v>-144</v>
      </c>
      <c r="AR646">
        <v>832</v>
      </c>
      <c r="AZ646">
        <v>4552</v>
      </c>
      <c r="BA646">
        <v>1</v>
      </c>
      <c r="BB646" t="str">
        <f t="shared" si="32"/>
        <v xml:space="preserve">N607SR  </v>
      </c>
      <c r="BC646">
        <v>1</v>
      </c>
      <c r="BE646">
        <v>0</v>
      </c>
      <c r="BF646">
        <v>0</v>
      </c>
      <c r="BG646">
        <v>0</v>
      </c>
      <c r="BH646">
        <v>2275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"06:13:48.419"</f>
        <v>06:13:48.419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6</v>
      </c>
      <c r="CP646" t="s">
        <v>119</v>
      </c>
      <c r="CQ646">
        <v>457</v>
      </c>
      <c r="CR646">
        <v>0</v>
      </c>
      <c r="CW646">
        <v>15512439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"08/29/2020 06:13:45.614"</f>
        <v>08/29/2020 06:13:45.614</v>
      </c>
      <c r="C647" t="str">
        <f t="shared" si="30"/>
        <v>FFDFD3C0</v>
      </c>
      <c r="D647" t="s">
        <v>128</v>
      </c>
      <c r="E647">
        <v>5</v>
      </c>
      <c r="H647">
        <v>241</v>
      </c>
      <c r="I647" t="s">
        <v>129</v>
      </c>
      <c r="J647" t="s">
        <v>130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"06:13:48.852"</f>
        <v>06:13:48.852</v>
      </c>
      <c r="U647" t="str">
        <f t="shared" si="31"/>
        <v>A7E2E0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531</v>
      </c>
      <c r="AJ647">
        <v>39.116734999999998</v>
      </c>
      <c r="AK647" t="s">
        <v>532</v>
      </c>
      <c r="AL647">
        <v>-87.480031999999994</v>
      </c>
      <c r="AM647">
        <v>100</v>
      </c>
      <c r="AN647">
        <v>2500</v>
      </c>
      <c r="AO647" t="s">
        <v>118</v>
      </c>
      <c r="AP647">
        <v>16</v>
      </c>
      <c r="AQ647">
        <v>-144</v>
      </c>
      <c r="AR647">
        <v>832</v>
      </c>
      <c r="AZ647">
        <v>4552</v>
      </c>
      <c r="BA647">
        <v>1</v>
      </c>
      <c r="BB647" t="str">
        <f t="shared" si="32"/>
        <v xml:space="preserve">N607SR  </v>
      </c>
      <c r="BC647">
        <v>1</v>
      </c>
      <c r="BE647">
        <v>0</v>
      </c>
      <c r="BF647">
        <v>0</v>
      </c>
      <c r="BG647">
        <v>0</v>
      </c>
      <c r="BH647">
        <v>2300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"06:13:48.856"</f>
        <v>06:13:48.856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6</v>
      </c>
      <c r="CP647" t="s">
        <v>119</v>
      </c>
      <c r="CQ647">
        <v>457</v>
      </c>
      <c r="CR647">
        <v>0</v>
      </c>
      <c r="CW647">
        <v>15512452</v>
      </c>
      <c r="CY647">
        <v>1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"08/29/2020 06:13:45.614"</f>
        <v>08/29/2020 06:13:45.614</v>
      </c>
      <c r="C648" t="str">
        <f t="shared" si="30"/>
        <v>FFDFD3C0</v>
      </c>
      <c r="D648" t="s">
        <v>113</v>
      </c>
      <c r="E648">
        <v>5</v>
      </c>
      <c r="H648">
        <v>163</v>
      </c>
      <c r="I648" t="s">
        <v>114</v>
      </c>
      <c r="J648" t="s">
        <v>115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"06:13:48.852"</f>
        <v>06:13:48.852</v>
      </c>
      <c r="U648" t="str">
        <f t="shared" si="31"/>
        <v>A7E2E0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531</v>
      </c>
      <c r="AJ648">
        <v>39.116734999999998</v>
      </c>
      <c r="AK648" t="s">
        <v>532</v>
      </c>
      <c r="AL648">
        <v>-87.480031999999994</v>
      </c>
      <c r="AM648">
        <v>100</v>
      </c>
      <c r="AN648">
        <v>2500</v>
      </c>
      <c r="AO648" t="s">
        <v>118</v>
      </c>
      <c r="AP648">
        <v>16</v>
      </c>
      <c r="AQ648">
        <v>-144</v>
      </c>
      <c r="AR648">
        <v>832</v>
      </c>
      <c r="AZ648">
        <v>4552</v>
      </c>
      <c r="BA648">
        <v>1</v>
      </c>
      <c r="BB648" t="str">
        <f t="shared" si="32"/>
        <v xml:space="preserve">N607SR  </v>
      </c>
      <c r="BC648">
        <v>1</v>
      </c>
      <c r="BE648">
        <v>0</v>
      </c>
      <c r="BF648">
        <v>0</v>
      </c>
      <c r="BG648">
        <v>0</v>
      </c>
      <c r="BH648">
        <v>2300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"06:13:48.856"</f>
        <v>06:13:48.856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6</v>
      </c>
      <c r="CP648" t="s">
        <v>119</v>
      </c>
      <c r="CQ648">
        <v>457</v>
      </c>
      <c r="CR648">
        <v>0</v>
      </c>
      <c r="CW648">
        <v>15512452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"08/29/2020 06:13:46.150"</f>
        <v>08/29/2020 06:13:46.150</v>
      </c>
      <c r="C649" t="str">
        <f t="shared" si="30"/>
        <v>FFDFD3C0</v>
      </c>
      <c r="D649" t="s">
        <v>121</v>
      </c>
      <c r="E649">
        <v>11</v>
      </c>
      <c r="F649">
        <v>1011</v>
      </c>
      <c r="G649" t="s">
        <v>125</v>
      </c>
      <c r="J649" t="s">
        <v>123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"06:13:49.367"</f>
        <v>06:13:49.367</v>
      </c>
      <c r="T649" t="str">
        <f>"06:13:48.867"</f>
        <v>06:13:48.867</v>
      </c>
      <c r="U649" t="str">
        <f t="shared" si="31"/>
        <v>A7E2E0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533</v>
      </c>
      <c r="AJ649">
        <v>39.116413999999999</v>
      </c>
      <c r="AK649" t="s">
        <v>485</v>
      </c>
      <c r="AL649">
        <v>-87.480011000000005</v>
      </c>
      <c r="AM649">
        <v>100</v>
      </c>
      <c r="AN649">
        <v>2500</v>
      </c>
      <c r="AO649" t="s">
        <v>118</v>
      </c>
      <c r="AP649">
        <v>16</v>
      </c>
      <c r="AQ649">
        <v>-144</v>
      </c>
      <c r="AR649">
        <v>832</v>
      </c>
      <c r="AZ649">
        <v>4552</v>
      </c>
      <c r="BA649">
        <v>1</v>
      </c>
      <c r="BB649" t="str">
        <f t="shared" si="32"/>
        <v xml:space="preserve">N607SR  </v>
      </c>
      <c r="BC649">
        <v>1</v>
      </c>
      <c r="BE649">
        <v>0</v>
      </c>
      <c r="BF649">
        <v>0</v>
      </c>
      <c r="BG649">
        <v>0</v>
      </c>
      <c r="BH649">
        <v>2300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"06:13:49.369"</f>
        <v>06:13:49.369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6</v>
      </c>
      <c r="CP649" t="s">
        <v>119</v>
      </c>
      <c r="CQ649">
        <v>457</v>
      </c>
      <c r="CR649">
        <v>0</v>
      </c>
      <c r="CW649">
        <v>15512466</v>
      </c>
      <c r="CY649">
        <v>1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"08/29/2020 06:13:46.150"</f>
        <v>08/29/2020 06:13:46.150</v>
      </c>
      <c r="C650" t="str">
        <f t="shared" si="30"/>
        <v>FFDFD3C0</v>
      </c>
      <c r="D650" t="s">
        <v>121</v>
      </c>
      <c r="E650">
        <v>10</v>
      </c>
      <c r="F650">
        <v>1010</v>
      </c>
      <c r="G650" t="s">
        <v>114</v>
      </c>
      <c r="J650" t="s">
        <v>123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"06:13:49.367"</f>
        <v>06:13:49.367</v>
      </c>
      <c r="T650" t="str">
        <f>"06:13:48.867"</f>
        <v>06:13:48.867</v>
      </c>
      <c r="U650" t="str">
        <f t="shared" si="31"/>
        <v>A7E2E0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533</v>
      </c>
      <c r="AJ650">
        <v>39.116413999999999</v>
      </c>
      <c r="AK650" t="s">
        <v>485</v>
      </c>
      <c r="AL650">
        <v>-87.480011000000005</v>
      </c>
      <c r="AM650">
        <v>100</v>
      </c>
      <c r="AN650">
        <v>2500</v>
      </c>
      <c r="AO650" t="s">
        <v>118</v>
      </c>
      <c r="AP650">
        <v>16</v>
      </c>
      <c r="AQ650">
        <v>-144</v>
      </c>
      <c r="AR650">
        <v>832</v>
      </c>
      <c r="AZ650">
        <v>4552</v>
      </c>
      <c r="BA650">
        <v>1</v>
      </c>
      <c r="BB650" t="str">
        <f t="shared" si="32"/>
        <v xml:space="preserve">N607SR  </v>
      </c>
      <c r="BC650">
        <v>1</v>
      </c>
      <c r="BE650">
        <v>0</v>
      </c>
      <c r="BF650">
        <v>0</v>
      </c>
      <c r="BG650">
        <v>0</v>
      </c>
      <c r="BH650">
        <v>2300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"06:13:49.369"</f>
        <v>06:13:49.369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6</v>
      </c>
      <c r="CP650" t="s">
        <v>119</v>
      </c>
      <c r="CQ650">
        <v>465</v>
      </c>
      <c r="CR650">
        <v>0</v>
      </c>
      <c r="CW650">
        <v>4716123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"08/29/2020 06:13:46.150"</f>
        <v>08/29/2020 06:13:46.150</v>
      </c>
      <c r="C651" t="str">
        <f t="shared" si="30"/>
        <v>FFDFD3C0</v>
      </c>
      <c r="D651" t="s">
        <v>121</v>
      </c>
      <c r="E651">
        <v>13</v>
      </c>
      <c r="F651">
        <v>1013</v>
      </c>
      <c r="G651" t="s">
        <v>122</v>
      </c>
      <c r="J651" t="s">
        <v>123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"06:13:49.367"</f>
        <v>06:13:49.367</v>
      </c>
      <c r="T651" t="str">
        <f>"06:13:48.867"</f>
        <v>06:13:48.867</v>
      </c>
      <c r="U651" t="str">
        <f t="shared" si="31"/>
        <v>A7E2E0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533</v>
      </c>
      <c r="AJ651">
        <v>39.116413999999999</v>
      </c>
      <c r="AK651" t="s">
        <v>485</v>
      </c>
      <c r="AL651">
        <v>-87.480011000000005</v>
      </c>
      <c r="AM651">
        <v>100</v>
      </c>
      <c r="AN651">
        <v>2500</v>
      </c>
      <c r="AO651" t="s">
        <v>118</v>
      </c>
      <c r="AP651">
        <v>16</v>
      </c>
      <c r="AQ651">
        <v>-144</v>
      </c>
      <c r="AR651">
        <v>832</v>
      </c>
      <c r="AZ651">
        <v>4552</v>
      </c>
      <c r="BA651">
        <v>1</v>
      </c>
      <c r="BB651" t="str">
        <f t="shared" si="32"/>
        <v xml:space="preserve">N607SR  </v>
      </c>
      <c r="BC651">
        <v>1</v>
      </c>
      <c r="BE651">
        <v>0</v>
      </c>
      <c r="BF651">
        <v>0</v>
      </c>
      <c r="BG651">
        <v>0</v>
      </c>
      <c r="BH651">
        <v>2300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"06:13:49.369"</f>
        <v>06:13:49.369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6</v>
      </c>
      <c r="CP651" t="s">
        <v>119</v>
      </c>
      <c r="CQ651">
        <v>465</v>
      </c>
      <c r="CR651">
        <v>0</v>
      </c>
      <c r="CW651">
        <v>4716123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"08/29/2020 06:13:46.577"</f>
        <v>08/29/2020 06:13:46.577</v>
      </c>
      <c r="C652" t="str">
        <f t="shared" si="30"/>
        <v>FFDFD3C0</v>
      </c>
      <c r="D652" t="s">
        <v>128</v>
      </c>
      <c r="E652">
        <v>5</v>
      </c>
      <c r="H652">
        <v>241</v>
      </c>
      <c r="I652" t="s">
        <v>129</v>
      </c>
      <c r="J652" t="s">
        <v>130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"06:13:49.789"</f>
        <v>06:13:49.789</v>
      </c>
      <c r="U652" t="str">
        <f t="shared" si="31"/>
        <v>A7E2E0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534</v>
      </c>
      <c r="AJ652">
        <v>39.116135</v>
      </c>
      <c r="AK652" t="s">
        <v>535</v>
      </c>
      <c r="AL652">
        <v>-87.479946999999996</v>
      </c>
      <c r="AM652">
        <v>100</v>
      </c>
      <c r="AN652">
        <v>2500</v>
      </c>
      <c r="AO652" t="s">
        <v>118</v>
      </c>
      <c r="AP652">
        <v>16</v>
      </c>
      <c r="AQ652">
        <v>-144</v>
      </c>
      <c r="AR652">
        <v>832</v>
      </c>
      <c r="AZ652">
        <v>4552</v>
      </c>
      <c r="BA652">
        <v>1</v>
      </c>
      <c r="BB652" t="str">
        <f t="shared" si="32"/>
        <v xml:space="preserve">N607SR  </v>
      </c>
      <c r="BC652">
        <v>1</v>
      </c>
      <c r="BE652">
        <v>0</v>
      </c>
      <c r="BF652">
        <v>0</v>
      </c>
      <c r="BG652">
        <v>0</v>
      </c>
      <c r="BH652">
        <v>2300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"06:13:49.790"</f>
        <v>06:13:49.790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465</v>
      </c>
      <c r="CR652">
        <v>0</v>
      </c>
      <c r="CW652">
        <v>4716135</v>
      </c>
      <c r="CY652">
        <v>1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"08/29/2020 06:13:46.577"</f>
        <v>08/29/2020 06:13:46.577</v>
      </c>
      <c r="C653" t="str">
        <f t="shared" si="30"/>
        <v>FFDFD3C0</v>
      </c>
      <c r="D653" t="s">
        <v>113</v>
      </c>
      <c r="E653">
        <v>5</v>
      </c>
      <c r="H653">
        <v>163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"06:13:49.789"</f>
        <v>06:13:49.789</v>
      </c>
      <c r="U653" t="str">
        <f t="shared" si="31"/>
        <v>A7E2E0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534</v>
      </c>
      <c r="AJ653">
        <v>39.116135</v>
      </c>
      <c r="AK653" t="s">
        <v>535</v>
      </c>
      <c r="AL653">
        <v>-87.479946999999996</v>
      </c>
      <c r="AM653">
        <v>100</v>
      </c>
      <c r="AN653">
        <v>2500</v>
      </c>
      <c r="AO653" t="s">
        <v>118</v>
      </c>
      <c r="AP653">
        <v>16</v>
      </c>
      <c r="AQ653">
        <v>-144</v>
      </c>
      <c r="AR653">
        <v>832</v>
      </c>
      <c r="AZ653">
        <v>4552</v>
      </c>
      <c r="BA653">
        <v>1</v>
      </c>
      <c r="BB653" t="str">
        <f t="shared" si="32"/>
        <v xml:space="preserve">N607SR  </v>
      </c>
      <c r="BC653">
        <v>1</v>
      </c>
      <c r="BE653">
        <v>0</v>
      </c>
      <c r="BF653">
        <v>0</v>
      </c>
      <c r="BG653">
        <v>0</v>
      </c>
      <c r="BH653">
        <v>2300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"06:13:49.790"</f>
        <v>06:13:49.790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6</v>
      </c>
      <c r="CP653" t="s">
        <v>119</v>
      </c>
      <c r="CQ653">
        <v>465</v>
      </c>
      <c r="CR653">
        <v>0</v>
      </c>
      <c r="CW653">
        <v>4716135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"08/29/2020 06:13:47.033"</f>
        <v>08/29/2020 06:13:47.033</v>
      </c>
      <c r="C654" t="str">
        <f t="shared" si="30"/>
        <v>FFDFD3C0</v>
      </c>
      <c r="D654" t="s">
        <v>121</v>
      </c>
      <c r="E654">
        <v>13</v>
      </c>
      <c r="F654">
        <v>1013</v>
      </c>
      <c r="G654" t="s">
        <v>122</v>
      </c>
      <c r="J654" t="s">
        <v>123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"06:13:50.242"</f>
        <v>06:13:50.242</v>
      </c>
      <c r="T654" t="str">
        <f>"06:13:49.842"</f>
        <v>06:13:49.842</v>
      </c>
      <c r="U654" t="str">
        <f t="shared" si="31"/>
        <v>A7E2E0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536</v>
      </c>
      <c r="AJ654">
        <v>39.115791000000002</v>
      </c>
      <c r="AK654" t="s">
        <v>483</v>
      </c>
      <c r="AL654">
        <v>-87.479924999999994</v>
      </c>
      <c r="AM654">
        <v>100</v>
      </c>
      <c r="AN654">
        <v>2500</v>
      </c>
      <c r="AO654" t="s">
        <v>118</v>
      </c>
      <c r="AP654">
        <v>16</v>
      </c>
      <c r="AQ654">
        <v>-144</v>
      </c>
      <c r="AR654">
        <v>832</v>
      </c>
      <c r="AZ654">
        <v>4552</v>
      </c>
      <c r="BA654">
        <v>1</v>
      </c>
      <c r="BB654" t="str">
        <f t="shared" si="32"/>
        <v xml:space="preserve">N607SR  </v>
      </c>
      <c r="BC654">
        <v>1</v>
      </c>
      <c r="BE654">
        <v>0</v>
      </c>
      <c r="BF654">
        <v>0</v>
      </c>
      <c r="BG654">
        <v>0</v>
      </c>
      <c r="BH654">
        <v>2300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"06:13:50.249"</f>
        <v>06:13:50.249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6</v>
      </c>
      <c r="CP654" t="s">
        <v>119</v>
      </c>
      <c r="CQ654">
        <v>465</v>
      </c>
      <c r="CR654">
        <v>0</v>
      </c>
      <c r="CW654">
        <v>4716146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"08/29/2020 06:13:47.033"</f>
        <v>08/29/2020 06:13:47.033</v>
      </c>
      <c r="C655" t="str">
        <f t="shared" si="30"/>
        <v>FFDFD3C0</v>
      </c>
      <c r="D655" t="s">
        <v>121</v>
      </c>
      <c r="E655">
        <v>11</v>
      </c>
      <c r="F655">
        <v>1011</v>
      </c>
      <c r="G655" t="s">
        <v>125</v>
      </c>
      <c r="J655" t="s">
        <v>123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"06:13:50.242"</f>
        <v>06:13:50.242</v>
      </c>
      <c r="T655" t="str">
        <f>"06:13:49.442"</f>
        <v>06:13:49.442</v>
      </c>
      <c r="U655" t="str">
        <f t="shared" si="31"/>
        <v>A7E2E0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536</v>
      </c>
      <c r="AJ655">
        <v>39.115791000000002</v>
      </c>
      <c r="AK655" t="s">
        <v>483</v>
      </c>
      <c r="AL655">
        <v>-87.479924999999994</v>
      </c>
      <c r="AM655">
        <v>100</v>
      </c>
      <c r="AN655">
        <v>2500</v>
      </c>
      <c r="AO655" t="s">
        <v>118</v>
      </c>
      <c r="AP655">
        <v>16</v>
      </c>
      <c r="AQ655">
        <v>-144</v>
      </c>
      <c r="AR655">
        <v>832</v>
      </c>
      <c r="AZ655">
        <v>4552</v>
      </c>
      <c r="BA655">
        <v>1</v>
      </c>
      <c r="BB655" t="str">
        <f t="shared" si="32"/>
        <v xml:space="preserve">N607SR  </v>
      </c>
      <c r="BC655">
        <v>1</v>
      </c>
      <c r="BE655">
        <v>0</v>
      </c>
      <c r="BF655">
        <v>0</v>
      </c>
      <c r="BG655">
        <v>0</v>
      </c>
      <c r="BH655">
        <v>2300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"06:13:50.249"</f>
        <v>06:13:50.249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6</v>
      </c>
      <c r="CP655" t="s">
        <v>119</v>
      </c>
      <c r="CQ655">
        <v>457</v>
      </c>
      <c r="CR655">
        <v>0</v>
      </c>
      <c r="CW655">
        <v>15512490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"08/29/2020 06:13:47.033"</f>
        <v>08/29/2020 06:13:47.033</v>
      </c>
      <c r="C656" t="str">
        <f t="shared" si="30"/>
        <v>FFDFD3C0</v>
      </c>
      <c r="D656" t="s">
        <v>121</v>
      </c>
      <c r="E656">
        <v>10</v>
      </c>
      <c r="F656">
        <v>1010</v>
      </c>
      <c r="G656" t="s">
        <v>114</v>
      </c>
      <c r="J656" t="s">
        <v>123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"06:13:50.242"</f>
        <v>06:13:50.242</v>
      </c>
      <c r="T656" t="str">
        <f>"06:13:49.842"</f>
        <v>06:13:49.842</v>
      </c>
      <c r="U656" t="str">
        <f t="shared" si="31"/>
        <v>A7E2E0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536</v>
      </c>
      <c r="AJ656">
        <v>39.115791000000002</v>
      </c>
      <c r="AK656" t="s">
        <v>483</v>
      </c>
      <c r="AL656">
        <v>-87.479924999999994</v>
      </c>
      <c r="AM656">
        <v>100</v>
      </c>
      <c r="AN656">
        <v>2500</v>
      </c>
      <c r="AO656" t="s">
        <v>118</v>
      </c>
      <c r="AP656">
        <v>16</v>
      </c>
      <c r="AQ656">
        <v>-144</v>
      </c>
      <c r="AR656">
        <v>832</v>
      </c>
      <c r="AZ656">
        <v>4552</v>
      </c>
      <c r="BA656">
        <v>1</v>
      </c>
      <c r="BB656" t="str">
        <f t="shared" si="32"/>
        <v xml:space="preserve">N607SR  </v>
      </c>
      <c r="BC656">
        <v>1</v>
      </c>
      <c r="BE656">
        <v>0</v>
      </c>
      <c r="BF656">
        <v>0</v>
      </c>
      <c r="BG656">
        <v>0</v>
      </c>
      <c r="BH656">
        <v>2300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"06:13:50.249"</f>
        <v>06:13:50.249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6</v>
      </c>
      <c r="CP656" t="s">
        <v>119</v>
      </c>
      <c r="CQ656">
        <v>465</v>
      </c>
      <c r="CR656">
        <v>0</v>
      </c>
      <c r="CW656">
        <v>4716146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"08/29/2020 06:13:47.593"</f>
        <v>08/29/2020 06:13:47.593</v>
      </c>
      <c r="C657" t="str">
        <f t="shared" si="30"/>
        <v>FFDFD3C0</v>
      </c>
      <c r="D657" t="s">
        <v>128</v>
      </c>
      <c r="E657">
        <v>5</v>
      </c>
      <c r="H657">
        <v>241</v>
      </c>
      <c r="I657" t="s">
        <v>129</v>
      </c>
      <c r="J657" t="s">
        <v>130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"06:13:50.820"</f>
        <v>06:13:50.820</v>
      </c>
      <c r="T657" t="str">
        <f>"06:13:50.320"</f>
        <v>06:13:50.320</v>
      </c>
      <c r="U657" t="str">
        <f t="shared" si="31"/>
        <v>A7E2E0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537</v>
      </c>
      <c r="AJ657">
        <v>39.115383999999999</v>
      </c>
      <c r="AK657" t="s">
        <v>538</v>
      </c>
      <c r="AL657">
        <v>-87.479861</v>
      </c>
      <c r="AM657">
        <v>100</v>
      </c>
      <c r="AN657">
        <v>2500</v>
      </c>
      <c r="AO657" t="s">
        <v>118</v>
      </c>
      <c r="AP657">
        <v>16</v>
      </c>
      <c r="AQ657">
        <v>-144</v>
      </c>
      <c r="AR657">
        <v>832</v>
      </c>
      <c r="AZ657">
        <v>4552</v>
      </c>
      <c r="BA657">
        <v>1</v>
      </c>
      <c r="BB657" t="str">
        <f t="shared" si="32"/>
        <v xml:space="preserve">N607SR  </v>
      </c>
      <c r="BC657">
        <v>1</v>
      </c>
      <c r="BE657">
        <v>0</v>
      </c>
      <c r="BF657">
        <v>0</v>
      </c>
      <c r="BG657">
        <v>0</v>
      </c>
      <c r="BH657">
        <v>2300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"06:13:50.821"</f>
        <v>06:13:50.821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6</v>
      </c>
      <c r="CP657" t="s">
        <v>119</v>
      </c>
      <c r="CQ657">
        <v>465</v>
      </c>
      <c r="CR657">
        <v>0</v>
      </c>
      <c r="CW657">
        <v>4716162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"08/29/2020 06:13:47.593"</f>
        <v>08/29/2020 06:13:47.593</v>
      </c>
      <c r="C658" t="str">
        <f t="shared" si="30"/>
        <v>FFDFD3C0</v>
      </c>
      <c r="D658" t="s">
        <v>113</v>
      </c>
      <c r="E658">
        <v>5</v>
      </c>
      <c r="H658">
        <v>163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"06:13:50.820"</f>
        <v>06:13:50.820</v>
      </c>
      <c r="T658" t="str">
        <f>"06:13:50.320"</f>
        <v>06:13:50.320</v>
      </c>
      <c r="U658" t="str">
        <f t="shared" si="31"/>
        <v>A7E2E0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537</v>
      </c>
      <c r="AJ658">
        <v>39.115383999999999</v>
      </c>
      <c r="AK658" t="s">
        <v>538</v>
      </c>
      <c r="AL658">
        <v>-87.479861</v>
      </c>
      <c r="AM658">
        <v>100</v>
      </c>
      <c r="AN658">
        <v>2500</v>
      </c>
      <c r="AO658" t="s">
        <v>118</v>
      </c>
      <c r="AP658">
        <v>16</v>
      </c>
      <c r="AQ658">
        <v>-144</v>
      </c>
      <c r="AR658">
        <v>832</v>
      </c>
      <c r="AZ658">
        <v>4552</v>
      </c>
      <c r="BA658">
        <v>1</v>
      </c>
      <c r="BB658" t="str">
        <f t="shared" si="32"/>
        <v xml:space="preserve">N607SR  </v>
      </c>
      <c r="BC658">
        <v>1</v>
      </c>
      <c r="BE658">
        <v>0</v>
      </c>
      <c r="BF658">
        <v>0</v>
      </c>
      <c r="BG658">
        <v>0</v>
      </c>
      <c r="BH658">
        <v>2300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"06:13:50.821"</f>
        <v>06:13:50.821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6</v>
      </c>
      <c r="CP658" t="s">
        <v>119</v>
      </c>
      <c r="CQ658">
        <v>465</v>
      </c>
      <c r="CR658">
        <v>0</v>
      </c>
      <c r="CW658">
        <v>4716162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"08/29/2020 06:13:48.048"</f>
        <v>08/29/2020 06:13:48.048</v>
      </c>
      <c r="C659" t="str">
        <f t="shared" si="30"/>
        <v>FFDFD3C0</v>
      </c>
      <c r="D659" t="s">
        <v>121</v>
      </c>
      <c r="E659">
        <v>13</v>
      </c>
      <c r="F659">
        <v>1013</v>
      </c>
      <c r="G659" t="s">
        <v>122</v>
      </c>
      <c r="J659" t="s">
        <v>123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"06:13:51.297"</f>
        <v>06:13:51.297</v>
      </c>
      <c r="T659" t="str">
        <f>"06:13:50.897"</f>
        <v>06:13:50.897</v>
      </c>
      <c r="U659" t="str">
        <f t="shared" si="31"/>
        <v>A7E2E0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539</v>
      </c>
      <c r="AJ659">
        <v>39.115082999999998</v>
      </c>
      <c r="AK659" t="s">
        <v>481</v>
      </c>
      <c r="AL659">
        <v>-87.479838999999998</v>
      </c>
      <c r="AM659">
        <v>100</v>
      </c>
      <c r="AN659">
        <v>2500</v>
      </c>
      <c r="AO659" t="s">
        <v>118</v>
      </c>
      <c r="AP659">
        <v>16</v>
      </c>
      <c r="AQ659">
        <v>-145</v>
      </c>
      <c r="AR659">
        <v>832</v>
      </c>
      <c r="AZ659">
        <v>4552</v>
      </c>
      <c r="BA659">
        <v>1</v>
      </c>
      <c r="BB659" t="str">
        <f t="shared" si="32"/>
        <v xml:space="preserve">N607SR  </v>
      </c>
      <c r="BC659">
        <v>1</v>
      </c>
      <c r="BE659">
        <v>0</v>
      </c>
      <c r="BF659">
        <v>0</v>
      </c>
      <c r="BG659">
        <v>0</v>
      </c>
      <c r="BH659">
        <v>2325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"06:13:51.299"</f>
        <v>06:13:51.299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465</v>
      </c>
      <c r="CR659">
        <v>0</v>
      </c>
      <c r="CW659">
        <v>4716178</v>
      </c>
      <c r="CY659">
        <v>1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"08/29/2020 06:13:48.048"</f>
        <v>08/29/2020 06:13:48.048</v>
      </c>
      <c r="C660" t="str">
        <f t="shared" si="30"/>
        <v>FFDFD3C0</v>
      </c>
      <c r="D660" t="s">
        <v>121</v>
      </c>
      <c r="E660">
        <v>11</v>
      </c>
      <c r="F660">
        <v>1011</v>
      </c>
      <c r="G660" t="s">
        <v>125</v>
      </c>
      <c r="J660" t="s">
        <v>123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"06:13:51.297"</f>
        <v>06:13:51.297</v>
      </c>
      <c r="T660" t="str">
        <f>"06:13:50.897"</f>
        <v>06:13:50.897</v>
      </c>
      <c r="U660" t="str">
        <f t="shared" si="31"/>
        <v>A7E2E0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539</v>
      </c>
      <c r="AJ660">
        <v>39.115082999999998</v>
      </c>
      <c r="AK660" t="s">
        <v>481</v>
      </c>
      <c r="AL660">
        <v>-87.479838999999998</v>
      </c>
      <c r="AM660">
        <v>100</v>
      </c>
      <c r="AN660">
        <v>2500</v>
      </c>
      <c r="AO660" t="s">
        <v>118</v>
      </c>
      <c r="AP660">
        <v>16</v>
      </c>
      <c r="AQ660">
        <v>-145</v>
      </c>
      <c r="AR660">
        <v>832</v>
      </c>
      <c r="AZ660">
        <v>4552</v>
      </c>
      <c r="BA660">
        <v>1</v>
      </c>
      <c r="BB660" t="str">
        <f t="shared" si="32"/>
        <v xml:space="preserve">N607SR  </v>
      </c>
      <c r="BC660">
        <v>1</v>
      </c>
      <c r="BE660">
        <v>0</v>
      </c>
      <c r="BF660">
        <v>0</v>
      </c>
      <c r="BG660">
        <v>0</v>
      </c>
      <c r="BH660">
        <v>2325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"06:13:51.299"</f>
        <v>06:13:51.299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6</v>
      </c>
      <c r="CP660" t="s">
        <v>119</v>
      </c>
      <c r="CQ660">
        <v>457</v>
      </c>
      <c r="CR660">
        <v>0</v>
      </c>
      <c r="CW660">
        <v>15512519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"08/29/2020 06:13:48.048"</f>
        <v>08/29/2020 06:13:48.048</v>
      </c>
      <c r="C661" t="str">
        <f t="shared" si="30"/>
        <v>FFDFD3C0</v>
      </c>
      <c r="D661" t="s">
        <v>121</v>
      </c>
      <c r="E661">
        <v>10</v>
      </c>
      <c r="F661">
        <v>1010</v>
      </c>
      <c r="G661" t="s">
        <v>114</v>
      </c>
      <c r="J661" t="s">
        <v>123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"06:13:51.297"</f>
        <v>06:13:51.297</v>
      </c>
      <c r="T661" t="str">
        <f>"06:13:50.897"</f>
        <v>06:13:50.897</v>
      </c>
      <c r="U661" t="str">
        <f t="shared" si="31"/>
        <v>A7E2E0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539</v>
      </c>
      <c r="AJ661">
        <v>39.115082999999998</v>
      </c>
      <c r="AK661" t="s">
        <v>481</v>
      </c>
      <c r="AL661">
        <v>-87.479838999999998</v>
      </c>
      <c r="AM661">
        <v>100</v>
      </c>
      <c r="AN661">
        <v>2500</v>
      </c>
      <c r="AO661" t="s">
        <v>118</v>
      </c>
      <c r="AP661">
        <v>16</v>
      </c>
      <c r="AQ661">
        <v>-145</v>
      </c>
      <c r="AR661">
        <v>832</v>
      </c>
      <c r="AZ661">
        <v>4552</v>
      </c>
      <c r="BA661">
        <v>1</v>
      </c>
      <c r="BB661" t="str">
        <f t="shared" si="32"/>
        <v xml:space="preserve">N607SR  </v>
      </c>
      <c r="BC661">
        <v>1</v>
      </c>
      <c r="BE661">
        <v>0</v>
      </c>
      <c r="BF661">
        <v>0</v>
      </c>
      <c r="BG661">
        <v>0</v>
      </c>
      <c r="BH661">
        <v>2325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"06:13:51.299"</f>
        <v>06:13:51.299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6</v>
      </c>
      <c r="CP661" t="s">
        <v>119</v>
      </c>
      <c r="CQ661">
        <v>465</v>
      </c>
      <c r="CR661">
        <v>0</v>
      </c>
      <c r="CW661">
        <v>4716178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"08/29/2020 06:13:48.660"</f>
        <v>08/29/2020 06:13:48.660</v>
      </c>
      <c r="C662" t="str">
        <f t="shared" si="30"/>
        <v>FFDFD3C0</v>
      </c>
      <c r="D662" t="s">
        <v>128</v>
      </c>
      <c r="E662">
        <v>5</v>
      </c>
      <c r="H662">
        <v>241</v>
      </c>
      <c r="I662" t="s">
        <v>129</v>
      </c>
      <c r="J662" t="s">
        <v>130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"06:13:51.867"</f>
        <v>06:13:51.867</v>
      </c>
      <c r="T662" t="str">
        <f>"06:13:51.367"</f>
        <v>06:13:51.367</v>
      </c>
      <c r="U662" t="str">
        <f t="shared" si="31"/>
        <v>A7E2E0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540</v>
      </c>
      <c r="AJ662">
        <v>39.114718000000003</v>
      </c>
      <c r="AK662" t="s">
        <v>541</v>
      </c>
      <c r="AL662">
        <v>-87.479731999999998</v>
      </c>
      <c r="AM662">
        <v>100</v>
      </c>
      <c r="AN662">
        <v>2500</v>
      </c>
      <c r="AO662" t="s">
        <v>118</v>
      </c>
      <c r="AP662">
        <v>16</v>
      </c>
      <c r="AQ662">
        <v>-145</v>
      </c>
      <c r="AR662">
        <v>832</v>
      </c>
      <c r="AZ662">
        <v>4552</v>
      </c>
      <c r="BA662">
        <v>1</v>
      </c>
      <c r="BB662" t="str">
        <f t="shared" si="32"/>
        <v xml:space="preserve">N607SR  </v>
      </c>
      <c r="BC662">
        <v>1</v>
      </c>
      <c r="BE662">
        <v>0</v>
      </c>
      <c r="BF662">
        <v>0</v>
      </c>
      <c r="BG662">
        <v>0</v>
      </c>
      <c r="BH662">
        <v>2325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"06:13:51.871"</f>
        <v>06:13:51.871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6</v>
      </c>
      <c r="CP662" t="s">
        <v>119</v>
      </c>
      <c r="CQ662">
        <v>457</v>
      </c>
      <c r="CR662">
        <v>0</v>
      </c>
      <c r="CW662">
        <v>15512537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"08/29/2020 06:13:48.660"</f>
        <v>08/29/2020 06:13:48.660</v>
      </c>
      <c r="C663" t="str">
        <f t="shared" si="30"/>
        <v>FFDFD3C0</v>
      </c>
      <c r="D663" t="s">
        <v>113</v>
      </c>
      <c r="E663">
        <v>5</v>
      </c>
      <c r="H663">
        <v>163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"06:13:51.867"</f>
        <v>06:13:51.867</v>
      </c>
      <c r="T663" t="str">
        <f>"06:13:51.367"</f>
        <v>06:13:51.367</v>
      </c>
      <c r="U663" t="str">
        <f t="shared" si="31"/>
        <v>A7E2E0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540</v>
      </c>
      <c r="AJ663">
        <v>39.114718000000003</v>
      </c>
      <c r="AK663" t="s">
        <v>541</v>
      </c>
      <c r="AL663">
        <v>-87.479731999999998</v>
      </c>
      <c r="AM663">
        <v>100</v>
      </c>
      <c r="AN663">
        <v>2500</v>
      </c>
      <c r="AO663" t="s">
        <v>118</v>
      </c>
      <c r="AP663">
        <v>16</v>
      </c>
      <c r="AQ663">
        <v>-145</v>
      </c>
      <c r="AR663">
        <v>832</v>
      </c>
      <c r="AZ663">
        <v>4552</v>
      </c>
      <c r="BA663">
        <v>1</v>
      </c>
      <c r="BB663" t="str">
        <f t="shared" si="32"/>
        <v xml:space="preserve">N607SR  </v>
      </c>
      <c r="BC663">
        <v>1</v>
      </c>
      <c r="BE663">
        <v>0</v>
      </c>
      <c r="BF663">
        <v>0</v>
      </c>
      <c r="BG663">
        <v>0</v>
      </c>
      <c r="BH663">
        <v>2325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"06:13:51.871"</f>
        <v>06:13:51.871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6</v>
      </c>
      <c r="CP663" t="s">
        <v>119</v>
      </c>
      <c r="CQ663">
        <v>457</v>
      </c>
      <c r="CR663">
        <v>0</v>
      </c>
      <c r="CW663">
        <v>15512537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"08/29/2020 06:13:49.183"</f>
        <v>08/29/2020 06:13:49.183</v>
      </c>
      <c r="C664" t="str">
        <f t="shared" si="30"/>
        <v>FFDFD3C0</v>
      </c>
      <c r="D664" t="s">
        <v>121</v>
      </c>
      <c r="E664">
        <v>11</v>
      </c>
      <c r="F664">
        <v>1011</v>
      </c>
      <c r="G664" t="s">
        <v>125</v>
      </c>
      <c r="J664" t="s">
        <v>123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"06:13:52.375"</f>
        <v>06:13:52.375</v>
      </c>
      <c r="T664" t="str">
        <f>"06:13:51.875"</f>
        <v>06:13:51.875</v>
      </c>
      <c r="U664" t="str">
        <f t="shared" si="31"/>
        <v>A7E2E0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542</v>
      </c>
      <c r="AJ664">
        <v>39.114396999999997</v>
      </c>
      <c r="AK664" t="s">
        <v>478</v>
      </c>
      <c r="AL664">
        <v>-87.479710999999995</v>
      </c>
      <c r="AM664">
        <v>100</v>
      </c>
      <c r="AN664">
        <v>2500</v>
      </c>
      <c r="AO664" t="s">
        <v>118</v>
      </c>
      <c r="AP664">
        <v>16</v>
      </c>
      <c r="AQ664">
        <v>-145</v>
      </c>
      <c r="AR664">
        <v>768</v>
      </c>
      <c r="AZ664">
        <v>4552</v>
      </c>
      <c r="BA664">
        <v>1</v>
      </c>
      <c r="BB664" t="str">
        <f t="shared" si="32"/>
        <v xml:space="preserve">N607SR  </v>
      </c>
      <c r="BC664">
        <v>1</v>
      </c>
      <c r="BE664">
        <v>0</v>
      </c>
      <c r="BF664">
        <v>0</v>
      </c>
      <c r="BG664">
        <v>0</v>
      </c>
      <c r="BH664">
        <v>2325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"06:13:52.376"</f>
        <v>06:13:52.376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6</v>
      </c>
      <c r="CP664" t="s">
        <v>119</v>
      </c>
      <c r="CQ664">
        <v>457</v>
      </c>
      <c r="CR664">
        <v>0</v>
      </c>
      <c r="CW664">
        <v>15512550</v>
      </c>
      <c r="CY664">
        <v>1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"08/29/2020 06:13:49.183"</f>
        <v>08/29/2020 06:13:49.183</v>
      </c>
      <c r="C665" t="str">
        <f t="shared" si="30"/>
        <v>FFDFD3C0</v>
      </c>
      <c r="D665" t="s">
        <v>121</v>
      </c>
      <c r="E665">
        <v>13</v>
      </c>
      <c r="F665">
        <v>1013</v>
      </c>
      <c r="G665" t="s">
        <v>122</v>
      </c>
      <c r="J665" t="s">
        <v>123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"06:13:52.375"</f>
        <v>06:13:52.375</v>
      </c>
      <c r="U665" t="str">
        <f t="shared" si="31"/>
        <v>A7E2E0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542</v>
      </c>
      <c r="AJ665">
        <v>39.114396999999997</v>
      </c>
      <c r="AK665" t="s">
        <v>478</v>
      </c>
      <c r="AL665">
        <v>-87.479710999999995</v>
      </c>
      <c r="AM665">
        <v>100</v>
      </c>
      <c r="AN665">
        <v>2500</v>
      </c>
      <c r="AO665" t="s">
        <v>118</v>
      </c>
      <c r="AP665">
        <v>15</v>
      </c>
      <c r="AQ665">
        <v>-145</v>
      </c>
      <c r="AR665">
        <v>768</v>
      </c>
      <c r="AZ665">
        <v>4552</v>
      </c>
      <c r="BA665">
        <v>1</v>
      </c>
      <c r="BB665" t="str">
        <f t="shared" si="32"/>
        <v xml:space="preserve">N607SR  </v>
      </c>
      <c r="BC665">
        <v>1</v>
      </c>
      <c r="BE665">
        <v>0</v>
      </c>
      <c r="BF665">
        <v>0</v>
      </c>
      <c r="BG665">
        <v>0</v>
      </c>
      <c r="BH665">
        <v>2325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"06:13:52.376"</f>
        <v>06:13:52.376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5</v>
      </c>
      <c r="CP665" t="s">
        <v>119</v>
      </c>
      <c r="CQ665">
        <v>465</v>
      </c>
      <c r="CR665">
        <v>1</v>
      </c>
      <c r="CW665">
        <v>4716216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"08/29/2020 06:13:49.183"</f>
        <v>08/29/2020 06:13:49.183</v>
      </c>
      <c r="C666" t="str">
        <f t="shared" si="30"/>
        <v>FFDFD3C0</v>
      </c>
      <c r="D666" t="s">
        <v>121</v>
      </c>
      <c r="E666">
        <v>10</v>
      </c>
      <c r="F666">
        <v>1010</v>
      </c>
      <c r="G666" t="s">
        <v>114</v>
      </c>
      <c r="J666" t="s">
        <v>123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"06:13:52.375"</f>
        <v>06:13:52.375</v>
      </c>
      <c r="U666" t="str">
        <f t="shared" si="31"/>
        <v>A7E2E0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542</v>
      </c>
      <c r="AJ666">
        <v>39.114396999999997</v>
      </c>
      <c r="AK666" t="s">
        <v>478</v>
      </c>
      <c r="AL666">
        <v>-87.479710999999995</v>
      </c>
      <c r="AM666">
        <v>100</v>
      </c>
      <c r="AN666">
        <v>2500</v>
      </c>
      <c r="AO666" t="s">
        <v>118</v>
      </c>
      <c r="AP666">
        <v>15</v>
      </c>
      <c r="AQ666">
        <v>-145</v>
      </c>
      <c r="AR666">
        <v>768</v>
      </c>
      <c r="AZ666">
        <v>4552</v>
      </c>
      <c r="BA666">
        <v>1</v>
      </c>
      <c r="BB666" t="str">
        <f t="shared" si="32"/>
        <v xml:space="preserve">N607SR  </v>
      </c>
      <c r="BC666">
        <v>1</v>
      </c>
      <c r="BE666">
        <v>0</v>
      </c>
      <c r="BF666">
        <v>0</v>
      </c>
      <c r="BG666">
        <v>0</v>
      </c>
      <c r="BH666">
        <v>2325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"06:13:52.376"</f>
        <v>06:13:52.376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5</v>
      </c>
      <c r="CP666" t="s">
        <v>119</v>
      </c>
      <c r="CQ666">
        <v>465</v>
      </c>
      <c r="CR666">
        <v>1</v>
      </c>
      <c r="CW666">
        <v>4716216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"08/29/2020 06:13:49.673"</f>
        <v>08/29/2020 06:13:49.673</v>
      </c>
      <c r="C667" t="str">
        <f t="shared" si="30"/>
        <v>FFDFD3C0</v>
      </c>
      <c r="D667" t="s">
        <v>128</v>
      </c>
      <c r="E667">
        <v>5</v>
      </c>
      <c r="H667">
        <v>241</v>
      </c>
      <c r="I667" t="s">
        <v>129</v>
      </c>
      <c r="J667" t="s">
        <v>130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"06:13:52.852"</f>
        <v>06:13:52.852</v>
      </c>
      <c r="T667" t="str">
        <f>"06:13:52.452"</f>
        <v>06:13:52.452</v>
      </c>
      <c r="U667" t="str">
        <f t="shared" si="31"/>
        <v>A7E2E0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543</v>
      </c>
      <c r="AJ667">
        <v>39.114032000000002</v>
      </c>
      <c r="AK667" t="s">
        <v>544</v>
      </c>
      <c r="AL667">
        <v>-87.479668000000004</v>
      </c>
      <c r="AM667">
        <v>100</v>
      </c>
      <c r="AN667">
        <v>2600</v>
      </c>
      <c r="AO667" t="s">
        <v>118</v>
      </c>
      <c r="AP667">
        <v>15</v>
      </c>
      <c r="AQ667">
        <v>-145</v>
      </c>
      <c r="AR667">
        <v>768</v>
      </c>
      <c r="AZ667">
        <v>4552</v>
      </c>
      <c r="BA667">
        <v>1</v>
      </c>
      <c r="BB667" t="str">
        <f t="shared" si="32"/>
        <v xml:space="preserve">N607SR  </v>
      </c>
      <c r="BC667">
        <v>1</v>
      </c>
      <c r="BE667">
        <v>0</v>
      </c>
      <c r="BF667">
        <v>0</v>
      </c>
      <c r="BG667">
        <v>0</v>
      </c>
      <c r="BH667">
        <v>2425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"06:13:52.852"</f>
        <v>06:13:52.852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6</v>
      </c>
      <c r="CP667" t="s">
        <v>119</v>
      </c>
      <c r="CQ667">
        <v>457</v>
      </c>
      <c r="CR667">
        <v>0</v>
      </c>
      <c r="CW667">
        <v>15512562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"08/29/2020 06:13:49.673"</f>
        <v>08/29/2020 06:13:49.673</v>
      </c>
      <c r="C668" t="str">
        <f t="shared" si="30"/>
        <v>FFDFD3C0</v>
      </c>
      <c r="D668" t="s">
        <v>113</v>
      </c>
      <c r="E668">
        <v>5</v>
      </c>
      <c r="H668">
        <v>163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"06:13:52.852"</f>
        <v>06:13:52.852</v>
      </c>
      <c r="T668" t="str">
        <f>"06:13:52.452"</f>
        <v>06:13:52.452</v>
      </c>
      <c r="U668" t="str">
        <f t="shared" si="31"/>
        <v>A7E2E0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543</v>
      </c>
      <c r="AJ668">
        <v>39.114032000000002</v>
      </c>
      <c r="AK668" t="s">
        <v>544</v>
      </c>
      <c r="AL668">
        <v>-87.479668000000004</v>
      </c>
      <c r="AM668">
        <v>100</v>
      </c>
      <c r="AN668">
        <v>2600</v>
      </c>
      <c r="AO668" t="s">
        <v>118</v>
      </c>
      <c r="AP668">
        <v>15</v>
      </c>
      <c r="AQ668">
        <v>-145</v>
      </c>
      <c r="AR668">
        <v>768</v>
      </c>
      <c r="AZ668">
        <v>4552</v>
      </c>
      <c r="BA668">
        <v>1</v>
      </c>
      <c r="BB668" t="str">
        <f t="shared" si="32"/>
        <v xml:space="preserve">N607SR  </v>
      </c>
      <c r="BC668">
        <v>1</v>
      </c>
      <c r="BE668">
        <v>0</v>
      </c>
      <c r="BF668">
        <v>0</v>
      </c>
      <c r="BG668">
        <v>0</v>
      </c>
      <c r="BH668">
        <v>2425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"06:13:52.852"</f>
        <v>06:13:52.852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6</v>
      </c>
      <c r="CP668" t="s">
        <v>119</v>
      </c>
      <c r="CQ668">
        <v>457</v>
      </c>
      <c r="CR668">
        <v>0</v>
      </c>
      <c r="CW668">
        <v>15512562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"08/29/2020 06:13:50.228"</f>
        <v>08/29/2020 06:13:50.228</v>
      </c>
      <c r="C669" t="str">
        <f t="shared" si="30"/>
        <v>FFDFD3C0</v>
      </c>
      <c r="D669" t="s">
        <v>121</v>
      </c>
      <c r="E669">
        <v>13</v>
      </c>
      <c r="F669">
        <v>1013</v>
      </c>
      <c r="G669" t="s">
        <v>122</v>
      </c>
      <c r="J669" t="s">
        <v>123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"06:13:53.430"</f>
        <v>06:13:53.430</v>
      </c>
      <c r="T669" t="str">
        <f>"06:13:52.930"</f>
        <v>06:13:52.930</v>
      </c>
      <c r="U669" t="str">
        <f t="shared" si="31"/>
        <v>A7E2E0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545</v>
      </c>
      <c r="AJ669">
        <v>39.113646000000003</v>
      </c>
      <c r="AK669" t="s">
        <v>476</v>
      </c>
      <c r="AL669">
        <v>-87.479624999999999</v>
      </c>
      <c r="AM669">
        <v>100</v>
      </c>
      <c r="AN669">
        <v>2600</v>
      </c>
      <c r="AO669" t="s">
        <v>118</v>
      </c>
      <c r="AP669">
        <v>15</v>
      </c>
      <c r="AQ669">
        <v>-145</v>
      </c>
      <c r="AR669">
        <v>768</v>
      </c>
      <c r="AZ669">
        <v>4552</v>
      </c>
      <c r="BA669">
        <v>1</v>
      </c>
      <c r="BB669" t="str">
        <f t="shared" si="32"/>
        <v xml:space="preserve">N607SR  </v>
      </c>
      <c r="BC669">
        <v>1</v>
      </c>
      <c r="BE669">
        <v>0</v>
      </c>
      <c r="BF669">
        <v>0</v>
      </c>
      <c r="BG669">
        <v>0</v>
      </c>
      <c r="BH669">
        <v>2350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"06:13:53.436"</f>
        <v>06:13:53.436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6</v>
      </c>
      <c r="CP669" t="s">
        <v>119</v>
      </c>
      <c r="CQ669">
        <v>465</v>
      </c>
      <c r="CR669">
        <v>0</v>
      </c>
      <c r="CW669">
        <v>4716247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"08/29/2020 06:13:50.228"</f>
        <v>08/29/2020 06:13:50.228</v>
      </c>
      <c r="C670" t="str">
        <f t="shared" si="30"/>
        <v>FFDFD3C0</v>
      </c>
      <c r="D670" t="s">
        <v>121</v>
      </c>
      <c r="E670">
        <v>11</v>
      </c>
      <c r="F670">
        <v>1011</v>
      </c>
      <c r="G670" t="s">
        <v>125</v>
      </c>
      <c r="J670" t="s">
        <v>123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"06:13:53.430"</f>
        <v>06:13:53.430</v>
      </c>
      <c r="T670" t="str">
        <f>"06:13:52.930"</f>
        <v>06:13:52.930</v>
      </c>
      <c r="U670" t="str">
        <f t="shared" si="31"/>
        <v>A7E2E0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545</v>
      </c>
      <c r="AJ670">
        <v>39.113646000000003</v>
      </c>
      <c r="AK670" t="s">
        <v>476</v>
      </c>
      <c r="AL670">
        <v>-87.479624999999999</v>
      </c>
      <c r="AM670">
        <v>100</v>
      </c>
      <c r="AN670">
        <v>2600</v>
      </c>
      <c r="AO670" t="s">
        <v>118</v>
      </c>
      <c r="AP670">
        <v>15</v>
      </c>
      <c r="AQ670">
        <v>-145</v>
      </c>
      <c r="AR670">
        <v>768</v>
      </c>
      <c r="AZ670">
        <v>4552</v>
      </c>
      <c r="BA670">
        <v>1</v>
      </c>
      <c r="BB670" t="str">
        <f t="shared" si="32"/>
        <v xml:space="preserve">N607SR  </v>
      </c>
      <c r="BC670">
        <v>1</v>
      </c>
      <c r="BE670">
        <v>0</v>
      </c>
      <c r="BF670">
        <v>0</v>
      </c>
      <c r="BG670">
        <v>0</v>
      </c>
      <c r="BH670">
        <v>2350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"06:13:53.436"</f>
        <v>06:13:53.436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6</v>
      </c>
      <c r="CP670" t="s">
        <v>119</v>
      </c>
      <c r="CQ670">
        <v>457</v>
      </c>
      <c r="CR670">
        <v>0</v>
      </c>
      <c r="CW670">
        <v>15512578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"08/29/2020 06:13:50.228"</f>
        <v>08/29/2020 06:13:50.228</v>
      </c>
      <c r="C671" t="str">
        <f t="shared" si="30"/>
        <v>FFDFD3C0</v>
      </c>
      <c r="D671" t="s">
        <v>121</v>
      </c>
      <c r="E671">
        <v>10</v>
      </c>
      <c r="F671">
        <v>1010</v>
      </c>
      <c r="G671" t="s">
        <v>114</v>
      </c>
      <c r="J671" t="s">
        <v>123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"06:13:53.430"</f>
        <v>06:13:53.430</v>
      </c>
      <c r="T671" t="str">
        <f>"06:13:52.930"</f>
        <v>06:13:52.930</v>
      </c>
      <c r="U671" t="str">
        <f t="shared" si="31"/>
        <v>A7E2E0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545</v>
      </c>
      <c r="AJ671">
        <v>39.113646000000003</v>
      </c>
      <c r="AK671" t="s">
        <v>476</v>
      </c>
      <c r="AL671">
        <v>-87.479624999999999</v>
      </c>
      <c r="AM671">
        <v>100</v>
      </c>
      <c r="AN671">
        <v>2600</v>
      </c>
      <c r="AO671" t="s">
        <v>118</v>
      </c>
      <c r="AP671">
        <v>15</v>
      </c>
      <c r="AQ671">
        <v>-145</v>
      </c>
      <c r="AR671">
        <v>768</v>
      </c>
      <c r="AZ671">
        <v>4552</v>
      </c>
      <c r="BA671">
        <v>1</v>
      </c>
      <c r="BB671" t="str">
        <f t="shared" si="32"/>
        <v xml:space="preserve">N607SR  </v>
      </c>
      <c r="BC671">
        <v>1</v>
      </c>
      <c r="BE671">
        <v>0</v>
      </c>
      <c r="BF671">
        <v>0</v>
      </c>
      <c r="BG671">
        <v>0</v>
      </c>
      <c r="BH671">
        <v>2350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"06:13:53.436"</f>
        <v>06:13:53.436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465</v>
      </c>
      <c r="CR671">
        <v>0</v>
      </c>
      <c r="CW671">
        <v>4716247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"08/29/2020 06:13:50.789"</f>
        <v>08/29/2020 06:13:50.789</v>
      </c>
      <c r="C672" t="str">
        <f t="shared" si="30"/>
        <v>FFDFD3C0</v>
      </c>
      <c r="D672" t="s">
        <v>128</v>
      </c>
      <c r="E672">
        <v>5</v>
      </c>
      <c r="H672">
        <v>241</v>
      </c>
      <c r="I672" t="s">
        <v>129</v>
      </c>
      <c r="J672" t="s">
        <v>130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"06:13:53.984"</f>
        <v>06:13:53.984</v>
      </c>
      <c r="T672" t="str">
        <f>"06:13:53.484"</f>
        <v>06:13:53.484</v>
      </c>
      <c r="U672" t="str">
        <f t="shared" si="31"/>
        <v>A7E2E0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546</v>
      </c>
      <c r="AJ672">
        <v>39.113301999999997</v>
      </c>
      <c r="AK672" t="s">
        <v>547</v>
      </c>
      <c r="AL672">
        <v>-87.479602999999997</v>
      </c>
      <c r="AM672">
        <v>100</v>
      </c>
      <c r="AN672">
        <v>2600</v>
      </c>
      <c r="AO672" t="s">
        <v>118</v>
      </c>
      <c r="AP672">
        <v>14</v>
      </c>
      <c r="AQ672">
        <v>-145</v>
      </c>
      <c r="AR672">
        <v>768</v>
      </c>
      <c r="AZ672">
        <v>4552</v>
      </c>
      <c r="BA672">
        <v>1</v>
      </c>
      <c r="BB672" t="str">
        <f t="shared" si="32"/>
        <v xml:space="preserve">N607SR  </v>
      </c>
      <c r="BC672">
        <v>1</v>
      </c>
      <c r="BE672">
        <v>0</v>
      </c>
      <c r="BF672">
        <v>0</v>
      </c>
      <c r="BG672">
        <v>0</v>
      </c>
      <c r="BH672">
        <v>2350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"06:13:53.988"</f>
        <v>06:13:53.988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6</v>
      </c>
      <c r="CP672" t="s">
        <v>119</v>
      </c>
      <c r="CQ672">
        <v>465</v>
      </c>
      <c r="CR672">
        <v>0</v>
      </c>
      <c r="CW672">
        <v>4716263</v>
      </c>
      <c r="CY672">
        <v>1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"08/29/2020 06:13:50.789"</f>
        <v>08/29/2020 06:13:50.789</v>
      </c>
      <c r="C673" t="str">
        <f t="shared" si="30"/>
        <v>FFDFD3C0</v>
      </c>
      <c r="D673" t="s">
        <v>113</v>
      </c>
      <c r="E673">
        <v>5</v>
      </c>
      <c r="H673">
        <v>163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"06:13:53.984"</f>
        <v>06:13:53.984</v>
      </c>
      <c r="T673" t="str">
        <f>"06:13:53.484"</f>
        <v>06:13:53.484</v>
      </c>
      <c r="U673" t="str">
        <f t="shared" si="31"/>
        <v>A7E2E0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546</v>
      </c>
      <c r="AJ673">
        <v>39.113301999999997</v>
      </c>
      <c r="AK673" t="s">
        <v>547</v>
      </c>
      <c r="AL673">
        <v>-87.479602999999997</v>
      </c>
      <c r="AM673">
        <v>100</v>
      </c>
      <c r="AN673">
        <v>2600</v>
      </c>
      <c r="AO673" t="s">
        <v>118</v>
      </c>
      <c r="AP673">
        <v>14</v>
      </c>
      <c r="AQ673">
        <v>-145</v>
      </c>
      <c r="AR673">
        <v>768</v>
      </c>
      <c r="AZ673">
        <v>4552</v>
      </c>
      <c r="BA673">
        <v>1</v>
      </c>
      <c r="BB673" t="str">
        <f t="shared" si="32"/>
        <v xml:space="preserve">N607SR  </v>
      </c>
      <c r="BC673">
        <v>1</v>
      </c>
      <c r="BE673">
        <v>0</v>
      </c>
      <c r="BF673">
        <v>0</v>
      </c>
      <c r="BG673">
        <v>0</v>
      </c>
      <c r="BH673">
        <v>2350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"06:13:53.988"</f>
        <v>06:13:53.988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6</v>
      </c>
      <c r="CP673" t="s">
        <v>119</v>
      </c>
      <c r="CQ673">
        <v>465</v>
      </c>
      <c r="CR673">
        <v>0</v>
      </c>
      <c r="CW673">
        <v>4716263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"08/29/2020 06:13:51.293"</f>
        <v>08/29/2020 06:13:51.293</v>
      </c>
      <c r="C674" t="str">
        <f t="shared" si="30"/>
        <v>FFDFD3C0</v>
      </c>
      <c r="D674" t="s">
        <v>121</v>
      </c>
      <c r="E674">
        <v>13</v>
      </c>
      <c r="F674">
        <v>1013</v>
      </c>
      <c r="G674" t="s">
        <v>122</v>
      </c>
      <c r="J674" t="s">
        <v>123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"06:13:54.492"</f>
        <v>06:13:54.492</v>
      </c>
      <c r="T674" t="str">
        <f>"06:13:53.992"</f>
        <v>06:13:53.992</v>
      </c>
      <c r="U674" t="str">
        <f t="shared" si="31"/>
        <v>A7E2E0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548</v>
      </c>
      <c r="AJ674">
        <v>39.112958999999996</v>
      </c>
      <c r="AK674" t="s">
        <v>549</v>
      </c>
      <c r="AL674">
        <v>-87.479560000000006</v>
      </c>
      <c r="AM674">
        <v>100</v>
      </c>
      <c r="AN674">
        <v>2600</v>
      </c>
      <c r="AO674" t="s">
        <v>118</v>
      </c>
      <c r="AP674">
        <v>13</v>
      </c>
      <c r="AQ674">
        <v>-145</v>
      </c>
      <c r="AR674">
        <v>768</v>
      </c>
      <c r="AZ674">
        <v>4552</v>
      </c>
      <c r="BA674">
        <v>1</v>
      </c>
      <c r="BB674" t="str">
        <f t="shared" si="32"/>
        <v xml:space="preserve">N607SR  </v>
      </c>
      <c r="BC674">
        <v>1</v>
      </c>
      <c r="BE674">
        <v>0</v>
      </c>
      <c r="BF674">
        <v>0</v>
      </c>
      <c r="BG674">
        <v>0</v>
      </c>
      <c r="BH674">
        <v>2350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"06:13:54.494"</f>
        <v>06:13:54.494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465</v>
      </c>
      <c r="CR674">
        <v>0</v>
      </c>
      <c r="CW674">
        <v>4716277</v>
      </c>
      <c r="CY674">
        <v>1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"08/29/2020 06:13:51.293"</f>
        <v>08/29/2020 06:13:51.293</v>
      </c>
      <c r="C675" t="str">
        <f t="shared" si="30"/>
        <v>FFDFD3C0</v>
      </c>
      <c r="D675" t="s">
        <v>121</v>
      </c>
      <c r="E675">
        <v>11</v>
      </c>
      <c r="F675">
        <v>1011</v>
      </c>
      <c r="G675" t="s">
        <v>125</v>
      </c>
      <c r="J675" t="s">
        <v>123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"06:13:54.492"</f>
        <v>06:13:54.492</v>
      </c>
      <c r="T675" t="str">
        <f>"06:13:53.992"</f>
        <v>06:13:53.992</v>
      </c>
      <c r="U675" t="str">
        <f t="shared" si="31"/>
        <v>A7E2E0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548</v>
      </c>
      <c r="AJ675">
        <v>39.112958999999996</v>
      </c>
      <c r="AK675" t="s">
        <v>549</v>
      </c>
      <c r="AL675">
        <v>-87.479560000000006</v>
      </c>
      <c r="AM675">
        <v>100</v>
      </c>
      <c r="AN675">
        <v>2600</v>
      </c>
      <c r="AO675" t="s">
        <v>118</v>
      </c>
      <c r="AP675">
        <v>13</v>
      </c>
      <c r="AQ675">
        <v>-145</v>
      </c>
      <c r="AR675">
        <v>768</v>
      </c>
      <c r="AZ675">
        <v>4552</v>
      </c>
      <c r="BA675">
        <v>1</v>
      </c>
      <c r="BB675" t="str">
        <f t="shared" si="32"/>
        <v xml:space="preserve">N607SR  </v>
      </c>
      <c r="BC675">
        <v>1</v>
      </c>
      <c r="BE675">
        <v>0</v>
      </c>
      <c r="BF675">
        <v>0</v>
      </c>
      <c r="BG675">
        <v>0</v>
      </c>
      <c r="BH675">
        <v>2350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"06:13:54.494"</f>
        <v>06:13:54.494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177</v>
      </c>
      <c r="CR675">
        <v>2</v>
      </c>
      <c r="CW675">
        <v>1621206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"08/29/2020 06:13:51.293"</f>
        <v>08/29/2020 06:13:51.293</v>
      </c>
      <c r="C676" t="str">
        <f t="shared" si="30"/>
        <v>FFDFD3C0</v>
      </c>
      <c r="D676" t="s">
        <v>121</v>
      </c>
      <c r="E676">
        <v>10</v>
      </c>
      <c r="F676">
        <v>1010</v>
      </c>
      <c r="G676" t="s">
        <v>114</v>
      </c>
      <c r="J676" t="s">
        <v>123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"06:13:54.492"</f>
        <v>06:13:54.492</v>
      </c>
      <c r="T676" t="str">
        <f>"06:13:53.992"</f>
        <v>06:13:53.992</v>
      </c>
      <c r="U676" t="str">
        <f t="shared" si="31"/>
        <v>A7E2E0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548</v>
      </c>
      <c r="AJ676">
        <v>39.112958999999996</v>
      </c>
      <c r="AK676" t="s">
        <v>549</v>
      </c>
      <c r="AL676">
        <v>-87.479560000000006</v>
      </c>
      <c r="AM676">
        <v>100</v>
      </c>
      <c r="AN676">
        <v>2600</v>
      </c>
      <c r="AO676" t="s">
        <v>118</v>
      </c>
      <c r="AP676">
        <v>13</v>
      </c>
      <c r="AQ676">
        <v>-145</v>
      </c>
      <c r="AR676">
        <v>768</v>
      </c>
      <c r="AZ676">
        <v>4552</v>
      </c>
      <c r="BA676">
        <v>1</v>
      </c>
      <c r="BB676" t="str">
        <f t="shared" si="32"/>
        <v xml:space="preserve">N607SR  </v>
      </c>
      <c r="BC676">
        <v>1</v>
      </c>
      <c r="BE676">
        <v>0</v>
      </c>
      <c r="BF676">
        <v>0</v>
      </c>
      <c r="BG676">
        <v>0</v>
      </c>
      <c r="BH676">
        <v>2350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"06:13:54.494"</f>
        <v>06:13:54.494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465</v>
      </c>
      <c r="CR676">
        <v>0</v>
      </c>
      <c r="CW676">
        <v>4716277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"08/29/2020 06:13:51.856"</f>
        <v>08/29/2020 06:13:51.856</v>
      </c>
      <c r="C677" t="str">
        <f t="shared" si="30"/>
        <v>FFDFD3C0</v>
      </c>
      <c r="D677" t="s">
        <v>113</v>
      </c>
      <c r="E677">
        <v>5</v>
      </c>
      <c r="H677">
        <v>163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"06:13:55.070"</f>
        <v>06:13:55.070</v>
      </c>
      <c r="T677" t="str">
        <f>"06:13:54.570"</f>
        <v>06:13:54.570</v>
      </c>
      <c r="U677" t="str">
        <f t="shared" si="31"/>
        <v>A7E2E0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550</v>
      </c>
      <c r="AJ677">
        <v>39.112594000000001</v>
      </c>
      <c r="AK677" t="s">
        <v>551</v>
      </c>
      <c r="AL677">
        <v>-87.479495999999997</v>
      </c>
      <c r="AM677">
        <v>100</v>
      </c>
      <c r="AN677">
        <v>2600</v>
      </c>
      <c r="AO677" t="s">
        <v>118</v>
      </c>
      <c r="AP677">
        <v>12</v>
      </c>
      <c r="AQ677">
        <v>-145</v>
      </c>
      <c r="AR677">
        <v>768</v>
      </c>
      <c r="AZ677">
        <v>4552</v>
      </c>
      <c r="BA677">
        <v>1</v>
      </c>
      <c r="BB677" t="str">
        <f t="shared" si="32"/>
        <v xml:space="preserve">N607SR  </v>
      </c>
      <c r="BC677">
        <v>1</v>
      </c>
      <c r="BE677">
        <v>0</v>
      </c>
      <c r="BF677">
        <v>0</v>
      </c>
      <c r="BG677">
        <v>0</v>
      </c>
      <c r="BH677">
        <v>2375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"06:13:55.078"</f>
        <v>06:13:55.078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6</v>
      </c>
      <c r="CP677" t="s">
        <v>119</v>
      </c>
      <c r="CQ677">
        <v>465</v>
      </c>
      <c r="CR677">
        <v>0</v>
      </c>
      <c r="CW677">
        <v>4716290</v>
      </c>
      <c r="CY677">
        <v>1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"08/29/2020 06:13:51.856"</f>
        <v>08/29/2020 06:13:51.856</v>
      </c>
      <c r="C678" t="str">
        <f t="shared" si="30"/>
        <v>FFDFD3C0</v>
      </c>
      <c r="D678" t="s">
        <v>128</v>
      </c>
      <c r="E678">
        <v>5</v>
      </c>
      <c r="H678">
        <v>241</v>
      </c>
      <c r="I678" t="s">
        <v>129</v>
      </c>
      <c r="J678" t="s">
        <v>130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"06:13:55.070"</f>
        <v>06:13:55.070</v>
      </c>
      <c r="T678" t="str">
        <f>"06:13:54.570"</f>
        <v>06:13:54.570</v>
      </c>
      <c r="U678" t="str">
        <f t="shared" si="31"/>
        <v>A7E2E0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550</v>
      </c>
      <c r="AJ678">
        <v>39.112594000000001</v>
      </c>
      <c r="AK678" t="s">
        <v>551</v>
      </c>
      <c r="AL678">
        <v>-87.479495999999997</v>
      </c>
      <c r="AM678">
        <v>100</v>
      </c>
      <c r="AN678">
        <v>2600</v>
      </c>
      <c r="AO678" t="s">
        <v>118</v>
      </c>
      <c r="AP678">
        <v>12</v>
      </c>
      <c r="AQ678">
        <v>-145</v>
      </c>
      <c r="AR678">
        <v>768</v>
      </c>
      <c r="AZ678">
        <v>4552</v>
      </c>
      <c r="BA678">
        <v>1</v>
      </c>
      <c r="BB678" t="str">
        <f t="shared" si="32"/>
        <v xml:space="preserve">N607SR  </v>
      </c>
      <c r="BC678">
        <v>1</v>
      </c>
      <c r="BE678">
        <v>0</v>
      </c>
      <c r="BF678">
        <v>0</v>
      </c>
      <c r="BG678">
        <v>0</v>
      </c>
      <c r="BH678">
        <v>2375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"06:13:55.078"</f>
        <v>06:13:55.078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6</v>
      </c>
      <c r="CP678" t="s">
        <v>119</v>
      </c>
      <c r="CQ678">
        <v>465</v>
      </c>
      <c r="CR678">
        <v>0</v>
      </c>
      <c r="CW678">
        <v>4716290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"08/29/2020 06:13:52.277"</f>
        <v>08/29/2020 06:13:52.277</v>
      </c>
      <c r="C679" t="str">
        <f t="shared" si="30"/>
        <v>FFDFD3C0</v>
      </c>
      <c r="D679" t="s">
        <v>121</v>
      </c>
      <c r="E679">
        <v>10</v>
      </c>
      <c r="F679">
        <v>1010</v>
      </c>
      <c r="G679" t="s">
        <v>114</v>
      </c>
      <c r="J679" t="s">
        <v>123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"06:13:55.508"</f>
        <v>06:13:55.508</v>
      </c>
      <c r="T679" t="str">
        <f>"06:13:55.108"</f>
        <v>06:13:55.108</v>
      </c>
      <c r="U679" t="str">
        <f t="shared" si="31"/>
        <v>A7E2E0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552</v>
      </c>
      <c r="AJ679">
        <v>39.112251000000001</v>
      </c>
      <c r="AK679" t="s">
        <v>553</v>
      </c>
      <c r="AL679">
        <v>-87.479474999999994</v>
      </c>
      <c r="AM679">
        <v>100</v>
      </c>
      <c r="AN679">
        <v>2600</v>
      </c>
      <c r="AO679" t="s">
        <v>118</v>
      </c>
      <c r="AP679">
        <v>11</v>
      </c>
      <c r="AQ679">
        <v>-146</v>
      </c>
      <c r="AR679">
        <v>768</v>
      </c>
      <c r="AZ679">
        <v>4552</v>
      </c>
      <c r="BA679">
        <v>1</v>
      </c>
      <c r="BB679" t="str">
        <f t="shared" si="32"/>
        <v xml:space="preserve">N607SR  </v>
      </c>
      <c r="BC679">
        <v>1</v>
      </c>
      <c r="BE679">
        <v>0</v>
      </c>
      <c r="BF679">
        <v>0</v>
      </c>
      <c r="BG679">
        <v>0</v>
      </c>
      <c r="BH679">
        <v>2375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"06:13:55.515"</f>
        <v>06:13:55.515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6</v>
      </c>
      <c r="CP679" t="s">
        <v>119</v>
      </c>
      <c r="CQ679">
        <v>465</v>
      </c>
      <c r="CR679">
        <v>0</v>
      </c>
      <c r="CW679">
        <v>4716304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"08/29/2020 06:13:52.277"</f>
        <v>08/29/2020 06:13:52.277</v>
      </c>
      <c r="C680" t="str">
        <f t="shared" si="30"/>
        <v>FFDFD3C0</v>
      </c>
      <c r="D680" t="s">
        <v>121</v>
      </c>
      <c r="E680">
        <v>11</v>
      </c>
      <c r="F680">
        <v>1011</v>
      </c>
      <c r="G680" t="s">
        <v>125</v>
      </c>
      <c r="J680" t="s">
        <v>123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"06:13:55.508"</f>
        <v>06:13:55.508</v>
      </c>
      <c r="T680" t="str">
        <f>"06:13:55.108"</f>
        <v>06:13:55.108</v>
      </c>
      <c r="U680" t="str">
        <f t="shared" si="31"/>
        <v>A7E2E0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552</v>
      </c>
      <c r="AJ680">
        <v>39.112251000000001</v>
      </c>
      <c r="AK680" t="s">
        <v>553</v>
      </c>
      <c r="AL680">
        <v>-87.479474999999994</v>
      </c>
      <c r="AM680">
        <v>100</v>
      </c>
      <c r="AN680">
        <v>2600</v>
      </c>
      <c r="AO680" t="s">
        <v>118</v>
      </c>
      <c r="AP680">
        <v>11</v>
      </c>
      <c r="AQ680">
        <v>-146</v>
      </c>
      <c r="AR680">
        <v>768</v>
      </c>
      <c r="AZ680">
        <v>4552</v>
      </c>
      <c r="BA680">
        <v>1</v>
      </c>
      <c r="BB680" t="str">
        <f t="shared" si="32"/>
        <v xml:space="preserve">N607SR  </v>
      </c>
      <c r="BC680">
        <v>1</v>
      </c>
      <c r="BE680">
        <v>0</v>
      </c>
      <c r="BF680">
        <v>0</v>
      </c>
      <c r="BG680">
        <v>0</v>
      </c>
      <c r="BH680">
        <v>2375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"06:13:55.515"</f>
        <v>06:13:55.515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6</v>
      </c>
      <c r="CP680" t="s">
        <v>119</v>
      </c>
      <c r="CQ680">
        <v>177</v>
      </c>
      <c r="CR680">
        <v>2</v>
      </c>
      <c r="CW680">
        <v>1621380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"08/29/2020 06:13:52.277"</f>
        <v>08/29/2020 06:13:52.277</v>
      </c>
      <c r="C681" t="str">
        <f t="shared" si="30"/>
        <v>FFDFD3C0</v>
      </c>
      <c r="D681" t="s">
        <v>121</v>
      </c>
      <c r="E681">
        <v>13</v>
      </c>
      <c r="F681">
        <v>1013</v>
      </c>
      <c r="G681" t="s">
        <v>122</v>
      </c>
      <c r="J681" t="s">
        <v>123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"06:13:55.508"</f>
        <v>06:13:55.508</v>
      </c>
      <c r="T681" t="str">
        <f>"06:13:55.108"</f>
        <v>06:13:55.108</v>
      </c>
      <c r="U681" t="str">
        <f t="shared" si="31"/>
        <v>A7E2E0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552</v>
      </c>
      <c r="AJ681">
        <v>39.112251000000001</v>
      </c>
      <c r="AK681" t="s">
        <v>553</v>
      </c>
      <c r="AL681">
        <v>-87.479474999999994</v>
      </c>
      <c r="AM681">
        <v>100</v>
      </c>
      <c r="AN681">
        <v>2600</v>
      </c>
      <c r="AO681" t="s">
        <v>118</v>
      </c>
      <c r="AP681">
        <v>11</v>
      </c>
      <c r="AQ681">
        <v>-146</v>
      </c>
      <c r="AR681">
        <v>768</v>
      </c>
      <c r="AZ681">
        <v>4552</v>
      </c>
      <c r="BA681">
        <v>1</v>
      </c>
      <c r="BB681" t="str">
        <f t="shared" si="32"/>
        <v xml:space="preserve">N607SR  </v>
      </c>
      <c r="BC681">
        <v>1</v>
      </c>
      <c r="BE681">
        <v>0</v>
      </c>
      <c r="BF681">
        <v>0</v>
      </c>
      <c r="BG681">
        <v>0</v>
      </c>
      <c r="BH681">
        <v>2375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"06:13:55.515"</f>
        <v>06:13:55.515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6</v>
      </c>
      <c r="CP681" t="s">
        <v>119</v>
      </c>
      <c r="CQ681">
        <v>465</v>
      </c>
      <c r="CR681">
        <v>0</v>
      </c>
      <c r="CW681">
        <v>4716304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"08/29/2020 06:13:52.869"</f>
        <v>08/29/2020 06:13:52.869</v>
      </c>
      <c r="C682" t="str">
        <f t="shared" si="30"/>
        <v>FFDFD3C0</v>
      </c>
      <c r="D682" t="s">
        <v>128</v>
      </c>
      <c r="E682">
        <v>5</v>
      </c>
      <c r="H682">
        <v>241</v>
      </c>
      <c r="I682" t="s">
        <v>129</v>
      </c>
      <c r="J682" t="s">
        <v>130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"06:13:56.078"</f>
        <v>06:13:56.078</v>
      </c>
      <c r="T682" t="str">
        <f>"06:13:55.578"</f>
        <v>06:13:55.578</v>
      </c>
      <c r="U682" t="str">
        <f t="shared" si="31"/>
        <v>A7E2E0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554</v>
      </c>
      <c r="AJ682">
        <v>39.111885999999998</v>
      </c>
      <c r="AK682" t="s">
        <v>472</v>
      </c>
      <c r="AL682">
        <v>-87.479432000000003</v>
      </c>
      <c r="AM682">
        <v>100</v>
      </c>
      <c r="AN682">
        <v>2600</v>
      </c>
      <c r="AO682" t="s">
        <v>118</v>
      </c>
      <c r="AP682">
        <v>11</v>
      </c>
      <c r="AQ682">
        <v>-146</v>
      </c>
      <c r="AR682">
        <v>768</v>
      </c>
      <c r="AZ682">
        <v>4552</v>
      </c>
      <c r="BA682">
        <v>1</v>
      </c>
      <c r="BB682" t="str">
        <f t="shared" si="32"/>
        <v xml:space="preserve">N607SR  </v>
      </c>
      <c r="BC682">
        <v>1</v>
      </c>
      <c r="BE682">
        <v>0</v>
      </c>
      <c r="BF682">
        <v>0</v>
      </c>
      <c r="BG682">
        <v>0</v>
      </c>
      <c r="BH682">
        <v>2375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"06:13:56.084"</f>
        <v>06:13:56.084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6</v>
      </c>
      <c r="CP682" t="s">
        <v>119</v>
      </c>
      <c r="CQ682">
        <v>465</v>
      </c>
      <c r="CR682">
        <v>0</v>
      </c>
      <c r="CW682">
        <v>4716319</v>
      </c>
      <c r="CY682">
        <v>1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"08/29/2020 06:13:52.869"</f>
        <v>08/29/2020 06:13:52.869</v>
      </c>
      <c r="C683" t="str">
        <f t="shared" si="30"/>
        <v>FFDFD3C0</v>
      </c>
      <c r="D683" t="s">
        <v>113</v>
      </c>
      <c r="E683">
        <v>5</v>
      </c>
      <c r="H683">
        <v>163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"06:13:56.078"</f>
        <v>06:13:56.078</v>
      </c>
      <c r="T683" t="str">
        <f>"06:13:55.578"</f>
        <v>06:13:55.578</v>
      </c>
      <c r="U683" t="str">
        <f t="shared" si="31"/>
        <v>A7E2E0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554</v>
      </c>
      <c r="AJ683">
        <v>39.111885999999998</v>
      </c>
      <c r="AK683" t="s">
        <v>472</v>
      </c>
      <c r="AL683">
        <v>-87.479432000000003</v>
      </c>
      <c r="AM683">
        <v>100</v>
      </c>
      <c r="AN683">
        <v>2600</v>
      </c>
      <c r="AO683" t="s">
        <v>118</v>
      </c>
      <c r="AP683">
        <v>11</v>
      </c>
      <c r="AQ683">
        <v>-146</v>
      </c>
      <c r="AR683">
        <v>768</v>
      </c>
      <c r="AZ683">
        <v>4552</v>
      </c>
      <c r="BA683">
        <v>1</v>
      </c>
      <c r="BB683" t="str">
        <f t="shared" si="32"/>
        <v xml:space="preserve">N607SR  </v>
      </c>
      <c r="BC683">
        <v>1</v>
      </c>
      <c r="BE683">
        <v>0</v>
      </c>
      <c r="BF683">
        <v>0</v>
      </c>
      <c r="BG683">
        <v>0</v>
      </c>
      <c r="BH683">
        <v>2375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"06:13:56.084"</f>
        <v>06:13:56.084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6</v>
      </c>
      <c r="CP683" t="s">
        <v>119</v>
      </c>
      <c r="CQ683">
        <v>465</v>
      </c>
      <c r="CR683">
        <v>0</v>
      </c>
      <c r="CW683">
        <v>4716319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"08/29/2020 06:13:53.321"</f>
        <v>08/29/2020 06:13:53.321</v>
      </c>
      <c r="C684" t="str">
        <f t="shared" si="30"/>
        <v>FFDFD3C0</v>
      </c>
      <c r="D684" t="s">
        <v>121</v>
      </c>
      <c r="E684">
        <v>13</v>
      </c>
      <c r="F684">
        <v>1013</v>
      </c>
      <c r="G684" t="s">
        <v>122</v>
      </c>
      <c r="J684" t="s">
        <v>123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"06:13:56.523"</f>
        <v>06:13:56.523</v>
      </c>
      <c r="T684" t="str">
        <f>"06:13:56.123"</f>
        <v>06:13:56.123</v>
      </c>
      <c r="U684" t="str">
        <f t="shared" si="31"/>
        <v>A7E2E0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555</v>
      </c>
      <c r="AJ684">
        <v>39.111564000000001</v>
      </c>
      <c r="AK684" t="s">
        <v>556</v>
      </c>
      <c r="AL684">
        <v>-87.479410000000001</v>
      </c>
      <c r="AM684">
        <v>100</v>
      </c>
      <c r="AN684">
        <v>2600</v>
      </c>
      <c r="AO684" t="s">
        <v>118</v>
      </c>
      <c r="AP684">
        <v>10</v>
      </c>
      <c r="AQ684">
        <v>-146</v>
      </c>
      <c r="AR684">
        <v>768</v>
      </c>
      <c r="AZ684">
        <v>4552</v>
      </c>
      <c r="BA684">
        <v>1</v>
      </c>
      <c r="BB684" t="str">
        <f t="shared" si="32"/>
        <v xml:space="preserve">N607SR  </v>
      </c>
      <c r="BC684">
        <v>1</v>
      </c>
      <c r="BE684">
        <v>0</v>
      </c>
      <c r="BF684">
        <v>0</v>
      </c>
      <c r="BG684">
        <v>0</v>
      </c>
      <c r="BH684">
        <v>2375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"06:13:56.529"</f>
        <v>06:13:56.529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6</v>
      </c>
      <c r="CP684" t="s">
        <v>119</v>
      </c>
      <c r="CQ684">
        <v>465</v>
      </c>
      <c r="CR684">
        <v>0</v>
      </c>
      <c r="CW684">
        <v>4716332</v>
      </c>
      <c r="CY684">
        <v>1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"08/29/2020 06:13:53.321"</f>
        <v>08/29/2020 06:13:53.321</v>
      </c>
      <c r="C685" t="str">
        <f t="shared" si="30"/>
        <v>FFDFD3C0</v>
      </c>
      <c r="D685" t="s">
        <v>121</v>
      </c>
      <c r="E685">
        <v>10</v>
      </c>
      <c r="F685">
        <v>1010</v>
      </c>
      <c r="G685" t="s">
        <v>114</v>
      </c>
      <c r="J685" t="s">
        <v>123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"06:13:56.523"</f>
        <v>06:13:56.523</v>
      </c>
      <c r="T685" t="str">
        <f>"06:13:56.123"</f>
        <v>06:13:56.123</v>
      </c>
      <c r="U685" t="str">
        <f t="shared" si="31"/>
        <v>A7E2E0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555</v>
      </c>
      <c r="AJ685">
        <v>39.111564000000001</v>
      </c>
      <c r="AK685" t="s">
        <v>556</v>
      </c>
      <c r="AL685">
        <v>-87.479410000000001</v>
      </c>
      <c r="AM685">
        <v>100</v>
      </c>
      <c r="AN685">
        <v>2600</v>
      </c>
      <c r="AO685" t="s">
        <v>118</v>
      </c>
      <c r="AP685">
        <v>10</v>
      </c>
      <c r="AQ685">
        <v>-146</v>
      </c>
      <c r="AR685">
        <v>768</v>
      </c>
      <c r="AZ685">
        <v>4552</v>
      </c>
      <c r="BA685">
        <v>1</v>
      </c>
      <c r="BB685" t="str">
        <f t="shared" si="32"/>
        <v xml:space="preserve">N607SR  </v>
      </c>
      <c r="BC685">
        <v>1</v>
      </c>
      <c r="BE685">
        <v>0</v>
      </c>
      <c r="BF685">
        <v>0</v>
      </c>
      <c r="BG685">
        <v>0</v>
      </c>
      <c r="BH685">
        <v>2375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"06:13:56.529"</f>
        <v>06:13:56.529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6</v>
      </c>
      <c r="CP685" t="s">
        <v>119</v>
      </c>
      <c r="CQ685">
        <v>465</v>
      </c>
      <c r="CR685">
        <v>0</v>
      </c>
      <c r="CW685">
        <v>4716332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"08/29/2020 06:13:53.321"</f>
        <v>08/29/2020 06:13:53.321</v>
      </c>
      <c r="C686" t="str">
        <f t="shared" si="30"/>
        <v>FFDFD3C0</v>
      </c>
      <c r="D686" t="s">
        <v>121</v>
      </c>
      <c r="E686">
        <v>11</v>
      </c>
      <c r="F686">
        <v>1011</v>
      </c>
      <c r="G686" t="s">
        <v>125</v>
      </c>
      <c r="J686" t="s">
        <v>123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"06:13:56.523"</f>
        <v>06:13:56.523</v>
      </c>
      <c r="T686" t="str">
        <f>"06:13:56.123"</f>
        <v>06:13:56.123</v>
      </c>
      <c r="U686" t="str">
        <f t="shared" si="31"/>
        <v>A7E2E0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555</v>
      </c>
      <c r="AJ686">
        <v>39.111564000000001</v>
      </c>
      <c r="AK686" t="s">
        <v>556</v>
      </c>
      <c r="AL686">
        <v>-87.479410000000001</v>
      </c>
      <c r="AM686">
        <v>100</v>
      </c>
      <c r="AN686">
        <v>2600</v>
      </c>
      <c r="AO686" t="s">
        <v>118</v>
      </c>
      <c r="AP686">
        <v>10</v>
      </c>
      <c r="AQ686">
        <v>-146</v>
      </c>
      <c r="AR686">
        <v>768</v>
      </c>
      <c r="AZ686">
        <v>4552</v>
      </c>
      <c r="BA686">
        <v>1</v>
      </c>
      <c r="BB686" t="str">
        <f t="shared" si="32"/>
        <v xml:space="preserve">N607SR  </v>
      </c>
      <c r="BC686">
        <v>1</v>
      </c>
      <c r="BE686">
        <v>0</v>
      </c>
      <c r="BF686">
        <v>0</v>
      </c>
      <c r="BG686">
        <v>0</v>
      </c>
      <c r="BH686">
        <v>2375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"06:13:56.529"</f>
        <v>06:13:56.529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177</v>
      </c>
      <c r="CR686">
        <v>2</v>
      </c>
      <c r="CW686">
        <v>1621537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"08/29/2020 06:13:53.881"</f>
        <v>08/29/2020 06:13:53.881</v>
      </c>
      <c r="C687" t="str">
        <f t="shared" si="30"/>
        <v>FFDFD3C0</v>
      </c>
      <c r="D687" t="s">
        <v>128</v>
      </c>
      <c r="E687">
        <v>5</v>
      </c>
      <c r="H687">
        <v>241</v>
      </c>
      <c r="I687" t="s">
        <v>129</v>
      </c>
      <c r="J687" t="s">
        <v>130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"06:13:57.109"</f>
        <v>06:13:57.109</v>
      </c>
      <c r="T687" t="str">
        <f>"06:13:56.609"</f>
        <v>06:13:56.609</v>
      </c>
      <c r="U687" t="str">
        <f t="shared" si="31"/>
        <v>A7E2E0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557</v>
      </c>
      <c r="AJ687">
        <v>39.111134999999997</v>
      </c>
      <c r="AK687" t="s">
        <v>556</v>
      </c>
      <c r="AL687">
        <v>-87.479410000000001</v>
      </c>
      <c r="AM687">
        <v>100</v>
      </c>
      <c r="AN687">
        <v>2600</v>
      </c>
      <c r="AO687" t="s">
        <v>118</v>
      </c>
      <c r="AP687">
        <v>9</v>
      </c>
      <c r="AQ687">
        <v>-146</v>
      </c>
      <c r="AR687">
        <v>768</v>
      </c>
      <c r="AZ687">
        <v>4552</v>
      </c>
      <c r="BA687">
        <v>1</v>
      </c>
      <c r="BB687" t="str">
        <f t="shared" si="32"/>
        <v xml:space="preserve">N607SR  </v>
      </c>
      <c r="BC687">
        <v>1</v>
      </c>
      <c r="BE687">
        <v>0</v>
      </c>
      <c r="BF687">
        <v>0</v>
      </c>
      <c r="BG687">
        <v>0</v>
      </c>
      <c r="BH687">
        <v>2400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"06:13:57.109"</f>
        <v>06:13:57.109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465</v>
      </c>
      <c r="CR687">
        <v>0</v>
      </c>
      <c r="CW687">
        <v>4716348</v>
      </c>
      <c r="CY687">
        <v>1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"08/29/2020 06:13:53.881"</f>
        <v>08/29/2020 06:13:53.881</v>
      </c>
      <c r="C688" t="str">
        <f t="shared" si="30"/>
        <v>FFDFD3C0</v>
      </c>
      <c r="D688" t="s">
        <v>113</v>
      </c>
      <c r="E688">
        <v>5</v>
      </c>
      <c r="H688">
        <v>163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"06:13:57.109"</f>
        <v>06:13:57.109</v>
      </c>
      <c r="T688" t="str">
        <f>"06:13:56.609"</f>
        <v>06:13:56.609</v>
      </c>
      <c r="U688" t="str">
        <f t="shared" si="31"/>
        <v>A7E2E0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557</v>
      </c>
      <c r="AJ688">
        <v>39.111134999999997</v>
      </c>
      <c r="AK688" t="s">
        <v>556</v>
      </c>
      <c r="AL688">
        <v>-87.479410000000001</v>
      </c>
      <c r="AM688">
        <v>100</v>
      </c>
      <c r="AN688">
        <v>2600</v>
      </c>
      <c r="AO688" t="s">
        <v>118</v>
      </c>
      <c r="AP688">
        <v>9</v>
      </c>
      <c r="AQ688">
        <v>-146</v>
      </c>
      <c r="AR688">
        <v>768</v>
      </c>
      <c r="AZ688">
        <v>4552</v>
      </c>
      <c r="BA688">
        <v>1</v>
      </c>
      <c r="BB688" t="str">
        <f t="shared" si="32"/>
        <v xml:space="preserve">N607SR  </v>
      </c>
      <c r="BC688">
        <v>1</v>
      </c>
      <c r="BE688">
        <v>0</v>
      </c>
      <c r="BF688">
        <v>0</v>
      </c>
      <c r="BG688">
        <v>0</v>
      </c>
      <c r="BH688">
        <v>2400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"06:13:57.109"</f>
        <v>06:13:57.109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6</v>
      </c>
      <c r="CP688" t="s">
        <v>119</v>
      </c>
      <c r="CQ688">
        <v>465</v>
      </c>
      <c r="CR688">
        <v>0</v>
      </c>
      <c r="CW688">
        <v>4716348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"08/29/2020 06:13:54.255"</f>
        <v>08/29/2020 06:13:54.255</v>
      </c>
      <c r="C689" t="str">
        <f t="shared" si="30"/>
        <v>FFDFD3C0</v>
      </c>
      <c r="D689" t="s">
        <v>121</v>
      </c>
      <c r="E689">
        <v>11</v>
      </c>
      <c r="F689">
        <v>1011</v>
      </c>
      <c r="G689" t="s">
        <v>125</v>
      </c>
      <c r="J689" t="s">
        <v>123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"06:13:57.508"</f>
        <v>06:13:57.508</v>
      </c>
      <c r="T689" t="str">
        <f>"06:13:57.208"</f>
        <v>06:13:57.208</v>
      </c>
      <c r="U689" t="str">
        <f t="shared" si="31"/>
        <v>A7E2E0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558</v>
      </c>
      <c r="AJ689">
        <v>39.110878</v>
      </c>
      <c r="AK689" t="s">
        <v>559</v>
      </c>
      <c r="AL689">
        <v>-87.479346000000007</v>
      </c>
      <c r="AM689">
        <v>100</v>
      </c>
      <c r="AN689">
        <v>2600</v>
      </c>
      <c r="AO689" t="s">
        <v>118</v>
      </c>
      <c r="AP689">
        <v>8</v>
      </c>
      <c r="AQ689">
        <v>-146</v>
      </c>
      <c r="AR689">
        <v>768</v>
      </c>
      <c r="AZ689">
        <v>4552</v>
      </c>
      <c r="BA689">
        <v>1</v>
      </c>
      <c r="BB689" t="str">
        <f t="shared" si="32"/>
        <v xml:space="preserve">N607SR  </v>
      </c>
      <c r="BC689">
        <v>1</v>
      </c>
      <c r="BE689">
        <v>0</v>
      </c>
      <c r="BF689">
        <v>0</v>
      </c>
      <c r="BG689">
        <v>0</v>
      </c>
      <c r="BH689">
        <v>2400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"06:13:57.514"</f>
        <v>06:13:57.514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6</v>
      </c>
      <c r="CP689" t="s">
        <v>119</v>
      </c>
      <c r="CQ689">
        <v>457</v>
      </c>
      <c r="CR689">
        <v>0</v>
      </c>
      <c r="CW689">
        <v>15512688</v>
      </c>
      <c r="CY689">
        <v>1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"08/29/2020 06:13:54.255"</f>
        <v>08/29/2020 06:13:54.255</v>
      </c>
      <c r="C690" t="str">
        <f t="shared" si="30"/>
        <v>FFDFD3C0</v>
      </c>
      <c r="D690" t="s">
        <v>121</v>
      </c>
      <c r="E690">
        <v>13</v>
      </c>
      <c r="F690">
        <v>1013</v>
      </c>
      <c r="G690" t="s">
        <v>122</v>
      </c>
      <c r="J690" t="s">
        <v>123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"06:13:57.508"</f>
        <v>06:13:57.508</v>
      </c>
      <c r="T690" t="str">
        <f>"06:13:57.208"</f>
        <v>06:13:57.208</v>
      </c>
      <c r="U690" t="str">
        <f t="shared" si="31"/>
        <v>A7E2E0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558</v>
      </c>
      <c r="AJ690">
        <v>39.110878</v>
      </c>
      <c r="AK690" t="s">
        <v>559</v>
      </c>
      <c r="AL690">
        <v>-87.479346000000007</v>
      </c>
      <c r="AM690">
        <v>100</v>
      </c>
      <c r="AN690">
        <v>2600</v>
      </c>
      <c r="AO690" t="s">
        <v>118</v>
      </c>
      <c r="AP690">
        <v>8</v>
      </c>
      <c r="AQ690">
        <v>-146</v>
      </c>
      <c r="AR690">
        <v>768</v>
      </c>
      <c r="AZ690">
        <v>4552</v>
      </c>
      <c r="BA690">
        <v>1</v>
      </c>
      <c r="BB690" t="str">
        <f t="shared" si="32"/>
        <v xml:space="preserve">N607SR  </v>
      </c>
      <c r="BC690">
        <v>1</v>
      </c>
      <c r="BE690">
        <v>0</v>
      </c>
      <c r="BF690">
        <v>0</v>
      </c>
      <c r="BG690">
        <v>0</v>
      </c>
      <c r="BH690">
        <v>2400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"06:13:57.514"</f>
        <v>06:13:57.514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6</v>
      </c>
      <c r="CP690" t="s">
        <v>119</v>
      </c>
      <c r="CQ690">
        <v>465</v>
      </c>
      <c r="CR690">
        <v>0</v>
      </c>
      <c r="CW690">
        <v>4716360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"08/29/2020 06:13:54.255"</f>
        <v>08/29/2020 06:13:54.255</v>
      </c>
      <c r="C691" t="str">
        <f t="shared" si="30"/>
        <v>FFDFD3C0</v>
      </c>
      <c r="D691" t="s">
        <v>121</v>
      </c>
      <c r="E691">
        <v>10</v>
      </c>
      <c r="F691">
        <v>1010</v>
      </c>
      <c r="G691" t="s">
        <v>114</v>
      </c>
      <c r="J691" t="s">
        <v>123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"06:13:57.508"</f>
        <v>06:13:57.508</v>
      </c>
      <c r="T691" t="str">
        <f>"06:13:57.208"</f>
        <v>06:13:57.208</v>
      </c>
      <c r="U691" t="str">
        <f t="shared" si="31"/>
        <v>A7E2E0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558</v>
      </c>
      <c r="AJ691">
        <v>39.110878</v>
      </c>
      <c r="AK691" t="s">
        <v>559</v>
      </c>
      <c r="AL691">
        <v>-87.479346000000007</v>
      </c>
      <c r="AM691">
        <v>100</v>
      </c>
      <c r="AN691">
        <v>2600</v>
      </c>
      <c r="AO691" t="s">
        <v>118</v>
      </c>
      <c r="AP691">
        <v>8</v>
      </c>
      <c r="AQ691">
        <v>-146</v>
      </c>
      <c r="AR691">
        <v>768</v>
      </c>
      <c r="AZ691">
        <v>4552</v>
      </c>
      <c r="BA691">
        <v>1</v>
      </c>
      <c r="BB691" t="str">
        <f t="shared" si="32"/>
        <v xml:space="preserve">N607SR  </v>
      </c>
      <c r="BC691">
        <v>1</v>
      </c>
      <c r="BE691">
        <v>0</v>
      </c>
      <c r="BF691">
        <v>0</v>
      </c>
      <c r="BG691">
        <v>0</v>
      </c>
      <c r="BH691">
        <v>2400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"06:13:57.514"</f>
        <v>06:13:57.514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6</v>
      </c>
      <c r="CP691" t="s">
        <v>119</v>
      </c>
      <c r="CQ691">
        <v>465</v>
      </c>
      <c r="CR691">
        <v>0</v>
      </c>
      <c r="CW691">
        <v>4716360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"08/29/2020 06:13:54.691"</f>
        <v>08/29/2020 06:13:54.691</v>
      </c>
      <c r="C692" t="str">
        <f t="shared" si="30"/>
        <v>FFDFD3C0</v>
      </c>
      <c r="D692" t="s">
        <v>128</v>
      </c>
      <c r="E692">
        <v>5</v>
      </c>
      <c r="H692">
        <v>241</v>
      </c>
      <c r="I692" t="s">
        <v>129</v>
      </c>
      <c r="J692" t="s">
        <v>130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"06:13:57.914"</f>
        <v>06:13:57.914</v>
      </c>
      <c r="T692" t="str">
        <f>"06:13:57.614"</f>
        <v>06:13:57.614</v>
      </c>
      <c r="U692" t="str">
        <f t="shared" si="31"/>
        <v>A7E2E0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560</v>
      </c>
      <c r="AJ692">
        <v>39.110599000000001</v>
      </c>
      <c r="AK692" t="s">
        <v>559</v>
      </c>
      <c r="AL692">
        <v>-87.479346000000007</v>
      </c>
      <c r="AM692">
        <v>100</v>
      </c>
      <c r="AN692">
        <v>2600</v>
      </c>
      <c r="AO692" t="s">
        <v>118</v>
      </c>
      <c r="AP692">
        <v>7</v>
      </c>
      <c r="AQ692">
        <v>-146</v>
      </c>
      <c r="AR692">
        <v>768</v>
      </c>
      <c r="AZ692">
        <v>4552</v>
      </c>
      <c r="BA692">
        <v>1</v>
      </c>
      <c r="BB692" t="str">
        <f t="shared" si="32"/>
        <v xml:space="preserve">N607SR  </v>
      </c>
      <c r="BC692">
        <v>1</v>
      </c>
      <c r="BE692">
        <v>0</v>
      </c>
      <c r="BF692">
        <v>0</v>
      </c>
      <c r="BG692">
        <v>0</v>
      </c>
      <c r="BH692">
        <v>2400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"06:13:57.920"</f>
        <v>06:13:57.920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6</v>
      </c>
      <c r="CP692" t="s">
        <v>119</v>
      </c>
      <c r="CQ692">
        <v>465</v>
      </c>
      <c r="CR692">
        <v>0</v>
      </c>
      <c r="CW692">
        <v>4716371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"08/29/2020 06:13:54.691"</f>
        <v>08/29/2020 06:13:54.691</v>
      </c>
      <c r="C693" t="str">
        <f t="shared" si="30"/>
        <v>FFDFD3C0</v>
      </c>
      <c r="D693" t="s">
        <v>113</v>
      </c>
      <c r="E693">
        <v>5</v>
      </c>
      <c r="H693">
        <v>163</v>
      </c>
      <c r="I693" t="s">
        <v>114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"06:13:57.914"</f>
        <v>06:13:57.914</v>
      </c>
      <c r="T693" t="str">
        <f>"06:13:57.614"</f>
        <v>06:13:57.614</v>
      </c>
      <c r="U693" t="str">
        <f t="shared" si="31"/>
        <v>A7E2E0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560</v>
      </c>
      <c r="AJ693">
        <v>39.110599000000001</v>
      </c>
      <c r="AK693" t="s">
        <v>559</v>
      </c>
      <c r="AL693">
        <v>-87.479346000000007</v>
      </c>
      <c r="AM693">
        <v>100</v>
      </c>
      <c r="AN693">
        <v>2600</v>
      </c>
      <c r="AO693" t="s">
        <v>118</v>
      </c>
      <c r="AP693">
        <v>7</v>
      </c>
      <c r="AQ693">
        <v>-146</v>
      </c>
      <c r="AR693">
        <v>768</v>
      </c>
      <c r="AZ693">
        <v>4552</v>
      </c>
      <c r="BA693">
        <v>1</v>
      </c>
      <c r="BB693" t="str">
        <f t="shared" si="32"/>
        <v xml:space="preserve">N607SR  </v>
      </c>
      <c r="BC693">
        <v>1</v>
      </c>
      <c r="BE693">
        <v>0</v>
      </c>
      <c r="BF693">
        <v>0</v>
      </c>
      <c r="BG693">
        <v>0</v>
      </c>
      <c r="BH693">
        <v>2400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"06:13:57.920"</f>
        <v>06:13:57.920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6</v>
      </c>
      <c r="CP693" t="s">
        <v>119</v>
      </c>
      <c r="CQ693">
        <v>465</v>
      </c>
      <c r="CR693">
        <v>0</v>
      </c>
      <c r="CW693">
        <v>4716371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"08/29/2020 06:13:55.197"</f>
        <v>08/29/2020 06:13:55.197</v>
      </c>
      <c r="C694" t="str">
        <f t="shared" si="30"/>
        <v>FFDFD3C0</v>
      </c>
      <c r="D694" t="s">
        <v>121</v>
      </c>
      <c r="E694">
        <v>13</v>
      </c>
      <c r="F694">
        <v>1013</v>
      </c>
      <c r="G694" t="s">
        <v>122</v>
      </c>
      <c r="J694" t="s">
        <v>123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"06:13:58.383"</f>
        <v>06:13:58.383</v>
      </c>
      <c r="U694" t="str">
        <f t="shared" si="31"/>
        <v>A7E2E0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561</v>
      </c>
      <c r="AJ694">
        <v>39.110320000000002</v>
      </c>
      <c r="AK694" t="s">
        <v>559</v>
      </c>
      <c r="AL694">
        <v>-87.479346000000007</v>
      </c>
      <c r="AM694">
        <v>100</v>
      </c>
      <c r="AN694">
        <v>2600</v>
      </c>
      <c r="AO694" t="s">
        <v>118</v>
      </c>
      <c r="AP694">
        <v>5</v>
      </c>
      <c r="AQ694">
        <v>-146</v>
      </c>
      <c r="AR694">
        <v>768</v>
      </c>
      <c r="AZ694">
        <v>4552</v>
      </c>
      <c r="BA694">
        <v>1</v>
      </c>
      <c r="BB694" t="str">
        <f t="shared" si="32"/>
        <v xml:space="preserve">N607SR  </v>
      </c>
      <c r="BC694">
        <v>1</v>
      </c>
      <c r="BE694">
        <v>0</v>
      </c>
      <c r="BF694">
        <v>0</v>
      </c>
      <c r="BG694">
        <v>0</v>
      </c>
      <c r="BH694">
        <v>2425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"06:13:58.387"</f>
        <v>06:13:58.387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6</v>
      </c>
      <c r="CP694" t="s">
        <v>119</v>
      </c>
      <c r="CQ694">
        <v>457</v>
      </c>
      <c r="CR694">
        <v>0</v>
      </c>
      <c r="CW694">
        <v>15512712</v>
      </c>
      <c r="CY694">
        <v>1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"08/29/2020 06:13:55.197"</f>
        <v>08/29/2020 06:13:55.197</v>
      </c>
      <c r="C695" t="str">
        <f t="shared" si="30"/>
        <v>FFDFD3C0</v>
      </c>
      <c r="D695" t="s">
        <v>121</v>
      </c>
      <c r="E695">
        <v>10</v>
      </c>
      <c r="F695">
        <v>1010</v>
      </c>
      <c r="G695" t="s">
        <v>114</v>
      </c>
      <c r="J695" t="s">
        <v>123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"06:13:58.383"</f>
        <v>06:13:58.383</v>
      </c>
      <c r="U695" t="str">
        <f t="shared" si="31"/>
        <v>A7E2E0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561</v>
      </c>
      <c r="AJ695">
        <v>39.110320000000002</v>
      </c>
      <c r="AK695" t="s">
        <v>559</v>
      </c>
      <c r="AL695">
        <v>-87.479346000000007</v>
      </c>
      <c r="AM695">
        <v>100</v>
      </c>
      <c r="AN695">
        <v>2600</v>
      </c>
      <c r="AO695" t="s">
        <v>118</v>
      </c>
      <c r="AP695">
        <v>5</v>
      </c>
      <c r="AQ695">
        <v>-146</v>
      </c>
      <c r="AR695">
        <v>768</v>
      </c>
      <c r="AZ695">
        <v>4552</v>
      </c>
      <c r="BA695">
        <v>1</v>
      </c>
      <c r="BB695" t="str">
        <f t="shared" si="32"/>
        <v xml:space="preserve">N607SR  </v>
      </c>
      <c r="BC695">
        <v>1</v>
      </c>
      <c r="BE695">
        <v>0</v>
      </c>
      <c r="BF695">
        <v>0</v>
      </c>
      <c r="BG695">
        <v>0</v>
      </c>
      <c r="BH695">
        <v>2425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"06:13:58.387"</f>
        <v>06:13:58.387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6</v>
      </c>
      <c r="CP695" t="s">
        <v>119</v>
      </c>
      <c r="CQ695">
        <v>457</v>
      </c>
      <c r="CR695">
        <v>0</v>
      </c>
      <c r="CW695">
        <v>15512712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"08/29/2020 06:13:55.197"</f>
        <v>08/29/2020 06:13:55.197</v>
      </c>
      <c r="C696" t="str">
        <f t="shared" si="30"/>
        <v>FFDFD3C0</v>
      </c>
      <c r="D696" t="s">
        <v>121</v>
      </c>
      <c r="E696">
        <v>11</v>
      </c>
      <c r="F696">
        <v>1011</v>
      </c>
      <c r="G696" t="s">
        <v>125</v>
      </c>
      <c r="J696" t="s">
        <v>123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"06:13:58.383"</f>
        <v>06:13:58.383</v>
      </c>
      <c r="U696" t="str">
        <f t="shared" si="31"/>
        <v>A7E2E0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561</v>
      </c>
      <c r="AJ696">
        <v>39.110320000000002</v>
      </c>
      <c r="AK696" t="s">
        <v>559</v>
      </c>
      <c r="AL696">
        <v>-87.479346000000007</v>
      </c>
      <c r="AM696">
        <v>100</v>
      </c>
      <c r="AN696">
        <v>2600</v>
      </c>
      <c r="AO696" t="s">
        <v>118</v>
      </c>
      <c r="AP696">
        <v>5</v>
      </c>
      <c r="AQ696">
        <v>-146</v>
      </c>
      <c r="AR696">
        <v>768</v>
      </c>
      <c r="AZ696">
        <v>4552</v>
      </c>
      <c r="BA696">
        <v>1</v>
      </c>
      <c r="BB696" t="str">
        <f t="shared" si="32"/>
        <v xml:space="preserve">N607SR  </v>
      </c>
      <c r="BC696">
        <v>1</v>
      </c>
      <c r="BE696">
        <v>0</v>
      </c>
      <c r="BF696">
        <v>0</v>
      </c>
      <c r="BG696">
        <v>0</v>
      </c>
      <c r="BH696">
        <v>2425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"06:13:58.387"</f>
        <v>06:13:58.387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6</v>
      </c>
      <c r="CP696" t="s">
        <v>119</v>
      </c>
      <c r="CQ696">
        <v>457</v>
      </c>
      <c r="CR696">
        <v>0</v>
      </c>
      <c r="CW696">
        <v>15512712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"08/29/2020 06:13:55.657"</f>
        <v>08/29/2020 06:13:55.657</v>
      </c>
      <c r="C697" t="str">
        <f t="shared" si="30"/>
        <v>FFDFD3C0</v>
      </c>
      <c r="D697" t="s">
        <v>113</v>
      </c>
      <c r="E697">
        <v>5</v>
      </c>
      <c r="H697">
        <v>163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"06:13:58.883"</f>
        <v>06:13:58.883</v>
      </c>
      <c r="T697" t="str">
        <f>"06:13:58.483"</f>
        <v>06:13:58.483</v>
      </c>
      <c r="U697" t="str">
        <f t="shared" si="31"/>
        <v>A7E2E0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562</v>
      </c>
      <c r="AJ697">
        <v>39.109976000000003</v>
      </c>
      <c r="AK697" t="s">
        <v>470</v>
      </c>
      <c r="AL697">
        <v>-87.479303000000002</v>
      </c>
      <c r="AM697">
        <v>100</v>
      </c>
      <c r="AN697">
        <v>2600</v>
      </c>
      <c r="AO697" t="s">
        <v>118</v>
      </c>
      <c r="AP697">
        <v>5</v>
      </c>
      <c r="AQ697">
        <v>-146</v>
      </c>
      <c r="AR697">
        <v>768</v>
      </c>
      <c r="AZ697">
        <v>4552</v>
      </c>
      <c r="BA697">
        <v>1</v>
      </c>
      <c r="BB697" t="str">
        <f t="shared" si="32"/>
        <v xml:space="preserve">N607SR  </v>
      </c>
      <c r="BC697">
        <v>1</v>
      </c>
      <c r="BE697">
        <v>0</v>
      </c>
      <c r="BF697">
        <v>0</v>
      </c>
      <c r="BG697">
        <v>0</v>
      </c>
      <c r="BH697">
        <v>2425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"06:13:58.884"</f>
        <v>06:13:58.884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6</v>
      </c>
      <c r="CP697" t="s">
        <v>119</v>
      </c>
      <c r="CQ697">
        <v>177</v>
      </c>
      <c r="CR697">
        <v>2</v>
      </c>
      <c r="CW697">
        <v>1621914</v>
      </c>
      <c r="CY697">
        <v>1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"08/29/2020 06:13:55.657"</f>
        <v>08/29/2020 06:13:55.657</v>
      </c>
      <c r="C698" t="str">
        <f t="shared" si="30"/>
        <v>FFDFD3C0</v>
      </c>
      <c r="D698" t="s">
        <v>128</v>
      </c>
      <c r="E698">
        <v>5</v>
      </c>
      <c r="H698">
        <v>241</v>
      </c>
      <c r="I698" t="s">
        <v>129</v>
      </c>
      <c r="J698" t="s">
        <v>130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"06:13:58.883"</f>
        <v>06:13:58.883</v>
      </c>
      <c r="T698" t="str">
        <f>"06:13:58.483"</f>
        <v>06:13:58.483</v>
      </c>
      <c r="U698" t="str">
        <f t="shared" si="31"/>
        <v>A7E2E0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562</v>
      </c>
      <c r="AJ698">
        <v>39.109976000000003</v>
      </c>
      <c r="AK698" t="s">
        <v>470</v>
      </c>
      <c r="AL698">
        <v>-87.479303000000002</v>
      </c>
      <c r="AM698">
        <v>100</v>
      </c>
      <c r="AN698">
        <v>2600</v>
      </c>
      <c r="AO698" t="s">
        <v>118</v>
      </c>
      <c r="AP698">
        <v>5</v>
      </c>
      <c r="AQ698">
        <v>-146</v>
      </c>
      <c r="AR698">
        <v>768</v>
      </c>
      <c r="AZ698">
        <v>4552</v>
      </c>
      <c r="BA698">
        <v>1</v>
      </c>
      <c r="BB698" t="str">
        <f t="shared" si="32"/>
        <v xml:space="preserve">N607SR  </v>
      </c>
      <c r="BC698">
        <v>1</v>
      </c>
      <c r="BE698">
        <v>0</v>
      </c>
      <c r="BF698">
        <v>0</v>
      </c>
      <c r="BG698">
        <v>0</v>
      </c>
      <c r="BH698">
        <v>2425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"06:13:58.884"</f>
        <v>06:13:58.884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177</v>
      </c>
      <c r="CR698">
        <v>2</v>
      </c>
      <c r="CW698">
        <v>1621914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"08/29/2020 06:13:56.235"</f>
        <v>08/29/2020 06:13:56.235</v>
      </c>
      <c r="C699" t="str">
        <f t="shared" si="30"/>
        <v>FFDFD3C0</v>
      </c>
      <c r="D699" t="s">
        <v>121</v>
      </c>
      <c r="E699">
        <v>11</v>
      </c>
      <c r="F699">
        <v>1011</v>
      </c>
      <c r="G699" t="s">
        <v>125</v>
      </c>
      <c r="J699" t="s">
        <v>123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"06:13:59.453"</f>
        <v>06:13:59.453</v>
      </c>
      <c r="T699" t="str">
        <f>"06:13:58.953"</f>
        <v>06:13:58.953</v>
      </c>
      <c r="U699" t="str">
        <f t="shared" si="31"/>
        <v>A7E2E0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563</v>
      </c>
      <c r="AJ699">
        <v>39.109611999999998</v>
      </c>
      <c r="AK699" t="s">
        <v>470</v>
      </c>
      <c r="AL699">
        <v>-87.479303000000002</v>
      </c>
      <c r="AM699">
        <v>100</v>
      </c>
      <c r="AN699">
        <v>2600</v>
      </c>
      <c r="AO699" t="s">
        <v>118</v>
      </c>
      <c r="AP699">
        <v>4</v>
      </c>
      <c r="AQ699">
        <v>-146</v>
      </c>
      <c r="AR699">
        <v>768</v>
      </c>
      <c r="AZ699">
        <v>4552</v>
      </c>
      <c r="BA699">
        <v>1</v>
      </c>
      <c r="BB699" t="str">
        <f t="shared" si="32"/>
        <v xml:space="preserve">N607SR  </v>
      </c>
      <c r="BC699">
        <v>1</v>
      </c>
      <c r="BE699">
        <v>0</v>
      </c>
      <c r="BF699">
        <v>0</v>
      </c>
      <c r="BG699">
        <v>0</v>
      </c>
      <c r="BH699">
        <v>2425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"06:13:59.454"</f>
        <v>06:13:59.454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6</v>
      </c>
      <c r="CP699" t="s">
        <v>119</v>
      </c>
      <c r="CQ699">
        <v>457</v>
      </c>
      <c r="CR699">
        <v>0</v>
      </c>
      <c r="CW699">
        <v>15512738</v>
      </c>
      <c r="CY699">
        <v>1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"08/29/2020 06:13:56.235"</f>
        <v>08/29/2020 06:13:56.235</v>
      </c>
      <c r="C700" t="str">
        <f t="shared" si="30"/>
        <v>FFDFD3C0</v>
      </c>
      <c r="D700" t="s">
        <v>121</v>
      </c>
      <c r="E700">
        <v>13</v>
      </c>
      <c r="F700">
        <v>1013</v>
      </c>
      <c r="G700" t="s">
        <v>122</v>
      </c>
      <c r="J700" t="s">
        <v>123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"06:13:59.453"</f>
        <v>06:13:59.453</v>
      </c>
      <c r="T700" t="str">
        <f>"06:13:58.953"</f>
        <v>06:13:58.953</v>
      </c>
      <c r="U700" t="str">
        <f t="shared" si="31"/>
        <v>A7E2E0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563</v>
      </c>
      <c r="AJ700">
        <v>39.109611999999998</v>
      </c>
      <c r="AK700" t="s">
        <v>470</v>
      </c>
      <c r="AL700">
        <v>-87.479303000000002</v>
      </c>
      <c r="AM700">
        <v>100</v>
      </c>
      <c r="AN700">
        <v>2600</v>
      </c>
      <c r="AO700" t="s">
        <v>118</v>
      </c>
      <c r="AP700">
        <v>4</v>
      </c>
      <c r="AQ700">
        <v>-146</v>
      </c>
      <c r="AR700">
        <v>768</v>
      </c>
      <c r="AZ700">
        <v>4552</v>
      </c>
      <c r="BA700">
        <v>1</v>
      </c>
      <c r="BB700" t="str">
        <f t="shared" si="32"/>
        <v xml:space="preserve">N607SR  </v>
      </c>
      <c r="BC700">
        <v>1</v>
      </c>
      <c r="BE700">
        <v>0</v>
      </c>
      <c r="BF700">
        <v>0</v>
      </c>
      <c r="BG700">
        <v>0</v>
      </c>
      <c r="BH700">
        <v>2425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"06:13:59.454"</f>
        <v>06:13:59.454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6</v>
      </c>
      <c r="CP700" t="s">
        <v>119</v>
      </c>
      <c r="CQ700">
        <v>457</v>
      </c>
      <c r="CR700">
        <v>0</v>
      </c>
      <c r="CW700">
        <v>15512738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"08/29/2020 06:13:56.235"</f>
        <v>08/29/2020 06:13:56.235</v>
      </c>
      <c r="C701" t="str">
        <f t="shared" si="30"/>
        <v>FFDFD3C0</v>
      </c>
      <c r="D701" t="s">
        <v>121</v>
      </c>
      <c r="E701">
        <v>10</v>
      </c>
      <c r="F701">
        <v>1010</v>
      </c>
      <c r="G701" t="s">
        <v>114</v>
      </c>
      <c r="J701" t="s">
        <v>123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"06:13:59.453"</f>
        <v>06:13:59.453</v>
      </c>
      <c r="T701" t="str">
        <f>"06:13:58.953"</f>
        <v>06:13:58.953</v>
      </c>
      <c r="U701" t="str">
        <f t="shared" si="31"/>
        <v>A7E2E0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563</v>
      </c>
      <c r="AJ701">
        <v>39.109611999999998</v>
      </c>
      <c r="AK701" t="s">
        <v>470</v>
      </c>
      <c r="AL701">
        <v>-87.479303000000002</v>
      </c>
      <c r="AM701">
        <v>100</v>
      </c>
      <c r="AN701">
        <v>2600</v>
      </c>
      <c r="AO701" t="s">
        <v>118</v>
      </c>
      <c r="AP701">
        <v>4</v>
      </c>
      <c r="AQ701">
        <v>-146</v>
      </c>
      <c r="AR701">
        <v>768</v>
      </c>
      <c r="AZ701">
        <v>4552</v>
      </c>
      <c r="BA701">
        <v>1</v>
      </c>
      <c r="BB701" t="str">
        <f t="shared" si="32"/>
        <v xml:space="preserve">N607SR  </v>
      </c>
      <c r="BC701">
        <v>1</v>
      </c>
      <c r="BE701">
        <v>0</v>
      </c>
      <c r="BF701">
        <v>0</v>
      </c>
      <c r="BG701">
        <v>0</v>
      </c>
      <c r="BH701">
        <v>2425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"06:13:59.454"</f>
        <v>06:13:59.454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6</v>
      </c>
      <c r="CP701" t="s">
        <v>119</v>
      </c>
      <c r="CQ701">
        <v>457</v>
      </c>
      <c r="CR701">
        <v>0</v>
      </c>
      <c r="CW701">
        <v>15512738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"08/29/2020 06:13:56.767"</f>
        <v>08/29/2020 06:13:56.767</v>
      </c>
      <c r="C702" t="str">
        <f t="shared" si="30"/>
        <v>FFDFD3C0</v>
      </c>
      <c r="D702" t="s">
        <v>128</v>
      </c>
      <c r="E702">
        <v>5</v>
      </c>
      <c r="H702">
        <v>241</v>
      </c>
      <c r="I702" t="s">
        <v>129</v>
      </c>
      <c r="J702" t="s">
        <v>130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"06:13:59.984"</f>
        <v>06:13:59.984</v>
      </c>
      <c r="T702" t="str">
        <f>"06:13:59.484"</f>
        <v>06:13:59.484</v>
      </c>
      <c r="U702" t="str">
        <f t="shared" si="31"/>
        <v>A7E2E0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564</v>
      </c>
      <c r="AJ702">
        <v>39.109268</v>
      </c>
      <c r="AK702" t="s">
        <v>470</v>
      </c>
      <c r="AL702">
        <v>-87.479303000000002</v>
      </c>
      <c r="AM702">
        <v>100</v>
      </c>
      <c r="AN702">
        <v>2600</v>
      </c>
      <c r="AO702" t="s">
        <v>118</v>
      </c>
      <c r="AP702">
        <v>2</v>
      </c>
      <c r="AQ702">
        <v>-146</v>
      </c>
      <c r="AR702">
        <v>768</v>
      </c>
      <c r="AZ702">
        <v>4552</v>
      </c>
      <c r="BA702">
        <v>1</v>
      </c>
      <c r="BB702" t="str">
        <f t="shared" si="32"/>
        <v xml:space="preserve">N607SR  </v>
      </c>
      <c r="BC702">
        <v>1</v>
      </c>
      <c r="BE702">
        <v>0</v>
      </c>
      <c r="BF702">
        <v>0</v>
      </c>
      <c r="BG702">
        <v>0</v>
      </c>
      <c r="BH702">
        <v>2425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"06:13:59.986"</f>
        <v>06:13:59.986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6</v>
      </c>
      <c r="CP702" t="s">
        <v>119</v>
      </c>
      <c r="CQ702">
        <v>457</v>
      </c>
      <c r="CR702">
        <v>0</v>
      </c>
      <c r="CW702">
        <v>15512754</v>
      </c>
      <c r="CY702">
        <v>1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"08/29/2020 06:13:56.767"</f>
        <v>08/29/2020 06:13:56.767</v>
      </c>
      <c r="C703" t="str">
        <f t="shared" si="30"/>
        <v>FFDFD3C0</v>
      </c>
      <c r="D703" t="s">
        <v>113</v>
      </c>
      <c r="E703">
        <v>5</v>
      </c>
      <c r="H703">
        <v>163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"06:13:59.984"</f>
        <v>06:13:59.984</v>
      </c>
      <c r="T703" t="str">
        <f>"06:13:59.484"</f>
        <v>06:13:59.484</v>
      </c>
      <c r="U703" t="str">
        <f t="shared" si="31"/>
        <v>A7E2E0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564</v>
      </c>
      <c r="AJ703">
        <v>39.109268</v>
      </c>
      <c r="AK703" t="s">
        <v>470</v>
      </c>
      <c r="AL703">
        <v>-87.479303000000002</v>
      </c>
      <c r="AM703">
        <v>100</v>
      </c>
      <c r="AN703">
        <v>2600</v>
      </c>
      <c r="AO703" t="s">
        <v>118</v>
      </c>
      <c r="AP703">
        <v>2</v>
      </c>
      <c r="AQ703">
        <v>-146</v>
      </c>
      <c r="AR703">
        <v>768</v>
      </c>
      <c r="AZ703">
        <v>4552</v>
      </c>
      <c r="BA703">
        <v>1</v>
      </c>
      <c r="BB703" t="str">
        <f t="shared" si="32"/>
        <v xml:space="preserve">N607SR  </v>
      </c>
      <c r="BC703">
        <v>1</v>
      </c>
      <c r="BE703">
        <v>0</v>
      </c>
      <c r="BF703">
        <v>0</v>
      </c>
      <c r="BG703">
        <v>0</v>
      </c>
      <c r="BH703">
        <v>2425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"06:13:59.986"</f>
        <v>06:13:59.986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6</v>
      </c>
      <c r="CP703" t="s">
        <v>119</v>
      </c>
      <c r="CQ703">
        <v>457</v>
      </c>
      <c r="CR703">
        <v>0</v>
      </c>
      <c r="CW703">
        <v>15512754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"08/29/2020 06:13:57.224"</f>
        <v>08/29/2020 06:13:57.224</v>
      </c>
      <c r="C704" t="str">
        <f t="shared" si="30"/>
        <v>FFDFD3C0</v>
      </c>
      <c r="D704" t="s">
        <v>121</v>
      </c>
      <c r="E704">
        <v>13</v>
      </c>
      <c r="F704">
        <v>1013</v>
      </c>
      <c r="G704" t="s">
        <v>122</v>
      </c>
      <c r="J704" t="s">
        <v>123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"06:14:00.430"</f>
        <v>06:14:00.430</v>
      </c>
      <c r="T704" t="str">
        <f>"06:14:00.030"</f>
        <v>06:14:00.030</v>
      </c>
      <c r="U704" t="str">
        <f t="shared" si="31"/>
        <v>A7E2E0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565</v>
      </c>
      <c r="AJ704">
        <v>39.108902999999998</v>
      </c>
      <c r="AK704" t="s">
        <v>470</v>
      </c>
      <c r="AL704">
        <v>-87.479303000000002</v>
      </c>
      <c r="AM704">
        <v>100</v>
      </c>
      <c r="AN704">
        <v>2700</v>
      </c>
      <c r="AO704" t="s">
        <v>118</v>
      </c>
      <c r="AP704">
        <v>1</v>
      </c>
      <c r="AQ704">
        <v>-146</v>
      </c>
      <c r="AR704">
        <v>768</v>
      </c>
      <c r="AZ704">
        <v>4552</v>
      </c>
      <c r="BA704">
        <v>1</v>
      </c>
      <c r="BB704" t="str">
        <f t="shared" si="32"/>
        <v xml:space="preserve">N607SR  </v>
      </c>
      <c r="BC704">
        <v>1</v>
      </c>
      <c r="BE704">
        <v>0</v>
      </c>
      <c r="BF704">
        <v>0</v>
      </c>
      <c r="BG704">
        <v>0</v>
      </c>
      <c r="BH704">
        <v>2425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"06:14:00.434"</f>
        <v>06:14:00.434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6</v>
      </c>
      <c r="CP704" t="s">
        <v>119</v>
      </c>
      <c r="CQ704">
        <v>177</v>
      </c>
      <c r="CR704">
        <v>2</v>
      </c>
      <c r="CW704">
        <v>1622148</v>
      </c>
      <c r="CY704">
        <v>1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"08/29/2020 06:13:57.224"</f>
        <v>08/29/2020 06:13:57.224</v>
      </c>
      <c r="C705" t="str">
        <f t="shared" si="30"/>
        <v>FFDFD3C0</v>
      </c>
      <c r="D705" t="s">
        <v>121</v>
      </c>
      <c r="E705">
        <v>10</v>
      </c>
      <c r="F705">
        <v>1010</v>
      </c>
      <c r="G705" t="s">
        <v>114</v>
      </c>
      <c r="J705" t="s">
        <v>123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"06:14:00.430"</f>
        <v>06:14:00.430</v>
      </c>
      <c r="T705" t="str">
        <f>"06:14:00.030"</f>
        <v>06:14:00.030</v>
      </c>
      <c r="U705" t="str">
        <f t="shared" si="31"/>
        <v>A7E2E0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565</v>
      </c>
      <c r="AJ705">
        <v>39.108902999999998</v>
      </c>
      <c r="AK705" t="s">
        <v>470</v>
      </c>
      <c r="AL705">
        <v>-87.479303000000002</v>
      </c>
      <c r="AM705">
        <v>100</v>
      </c>
      <c r="AN705">
        <v>2700</v>
      </c>
      <c r="AO705" t="s">
        <v>118</v>
      </c>
      <c r="AP705">
        <v>1</v>
      </c>
      <c r="AQ705">
        <v>-146</v>
      </c>
      <c r="AR705">
        <v>768</v>
      </c>
      <c r="AZ705">
        <v>4552</v>
      </c>
      <c r="BA705">
        <v>1</v>
      </c>
      <c r="BB705" t="str">
        <f t="shared" si="32"/>
        <v xml:space="preserve">N607SR  </v>
      </c>
      <c r="BC705">
        <v>1</v>
      </c>
      <c r="BE705">
        <v>0</v>
      </c>
      <c r="BF705">
        <v>0</v>
      </c>
      <c r="BG705">
        <v>0</v>
      </c>
      <c r="BH705">
        <v>2425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"06:14:00.434"</f>
        <v>06:14:00.434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6</v>
      </c>
      <c r="CP705" t="s">
        <v>119</v>
      </c>
      <c r="CQ705">
        <v>177</v>
      </c>
      <c r="CR705">
        <v>2</v>
      </c>
      <c r="CW705">
        <v>1622148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"08/29/2020 06:13:57.224"</f>
        <v>08/29/2020 06:13:57.224</v>
      </c>
      <c r="C706" t="str">
        <f t="shared" ref="C706:C769" si="33">"FFDFD3C0"</f>
        <v>FFDFD3C0</v>
      </c>
      <c r="D706" t="s">
        <v>121</v>
      </c>
      <c r="E706">
        <v>11</v>
      </c>
      <c r="F706">
        <v>1011</v>
      </c>
      <c r="G706" t="s">
        <v>125</v>
      </c>
      <c r="J706" t="s">
        <v>123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"06:14:00.430"</f>
        <v>06:14:00.430</v>
      </c>
      <c r="T706" t="str">
        <f>"06:14:00.030"</f>
        <v>06:14:00.030</v>
      </c>
      <c r="U706" t="str">
        <f t="shared" ref="U706:U769" si="34">"A7E2E0"</f>
        <v>A7E2E0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565</v>
      </c>
      <c r="AJ706">
        <v>39.108902999999998</v>
      </c>
      <c r="AK706" t="s">
        <v>470</v>
      </c>
      <c r="AL706">
        <v>-87.479303000000002</v>
      </c>
      <c r="AM706">
        <v>100</v>
      </c>
      <c r="AN706">
        <v>2700</v>
      </c>
      <c r="AO706" t="s">
        <v>118</v>
      </c>
      <c r="AP706">
        <v>1</v>
      </c>
      <c r="AQ706">
        <v>-146</v>
      </c>
      <c r="AR706">
        <v>768</v>
      </c>
      <c r="AZ706">
        <v>4552</v>
      </c>
      <c r="BA706">
        <v>1</v>
      </c>
      <c r="BB706" t="str">
        <f t="shared" ref="BB706:BB769" si="35">"N607SR  "</f>
        <v xml:space="preserve">N607SR  </v>
      </c>
      <c r="BC706">
        <v>1</v>
      </c>
      <c r="BE706">
        <v>0</v>
      </c>
      <c r="BF706">
        <v>0</v>
      </c>
      <c r="BG706">
        <v>0</v>
      </c>
      <c r="BH706">
        <v>2425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"06:14:00.434"</f>
        <v>06:14:00.434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6</v>
      </c>
      <c r="CP706" t="s">
        <v>119</v>
      </c>
      <c r="CQ706">
        <v>177</v>
      </c>
      <c r="CR706">
        <v>2</v>
      </c>
      <c r="CW706">
        <v>1622148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"08/29/2020 06:13:57.676"</f>
        <v>08/29/2020 06:13:57.676</v>
      </c>
      <c r="C707" t="str">
        <f t="shared" si="33"/>
        <v>FFDFD3C0</v>
      </c>
      <c r="D707" t="s">
        <v>128</v>
      </c>
      <c r="E707">
        <v>5</v>
      </c>
      <c r="H707">
        <v>241</v>
      </c>
      <c r="I707" t="s">
        <v>129</v>
      </c>
      <c r="J707" t="s">
        <v>130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"06:14:00.867"</f>
        <v>06:14:00.867</v>
      </c>
      <c r="U707" t="str">
        <f t="shared" si="34"/>
        <v>A7E2E0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566</v>
      </c>
      <c r="AJ707">
        <v>39.108623999999999</v>
      </c>
      <c r="AK707" t="s">
        <v>470</v>
      </c>
      <c r="AL707">
        <v>-87.479303000000002</v>
      </c>
      <c r="AM707">
        <v>100</v>
      </c>
      <c r="AN707">
        <v>2600</v>
      </c>
      <c r="AO707" t="s">
        <v>118</v>
      </c>
      <c r="AP707">
        <v>-1</v>
      </c>
      <c r="AQ707">
        <v>-146</v>
      </c>
      <c r="AR707">
        <v>768</v>
      </c>
      <c r="AZ707">
        <v>4552</v>
      </c>
      <c r="BA707">
        <v>1</v>
      </c>
      <c r="BB707" t="str">
        <f t="shared" si="35"/>
        <v xml:space="preserve">N607SR  </v>
      </c>
      <c r="BC707">
        <v>1</v>
      </c>
      <c r="BE707">
        <v>0</v>
      </c>
      <c r="BF707">
        <v>0</v>
      </c>
      <c r="BG707">
        <v>0</v>
      </c>
      <c r="BH707">
        <v>2450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"06:14:00.868"</f>
        <v>06:14:00.868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6</v>
      </c>
      <c r="CP707" t="s">
        <v>119</v>
      </c>
      <c r="CQ707">
        <v>457</v>
      </c>
      <c r="CR707">
        <v>0</v>
      </c>
      <c r="CW707">
        <v>15512780</v>
      </c>
      <c r="CY707">
        <v>1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"08/29/2020 06:13:57.676"</f>
        <v>08/29/2020 06:13:57.676</v>
      </c>
      <c r="C708" t="str">
        <f t="shared" si="33"/>
        <v>FFDFD3C0</v>
      </c>
      <c r="D708" t="s">
        <v>113</v>
      </c>
      <c r="E708">
        <v>5</v>
      </c>
      <c r="H708">
        <v>163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"06:14:00.867"</f>
        <v>06:14:00.867</v>
      </c>
      <c r="U708" t="str">
        <f t="shared" si="34"/>
        <v>A7E2E0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566</v>
      </c>
      <c r="AJ708">
        <v>39.108623999999999</v>
      </c>
      <c r="AK708" t="s">
        <v>470</v>
      </c>
      <c r="AL708">
        <v>-87.479303000000002</v>
      </c>
      <c r="AM708">
        <v>100</v>
      </c>
      <c r="AN708">
        <v>2600</v>
      </c>
      <c r="AO708" t="s">
        <v>118</v>
      </c>
      <c r="AP708">
        <v>-1</v>
      </c>
      <c r="AQ708">
        <v>-146</v>
      </c>
      <c r="AR708">
        <v>768</v>
      </c>
      <c r="AZ708">
        <v>4552</v>
      </c>
      <c r="BA708">
        <v>1</v>
      </c>
      <c r="BB708" t="str">
        <f t="shared" si="35"/>
        <v xml:space="preserve">N607SR  </v>
      </c>
      <c r="BC708">
        <v>1</v>
      </c>
      <c r="BE708">
        <v>0</v>
      </c>
      <c r="BF708">
        <v>0</v>
      </c>
      <c r="BG708">
        <v>0</v>
      </c>
      <c r="BH708">
        <v>2450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"06:14:00.868"</f>
        <v>06:14:00.868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6</v>
      </c>
      <c r="CP708" t="s">
        <v>119</v>
      </c>
      <c r="CQ708">
        <v>457</v>
      </c>
      <c r="CR708">
        <v>0</v>
      </c>
      <c r="CW708">
        <v>15512780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"08/29/2020 06:13:58.136"</f>
        <v>08/29/2020 06:13:58.136</v>
      </c>
      <c r="C709" t="str">
        <f t="shared" si="33"/>
        <v>FFDFD3C0</v>
      </c>
      <c r="D709" t="s">
        <v>121</v>
      </c>
      <c r="E709">
        <v>13</v>
      </c>
      <c r="F709">
        <v>1013</v>
      </c>
      <c r="G709" t="s">
        <v>122</v>
      </c>
      <c r="J709" t="s">
        <v>123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"06:14:01.344"</f>
        <v>06:14:01.344</v>
      </c>
      <c r="T709" t="str">
        <f>"06:14:00.944"</f>
        <v>06:14:00.944</v>
      </c>
      <c r="U709" t="str">
        <f t="shared" si="34"/>
        <v>A7E2E0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567</v>
      </c>
      <c r="AJ709">
        <v>39.108302999999999</v>
      </c>
      <c r="AK709" t="s">
        <v>559</v>
      </c>
      <c r="AL709">
        <v>-87.479346000000007</v>
      </c>
      <c r="AM709">
        <v>100</v>
      </c>
      <c r="AN709">
        <v>2600</v>
      </c>
      <c r="AO709" t="s">
        <v>118</v>
      </c>
      <c r="AP709">
        <v>-1</v>
      </c>
      <c r="AQ709">
        <v>-146</v>
      </c>
      <c r="AR709">
        <v>768</v>
      </c>
      <c r="AZ709">
        <v>4552</v>
      </c>
      <c r="BA709">
        <v>1</v>
      </c>
      <c r="BB709" t="str">
        <f t="shared" si="35"/>
        <v xml:space="preserve">N607SR  </v>
      </c>
      <c r="BC709">
        <v>1</v>
      </c>
      <c r="BE709">
        <v>0</v>
      </c>
      <c r="BF709">
        <v>0</v>
      </c>
      <c r="BG709">
        <v>0</v>
      </c>
      <c r="BH709">
        <v>2450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"06:14:01.346"</f>
        <v>06:14:01.346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6</v>
      </c>
      <c r="CP709" t="s">
        <v>119</v>
      </c>
      <c r="CQ709">
        <v>177</v>
      </c>
      <c r="CR709">
        <v>2</v>
      </c>
      <c r="CW709">
        <v>1622302</v>
      </c>
      <c r="CY709">
        <v>1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"08/29/2020 06:13:58.136"</f>
        <v>08/29/2020 06:13:58.136</v>
      </c>
      <c r="C710" t="str">
        <f t="shared" si="33"/>
        <v>FFDFD3C0</v>
      </c>
      <c r="D710" t="s">
        <v>121</v>
      </c>
      <c r="E710">
        <v>10</v>
      </c>
      <c r="F710">
        <v>1010</v>
      </c>
      <c r="G710" t="s">
        <v>114</v>
      </c>
      <c r="J710" t="s">
        <v>123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"06:14:01.344"</f>
        <v>06:14:01.344</v>
      </c>
      <c r="T710" t="str">
        <f>"06:14:00.944"</f>
        <v>06:14:00.944</v>
      </c>
      <c r="U710" t="str">
        <f t="shared" si="34"/>
        <v>A7E2E0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567</v>
      </c>
      <c r="AJ710">
        <v>39.108302999999999</v>
      </c>
      <c r="AK710" t="s">
        <v>559</v>
      </c>
      <c r="AL710">
        <v>-87.479346000000007</v>
      </c>
      <c r="AM710">
        <v>100</v>
      </c>
      <c r="AN710">
        <v>2600</v>
      </c>
      <c r="AO710" t="s">
        <v>118</v>
      </c>
      <c r="AP710">
        <v>-1</v>
      </c>
      <c r="AQ710">
        <v>-146</v>
      </c>
      <c r="AR710">
        <v>768</v>
      </c>
      <c r="AZ710">
        <v>4552</v>
      </c>
      <c r="BA710">
        <v>1</v>
      </c>
      <c r="BB710" t="str">
        <f t="shared" si="35"/>
        <v xml:space="preserve">N607SR  </v>
      </c>
      <c r="BC710">
        <v>1</v>
      </c>
      <c r="BE710">
        <v>0</v>
      </c>
      <c r="BF710">
        <v>0</v>
      </c>
      <c r="BG710">
        <v>0</v>
      </c>
      <c r="BH710">
        <v>2450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"06:14:01.346"</f>
        <v>06:14:01.346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6</v>
      </c>
      <c r="CP710" t="s">
        <v>119</v>
      </c>
      <c r="CQ710">
        <v>177</v>
      </c>
      <c r="CR710">
        <v>2</v>
      </c>
      <c r="CW710">
        <v>1622302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"08/29/2020 06:13:58.136"</f>
        <v>08/29/2020 06:13:58.136</v>
      </c>
      <c r="C711" t="str">
        <f t="shared" si="33"/>
        <v>FFDFD3C0</v>
      </c>
      <c r="D711" t="s">
        <v>121</v>
      </c>
      <c r="E711">
        <v>11</v>
      </c>
      <c r="F711">
        <v>1011</v>
      </c>
      <c r="G711" t="s">
        <v>125</v>
      </c>
      <c r="J711" t="s">
        <v>123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"06:14:01.344"</f>
        <v>06:14:01.344</v>
      </c>
      <c r="T711" t="str">
        <f>"06:14:00.944"</f>
        <v>06:14:00.944</v>
      </c>
      <c r="U711" t="str">
        <f t="shared" si="34"/>
        <v>A7E2E0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567</v>
      </c>
      <c r="AJ711">
        <v>39.108302999999999</v>
      </c>
      <c r="AK711" t="s">
        <v>559</v>
      </c>
      <c r="AL711">
        <v>-87.479346000000007</v>
      </c>
      <c r="AM711">
        <v>100</v>
      </c>
      <c r="AN711">
        <v>2600</v>
      </c>
      <c r="AO711" t="s">
        <v>118</v>
      </c>
      <c r="AP711">
        <v>-1</v>
      </c>
      <c r="AQ711">
        <v>-146</v>
      </c>
      <c r="AR711">
        <v>768</v>
      </c>
      <c r="AZ711">
        <v>4552</v>
      </c>
      <c r="BA711">
        <v>1</v>
      </c>
      <c r="BB711" t="str">
        <f t="shared" si="35"/>
        <v xml:space="preserve">N607SR  </v>
      </c>
      <c r="BC711">
        <v>1</v>
      </c>
      <c r="BE711">
        <v>0</v>
      </c>
      <c r="BF711">
        <v>0</v>
      </c>
      <c r="BG711">
        <v>0</v>
      </c>
      <c r="BH711">
        <v>2450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"06:14:01.346"</f>
        <v>06:14:01.346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6</v>
      </c>
      <c r="CP711" t="s">
        <v>119</v>
      </c>
      <c r="CQ711">
        <v>177</v>
      </c>
      <c r="CR711">
        <v>2</v>
      </c>
      <c r="CW711">
        <v>1622302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"08/29/2020 06:13:58.540"</f>
        <v>08/29/2020 06:13:58.540</v>
      </c>
      <c r="C712" t="str">
        <f t="shared" si="33"/>
        <v>FFDFD3C0</v>
      </c>
      <c r="D712" t="s">
        <v>113</v>
      </c>
      <c r="E712">
        <v>5</v>
      </c>
      <c r="H712">
        <v>163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"06:14:01.773"</f>
        <v>06:14:01.773</v>
      </c>
      <c r="T712" t="str">
        <f>"06:14:01.373"</f>
        <v>06:14:01.373</v>
      </c>
      <c r="U712" t="str">
        <f t="shared" si="34"/>
        <v>A7E2E0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568</v>
      </c>
      <c r="AJ712">
        <v>39.108024</v>
      </c>
      <c r="AK712" t="s">
        <v>559</v>
      </c>
      <c r="AL712">
        <v>-87.479346000000007</v>
      </c>
      <c r="AM712">
        <v>100</v>
      </c>
      <c r="AN712">
        <v>2700</v>
      </c>
      <c r="AO712" t="s">
        <v>118</v>
      </c>
      <c r="AP712">
        <v>-2</v>
      </c>
      <c r="AQ712">
        <v>-146</v>
      </c>
      <c r="AR712">
        <v>768</v>
      </c>
      <c r="AZ712">
        <v>4552</v>
      </c>
      <c r="BA712">
        <v>1</v>
      </c>
      <c r="BB712" t="str">
        <f t="shared" si="35"/>
        <v xml:space="preserve">N607SR  </v>
      </c>
      <c r="BC712">
        <v>1</v>
      </c>
      <c r="BE712">
        <v>0</v>
      </c>
      <c r="BF712">
        <v>0</v>
      </c>
      <c r="BG712">
        <v>0</v>
      </c>
      <c r="BH712">
        <v>2550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"06:14:01.775"</f>
        <v>06:14:01.775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6</v>
      </c>
      <c r="CP712" t="s">
        <v>119</v>
      </c>
      <c r="CQ712">
        <v>457</v>
      </c>
      <c r="CR712">
        <v>0</v>
      </c>
      <c r="CW712">
        <v>15512802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"08/29/2020 06:13:58.540"</f>
        <v>08/29/2020 06:13:58.540</v>
      </c>
      <c r="C713" t="str">
        <f t="shared" si="33"/>
        <v>FFDFD3C0</v>
      </c>
      <c r="D713" t="s">
        <v>128</v>
      </c>
      <c r="E713">
        <v>5</v>
      </c>
      <c r="H713">
        <v>241</v>
      </c>
      <c r="I713" t="s">
        <v>129</v>
      </c>
      <c r="J713" t="s">
        <v>130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"06:14:01.773"</f>
        <v>06:14:01.773</v>
      </c>
      <c r="T713" t="str">
        <f>"06:14:01.373"</f>
        <v>06:14:01.373</v>
      </c>
      <c r="U713" t="str">
        <f t="shared" si="34"/>
        <v>A7E2E0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568</v>
      </c>
      <c r="AJ713">
        <v>39.108024</v>
      </c>
      <c r="AK713" t="s">
        <v>559</v>
      </c>
      <c r="AL713">
        <v>-87.479346000000007</v>
      </c>
      <c r="AM713">
        <v>100</v>
      </c>
      <c r="AN713">
        <v>2700</v>
      </c>
      <c r="AO713" t="s">
        <v>118</v>
      </c>
      <c r="AP713">
        <v>-2</v>
      </c>
      <c r="AQ713">
        <v>-146</v>
      </c>
      <c r="AR713">
        <v>768</v>
      </c>
      <c r="AZ713">
        <v>4552</v>
      </c>
      <c r="BA713">
        <v>1</v>
      </c>
      <c r="BB713" t="str">
        <f t="shared" si="35"/>
        <v xml:space="preserve">N607SR  </v>
      </c>
      <c r="BC713">
        <v>1</v>
      </c>
      <c r="BE713">
        <v>0</v>
      </c>
      <c r="BF713">
        <v>0</v>
      </c>
      <c r="BG713">
        <v>0</v>
      </c>
      <c r="BH713">
        <v>2550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"06:14:01.775"</f>
        <v>06:14:01.775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6</v>
      </c>
      <c r="CP713" t="s">
        <v>119</v>
      </c>
      <c r="CQ713">
        <v>457</v>
      </c>
      <c r="CR713">
        <v>0</v>
      </c>
      <c r="CW713">
        <v>15512802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"08/29/2020 06:13:59.028"</f>
        <v>08/29/2020 06:13:59.028</v>
      </c>
      <c r="C714" t="str">
        <f t="shared" si="33"/>
        <v>FFDFD3C0</v>
      </c>
      <c r="D714" t="s">
        <v>121</v>
      </c>
      <c r="E714">
        <v>11</v>
      </c>
      <c r="F714">
        <v>1011</v>
      </c>
      <c r="G714" t="s">
        <v>125</v>
      </c>
      <c r="J714" t="s">
        <v>123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"06:14:02.242"</f>
        <v>06:14:02.242</v>
      </c>
      <c r="T714" t="str">
        <f>"06:14:01.842"</f>
        <v>06:14:01.842</v>
      </c>
      <c r="U714" t="str">
        <f t="shared" si="34"/>
        <v>A7E2E0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569</v>
      </c>
      <c r="AJ714">
        <v>39.107702000000003</v>
      </c>
      <c r="AK714" t="s">
        <v>570</v>
      </c>
      <c r="AL714">
        <v>-87.479366999999996</v>
      </c>
      <c r="AM714">
        <v>100</v>
      </c>
      <c r="AN714">
        <v>2700</v>
      </c>
      <c r="AO714" t="s">
        <v>118</v>
      </c>
      <c r="AP714">
        <v>-3</v>
      </c>
      <c r="AQ714">
        <v>-146</v>
      </c>
      <c r="AR714">
        <v>832</v>
      </c>
      <c r="AZ714">
        <v>4552</v>
      </c>
      <c r="BA714">
        <v>1</v>
      </c>
      <c r="BB714" t="str">
        <f t="shared" si="35"/>
        <v xml:space="preserve">N607SR  </v>
      </c>
      <c r="BC714">
        <v>1</v>
      </c>
      <c r="BE714">
        <v>0</v>
      </c>
      <c r="BF714">
        <v>0</v>
      </c>
      <c r="BG714">
        <v>0</v>
      </c>
      <c r="BH714">
        <v>2450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"06:14:02.244"</f>
        <v>06:14:02.244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6</v>
      </c>
      <c r="CP714" t="s">
        <v>119</v>
      </c>
      <c r="CQ714">
        <v>457</v>
      </c>
      <c r="CR714">
        <v>0</v>
      </c>
      <c r="CW714">
        <v>15512815</v>
      </c>
      <c r="CY714">
        <v>1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"08/29/2020 06:13:59.028"</f>
        <v>08/29/2020 06:13:59.028</v>
      </c>
      <c r="C715" t="str">
        <f t="shared" si="33"/>
        <v>FFDFD3C0</v>
      </c>
      <c r="D715" t="s">
        <v>121</v>
      </c>
      <c r="E715">
        <v>13</v>
      </c>
      <c r="F715">
        <v>1013</v>
      </c>
      <c r="G715" t="s">
        <v>122</v>
      </c>
      <c r="J715" t="s">
        <v>123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"06:14:02.242"</f>
        <v>06:14:02.242</v>
      </c>
      <c r="T715" t="str">
        <f>"06:14:01.842"</f>
        <v>06:14:01.842</v>
      </c>
      <c r="U715" t="str">
        <f t="shared" si="34"/>
        <v>A7E2E0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569</v>
      </c>
      <c r="AJ715">
        <v>39.107702000000003</v>
      </c>
      <c r="AK715" t="s">
        <v>570</v>
      </c>
      <c r="AL715">
        <v>-87.479366999999996</v>
      </c>
      <c r="AM715">
        <v>100</v>
      </c>
      <c r="AN715">
        <v>2700</v>
      </c>
      <c r="AO715" t="s">
        <v>118</v>
      </c>
      <c r="AP715">
        <v>-3</v>
      </c>
      <c r="AQ715">
        <v>-146</v>
      </c>
      <c r="AR715">
        <v>832</v>
      </c>
      <c r="AZ715">
        <v>4552</v>
      </c>
      <c r="BA715">
        <v>1</v>
      </c>
      <c r="BB715" t="str">
        <f t="shared" si="35"/>
        <v xml:space="preserve">N607SR  </v>
      </c>
      <c r="BC715">
        <v>1</v>
      </c>
      <c r="BE715">
        <v>0</v>
      </c>
      <c r="BF715">
        <v>0</v>
      </c>
      <c r="BG715">
        <v>0</v>
      </c>
      <c r="BH715">
        <v>2450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"06:14:02.244"</f>
        <v>06:14:02.244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6</v>
      </c>
      <c r="CP715" t="s">
        <v>119</v>
      </c>
      <c r="CQ715">
        <v>457</v>
      </c>
      <c r="CR715">
        <v>0</v>
      </c>
      <c r="CW715">
        <v>15512815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"08/29/2020 06:13:59.028"</f>
        <v>08/29/2020 06:13:59.028</v>
      </c>
      <c r="C716" t="str">
        <f t="shared" si="33"/>
        <v>FFDFD3C0</v>
      </c>
      <c r="D716" t="s">
        <v>121</v>
      </c>
      <c r="E716">
        <v>10</v>
      </c>
      <c r="F716">
        <v>1010</v>
      </c>
      <c r="G716" t="s">
        <v>114</v>
      </c>
      <c r="J716" t="s">
        <v>123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"06:14:02.242"</f>
        <v>06:14:02.242</v>
      </c>
      <c r="T716" t="str">
        <f>"06:14:01.842"</f>
        <v>06:14:01.842</v>
      </c>
      <c r="U716" t="str">
        <f t="shared" si="34"/>
        <v>A7E2E0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569</v>
      </c>
      <c r="AJ716">
        <v>39.107702000000003</v>
      </c>
      <c r="AK716" t="s">
        <v>570</v>
      </c>
      <c r="AL716">
        <v>-87.479366999999996</v>
      </c>
      <c r="AM716">
        <v>100</v>
      </c>
      <c r="AN716">
        <v>2700</v>
      </c>
      <c r="AO716" t="s">
        <v>118</v>
      </c>
      <c r="AP716">
        <v>-3</v>
      </c>
      <c r="AQ716">
        <v>-146</v>
      </c>
      <c r="AR716">
        <v>832</v>
      </c>
      <c r="AZ716">
        <v>4552</v>
      </c>
      <c r="BA716">
        <v>1</v>
      </c>
      <c r="BB716" t="str">
        <f t="shared" si="35"/>
        <v xml:space="preserve">N607SR  </v>
      </c>
      <c r="BC716">
        <v>1</v>
      </c>
      <c r="BE716">
        <v>0</v>
      </c>
      <c r="BF716">
        <v>0</v>
      </c>
      <c r="BG716">
        <v>0</v>
      </c>
      <c r="BH716">
        <v>2450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"06:14:02.244"</f>
        <v>06:14:02.244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6</v>
      </c>
      <c r="CP716" t="s">
        <v>119</v>
      </c>
      <c r="CQ716">
        <v>457</v>
      </c>
      <c r="CR716">
        <v>0</v>
      </c>
      <c r="CW716">
        <v>15512815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"08/29/2020 06:13:59.449"</f>
        <v>08/29/2020 06:13:59.449</v>
      </c>
      <c r="C717" t="str">
        <f t="shared" si="33"/>
        <v>FFDFD3C0</v>
      </c>
      <c r="D717" t="s">
        <v>113</v>
      </c>
      <c r="E717">
        <v>5</v>
      </c>
      <c r="H717">
        <v>163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"06:14:02.680"</f>
        <v>06:14:02.680</v>
      </c>
      <c r="U717" t="str">
        <f t="shared" si="34"/>
        <v>A7E2E0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571</v>
      </c>
      <c r="AJ717">
        <v>39.107422999999997</v>
      </c>
      <c r="AK717" t="s">
        <v>570</v>
      </c>
      <c r="AL717">
        <v>-87.479366999999996</v>
      </c>
      <c r="AM717">
        <v>100</v>
      </c>
      <c r="AN717">
        <v>2700</v>
      </c>
      <c r="AO717" t="s">
        <v>118</v>
      </c>
      <c r="AP717">
        <v>-6</v>
      </c>
      <c r="AQ717">
        <v>-146</v>
      </c>
      <c r="AR717">
        <v>832</v>
      </c>
      <c r="AZ717">
        <v>4552</v>
      </c>
      <c r="BA717">
        <v>1</v>
      </c>
      <c r="BB717" t="str">
        <f t="shared" si="35"/>
        <v xml:space="preserve">N607SR  </v>
      </c>
      <c r="BC717">
        <v>1</v>
      </c>
      <c r="BE717">
        <v>0</v>
      </c>
      <c r="BF717">
        <v>0</v>
      </c>
      <c r="BG717">
        <v>0</v>
      </c>
      <c r="BH717">
        <v>2475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"06:14:02.687"</f>
        <v>06:14:02.687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5</v>
      </c>
      <c r="CP717" t="s">
        <v>119</v>
      </c>
      <c r="CQ717">
        <v>465</v>
      </c>
      <c r="CR717">
        <v>0</v>
      </c>
      <c r="CW717">
        <v>4716520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"08/29/2020 06:13:59.449"</f>
        <v>08/29/2020 06:13:59.449</v>
      </c>
      <c r="C718" t="str">
        <f t="shared" si="33"/>
        <v>FFDFD3C0</v>
      </c>
      <c r="D718" t="s">
        <v>128</v>
      </c>
      <c r="E718">
        <v>5</v>
      </c>
      <c r="H718">
        <v>241</v>
      </c>
      <c r="I718" t="s">
        <v>129</v>
      </c>
      <c r="J718" t="s">
        <v>130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"06:14:02.680"</f>
        <v>06:14:02.680</v>
      </c>
      <c r="U718" t="str">
        <f t="shared" si="34"/>
        <v>A7E2E0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571</v>
      </c>
      <c r="AJ718">
        <v>39.107422999999997</v>
      </c>
      <c r="AK718" t="s">
        <v>570</v>
      </c>
      <c r="AL718">
        <v>-87.479366999999996</v>
      </c>
      <c r="AM718">
        <v>100</v>
      </c>
      <c r="AN718">
        <v>2700</v>
      </c>
      <c r="AO718" t="s">
        <v>118</v>
      </c>
      <c r="AP718">
        <v>-6</v>
      </c>
      <c r="AQ718">
        <v>-146</v>
      </c>
      <c r="AR718">
        <v>832</v>
      </c>
      <c r="AZ718">
        <v>4552</v>
      </c>
      <c r="BA718">
        <v>1</v>
      </c>
      <c r="BB718" t="str">
        <f t="shared" si="35"/>
        <v xml:space="preserve">N607SR  </v>
      </c>
      <c r="BC718">
        <v>1</v>
      </c>
      <c r="BE718">
        <v>0</v>
      </c>
      <c r="BF718">
        <v>0</v>
      </c>
      <c r="BG718">
        <v>0</v>
      </c>
      <c r="BH718">
        <v>2475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"06:14:02.687"</f>
        <v>06:14:02.687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5</v>
      </c>
      <c r="CP718" t="s">
        <v>119</v>
      </c>
      <c r="CQ718">
        <v>465</v>
      </c>
      <c r="CR718">
        <v>0</v>
      </c>
      <c r="CW718">
        <v>4716520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"08/29/2020 06:13:59.961"</f>
        <v>08/29/2020 06:13:59.961</v>
      </c>
      <c r="C719" t="str">
        <f t="shared" si="33"/>
        <v>FFDFD3C0</v>
      </c>
      <c r="D719" t="s">
        <v>121</v>
      </c>
      <c r="E719">
        <v>13</v>
      </c>
      <c r="F719">
        <v>1013</v>
      </c>
      <c r="G719" t="s">
        <v>122</v>
      </c>
      <c r="J719" t="s">
        <v>123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"06:14:03.172"</f>
        <v>06:14:03.172</v>
      </c>
      <c r="T719" t="str">
        <f>"06:14:02.772"</f>
        <v>06:14:02.772</v>
      </c>
      <c r="U719" t="str">
        <f t="shared" si="34"/>
        <v>A7E2E0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572</v>
      </c>
      <c r="AJ719">
        <v>39.107080000000003</v>
      </c>
      <c r="AK719" t="s">
        <v>556</v>
      </c>
      <c r="AL719">
        <v>-87.479410000000001</v>
      </c>
      <c r="AM719">
        <v>100</v>
      </c>
      <c r="AN719">
        <v>2700</v>
      </c>
      <c r="AO719" t="s">
        <v>118</v>
      </c>
      <c r="AP719">
        <v>-6</v>
      </c>
      <c r="AQ719">
        <v>-146</v>
      </c>
      <c r="AR719">
        <v>832</v>
      </c>
      <c r="AZ719">
        <v>4552</v>
      </c>
      <c r="BA719">
        <v>1</v>
      </c>
      <c r="BB719" t="str">
        <f t="shared" si="35"/>
        <v xml:space="preserve">N607SR  </v>
      </c>
      <c r="BC719">
        <v>1</v>
      </c>
      <c r="BE719">
        <v>0</v>
      </c>
      <c r="BF719">
        <v>0</v>
      </c>
      <c r="BG719">
        <v>0</v>
      </c>
      <c r="BH719">
        <v>2475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"06:14:03.178"</f>
        <v>06:14:03.178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6</v>
      </c>
      <c r="CP719" t="s">
        <v>119</v>
      </c>
      <c r="CQ719">
        <v>457</v>
      </c>
      <c r="CR719">
        <v>0</v>
      </c>
      <c r="CW719">
        <v>15512841</v>
      </c>
      <c r="CY719">
        <v>1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"08/29/2020 06:13:59.961"</f>
        <v>08/29/2020 06:13:59.961</v>
      </c>
      <c r="C720" t="str">
        <f t="shared" si="33"/>
        <v>FFDFD3C0</v>
      </c>
      <c r="D720" t="s">
        <v>121</v>
      </c>
      <c r="E720">
        <v>10</v>
      </c>
      <c r="F720">
        <v>1010</v>
      </c>
      <c r="G720" t="s">
        <v>114</v>
      </c>
      <c r="J720" t="s">
        <v>123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"06:14:03.172"</f>
        <v>06:14:03.172</v>
      </c>
      <c r="T720" t="str">
        <f>"06:14:02.772"</f>
        <v>06:14:02.772</v>
      </c>
      <c r="U720" t="str">
        <f t="shared" si="34"/>
        <v>A7E2E0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572</v>
      </c>
      <c r="AJ720">
        <v>39.107080000000003</v>
      </c>
      <c r="AK720" t="s">
        <v>556</v>
      </c>
      <c r="AL720">
        <v>-87.479410000000001</v>
      </c>
      <c r="AM720">
        <v>100</v>
      </c>
      <c r="AN720">
        <v>2700</v>
      </c>
      <c r="AO720" t="s">
        <v>118</v>
      </c>
      <c r="AP720">
        <v>-6</v>
      </c>
      <c r="AQ720">
        <v>-146</v>
      </c>
      <c r="AR720">
        <v>832</v>
      </c>
      <c r="AZ720">
        <v>4552</v>
      </c>
      <c r="BA720">
        <v>1</v>
      </c>
      <c r="BB720" t="str">
        <f t="shared" si="35"/>
        <v xml:space="preserve">N607SR  </v>
      </c>
      <c r="BC720">
        <v>1</v>
      </c>
      <c r="BE720">
        <v>0</v>
      </c>
      <c r="BF720">
        <v>0</v>
      </c>
      <c r="BG720">
        <v>0</v>
      </c>
      <c r="BH720">
        <v>2475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"06:14:03.178"</f>
        <v>06:14:03.178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6</v>
      </c>
      <c r="CP720" t="s">
        <v>119</v>
      </c>
      <c r="CQ720">
        <v>457</v>
      </c>
      <c r="CR720">
        <v>0</v>
      </c>
      <c r="CW720">
        <v>15512841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"08/29/2020 06:13:59.961"</f>
        <v>08/29/2020 06:13:59.961</v>
      </c>
      <c r="C721" t="str">
        <f t="shared" si="33"/>
        <v>FFDFD3C0</v>
      </c>
      <c r="D721" t="s">
        <v>121</v>
      </c>
      <c r="E721">
        <v>11</v>
      </c>
      <c r="F721">
        <v>1011</v>
      </c>
      <c r="G721" t="s">
        <v>125</v>
      </c>
      <c r="J721" t="s">
        <v>123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"06:14:03.172"</f>
        <v>06:14:03.172</v>
      </c>
      <c r="T721" t="str">
        <f>"06:14:02.772"</f>
        <v>06:14:02.772</v>
      </c>
      <c r="U721" t="str">
        <f t="shared" si="34"/>
        <v>A7E2E0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572</v>
      </c>
      <c r="AJ721">
        <v>39.107080000000003</v>
      </c>
      <c r="AK721" t="s">
        <v>556</v>
      </c>
      <c r="AL721">
        <v>-87.479410000000001</v>
      </c>
      <c r="AM721">
        <v>100</v>
      </c>
      <c r="AN721">
        <v>2700</v>
      </c>
      <c r="AO721" t="s">
        <v>118</v>
      </c>
      <c r="AP721">
        <v>-6</v>
      </c>
      <c r="AQ721">
        <v>-146</v>
      </c>
      <c r="AR721">
        <v>832</v>
      </c>
      <c r="AZ721">
        <v>4552</v>
      </c>
      <c r="BA721">
        <v>1</v>
      </c>
      <c r="BB721" t="str">
        <f t="shared" si="35"/>
        <v xml:space="preserve">N607SR  </v>
      </c>
      <c r="BC721">
        <v>1</v>
      </c>
      <c r="BE721">
        <v>0</v>
      </c>
      <c r="BF721">
        <v>0</v>
      </c>
      <c r="BG721">
        <v>0</v>
      </c>
      <c r="BH721">
        <v>2475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"06:14:03.178"</f>
        <v>06:14:03.178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457</v>
      </c>
      <c r="CR721">
        <v>0</v>
      </c>
      <c r="CW721">
        <v>15512841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"08/29/2020 06:14:00.556"</f>
        <v>08/29/2020 06:14:00.556</v>
      </c>
      <c r="C722" t="str">
        <f t="shared" si="33"/>
        <v>FFDFD3C0</v>
      </c>
      <c r="D722" t="s">
        <v>128</v>
      </c>
      <c r="E722">
        <v>5</v>
      </c>
      <c r="H722">
        <v>241</v>
      </c>
      <c r="I722" t="s">
        <v>129</v>
      </c>
      <c r="J722" t="s">
        <v>130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"06:14:03.766"</f>
        <v>06:14:03.766</v>
      </c>
      <c r="U722" t="str">
        <f t="shared" si="34"/>
        <v>A7E2E0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573</v>
      </c>
      <c r="AJ722">
        <v>39.106715000000001</v>
      </c>
      <c r="AK722" t="s">
        <v>556</v>
      </c>
      <c r="AL722">
        <v>-87.479410000000001</v>
      </c>
      <c r="AM722">
        <v>100</v>
      </c>
      <c r="AN722">
        <v>2700</v>
      </c>
      <c r="AO722" t="s">
        <v>118</v>
      </c>
      <c r="AP722">
        <v>-9</v>
      </c>
      <c r="AQ722">
        <v>-146</v>
      </c>
      <c r="AR722">
        <v>832</v>
      </c>
      <c r="AZ722">
        <v>4552</v>
      </c>
      <c r="BA722">
        <v>1</v>
      </c>
      <c r="BB722" t="str">
        <f t="shared" si="35"/>
        <v xml:space="preserve">N607SR  </v>
      </c>
      <c r="BC722">
        <v>1</v>
      </c>
      <c r="BE722">
        <v>0</v>
      </c>
      <c r="BF722">
        <v>0</v>
      </c>
      <c r="BG722">
        <v>0</v>
      </c>
      <c r="BH722">
        <v>2475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"06:14:03.768"</f>
        <v>06:14:03.768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5</v>
      </c>
      <c r="CP722" t="s">
        <v>119</v>
      </c>
      <c r="CQ722">
        <v>465</v>
      </c>
      <c r="CR722">
        <v>0</v>
      </c>
      <c r="CW722">
        <v>4716553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"08/29/2020 06:14:00.556"</f>
        <v>08/29/2020 06:14:00.556</v>
      </c>
      <c r="C723" t="str">
        <f t="shared" si="33"/>
        <v>FFDFD3C0</v>
      </c>
      <c r="D723" t="s">
        <v>113</v>
      </c>
      <c r="E723">
        <v>5</v>
      </c>
      <c r="H723">
        <v>163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"06:14:03.766"</f>
        <v>06:14:03.766</v>
      </c>
      <c r="U723" t="str">
        <f t="shared" si="34"/>
        <v>A7E2E0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573</v>
      </c>
      <c r="AJ723">
        <v>39.106715000000001</v>
      </c>
      <c r="AK723" t="s">
        <v>556</v>
      </c>
      <c r="AL723">
        <v>-87.479410000000001</v>
      </c>
      <c r="AM723">
        <v>100</v>
      </c>
      <c r="AN723">
        <v>2700</v>
      </c>
      <c r="AO723" t="s">
        <v>118</v>
      </c>
      <c r="AP723">
        <v>-9</v>
      </c>
      <c r="AQ723">
        <v>-146</v>
      </c>
      <c r="AR723">
        <v>832</v>
      </c>
      <c r="AZ723">
        <v>4552</v>
      </c>
      <c r="BA723">
        <v>1</v>
      </c>
      <c r="BB723" t="str">
        <f t="shared" si="35"/>
        <v xml:space="preserve">N607SR  </v>
      </c>
      <c r="BC723">
        <v>1</v>
      </c>
      <c r="BE723">
        <v>0</v>
      </c>
      <c r="BF723">
        <v>0</v>
      </c>
      <c r="BG723">
        <v>0</v>
      </c>
      <c r="BH723">
        <v>2475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"06:14:03.768"</f>
        <v>06:14:03.768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5</v>
      </c>
      <c r="CP723" t="s">
        <v>119</v>
      </c>
      <c r="CQ723">
        <v>465</v>
      </c>
      <c r="CR723">
        <v>0</v>
      </c>
      <c r="CW723">
        <v>4716553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"08/29/2020 06:14:01.054"</f>
        <v>08/29/2020 06:14:01.054</v>
      </c>
      <c r="C724" t="str">
        <f t="shared" si="33"/>
        <v>FFDFD3C0</v>
      </c>
      <c r="D724" t="s">
        <v>121</v>
      </c>
      <c r="E724">
        <v>11</v>
      </c>
      <c r="F724">
        <v>1011</v>
      </c>
      <c r="G724" t="s">
        <v>125</v>
      </c>
      <c r="J724" t="s">
        <v>123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"06:14:04.250"</f>
        <v>06:14:04.250</v>
      </c>
      <c r="T724" t="str">
        <f>"06:14:03.850"</f>
        <v>06:14:03.850</v>
      </c>
      <c r="U724" t="str">
        <f t="shared" si="34"/>
        <v>A7E2E0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574</v>
      </c>
      <c r="AJ724">
        <v>39.106349999999999</v>
      </c>
      <c r="AK724" t="s">
        <v>472</v>
      </c>
      <c r="AL724">
        <v>-87.479432000000003</v>
      </c>
      <c r="AM724">
        <v>100</v>
      </c>
      <c r="AN724">
        <v>2700</v>
      </c>
      <c r="AO724" t="s">
        <v>118</v>
      </c>
      <c r="AP724">
        <v>-9</v>
      </c>
      <c r="AQ724">
        <v>-146</v>
      </c>
      <c r="AR724">
        <v>832</v>
      </c>
      <c r="AZ724">
        <v>4552</v>
      </c>
      <c r="BA724">
        <v>1</v>
      </c>
      <c r="BB724" t="str">
        <f t="shared" si="35"/>
        <v xml:space="preserve">N607SR  </v>
      </c>
      <c r="BC724">
        <v>1</v>
      </c>
      <c r="BE724">
        <v>0</v>
      </c>
      <c r="BF724">
        <v>0</v>
      </c>
      <c r="BG724">
        <v>0</v>
      </c>
      <c r="BH724">
        <v>2475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"06:14:04.258"</f>
        <v>06:14:04.258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457</v>
      </c>
      <c r="CR724">
        <v>0</v>
      </c>
      <c r="CW724">
        <v>15512868</v>
      </c>
      <c r="CY724">
        <v>1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"08/29/2020 06:14:01.054"</f>
        <v>08/29/2020 06:14:01.054</v>
      </c>
      <c r="C725" t="str">
        <f t="shared" si="33"/>
        <v>FFDFD3C0</v>
      </c>
      <c r="D725" t="s">
        <v>121</v>
      </c>
      <c r="E725">
        <v>13</v>
      </c>
      <c r="F725">
        <v>1013</v>
      </c>
      <c r="G725" t="s">
        <v>122</v>
      </c>
      <c r="J725" t="s">
        <v>123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"06:14:04.258"</f>
        <v>06:14:04.258</v>
      </c>
      <c r="U725" t="str">
        <f t="shared" si="34"/>
        <v>A7E2E0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574</v>
      </c>
      <c r="AJ725">
        <v>39.106349999999999</v>
      </c>
      <c r="AK725" t="s">
        <v>472</v>
      </c>
      <c r="AL725">
        <v>-87.479432000000003</v>
      </c>
      <c r="AM725">
        <v>100</v>
      </c>
      <c r="AN725">
        <v>2700</v>
      </c>
      <c r="AO725" t="s">
        <v>118</v>
      </c>
      <c r="AP725">
        <v>-11</v>
      </c>
      <c r="AQ725">
        <v>-146</v>
      </c>
      <c r="AR725">
        <v>768</v>
      </c>
      <c r="AZ725">
        <v>4552</v>
      </c>
      <c r="BA725">
        <v>1</v>
      </c>
      <c r="BB725" t="str">
        <f t="shared" si="35"/>
        <v xml:space="preserve">N607SR  </v>
      </c>
      <c r="BC725">
        <v>1</v>
      </c>
      <c r="BE725">
        <v>0</v>
      </c>
      <c r="BF725">
        <v>0</v>
      </c>
      <c r="BG725">
        <v>0</v>
      </c>
      <c r="BH725">
        <v>2500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"06:14:04.258"</f>
        <v>06:14:04.258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5</v>
      </c>
      <c r="CP725" t="s">
        <v>119</v>
      </c>
      <c r="CQ725">
        <v>465</v>
      </c>
      <c r="CR725">
        <v>0</v>
      </c>
      <c r="CW725">
        <v>4716566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"08/29/2020 06:14:01.054"</f>
        <v>08/29/2020 06:14:01.054</v>
      </c>
      <c r="C726" t="str">
        <f t="shared" si="33"/>
        <v>FFDFD3C0</v>
      </c>
      <c r="D726" t="s">
        <v>121</v>
      </c>
      <c r="E726">
        <v>10</v>
      </c>
      <c r="F726">
        <v>1010</v>
      </c>
      <c r="G726" t="s">
        <v>114</v>
      </c>
      <c r="J726" t="s">
        <v>123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"06:14:04.258"</f>
        <v>06:14:04.258</v>
      </c>
      <c r="U726" t="str">
        <f t="shared" si="34"/>
        <v>A7E2E0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574</v>
      </c>
      <c r="AJ726">
        <v>39.106349999999999</v>
      </c>
      <c r="AK726" t="s">
        <v>472</v>
      </c>
      <c r="AL726">
        <v>-87.479432000000003</v>
      </c>
      <c r="AM726">
        <v>100</v>
      </c>
      <c r="AN726">
        <v>2700</v>
      </c>
      <c r="AO726" t="s">
        <v>118</v>
      </c>
      <c r="AP726">
        <v>-11</v>
      </c>
      <c r="AQ726">
        <v>-146</v>
      </c>
      <c r="AR726">
        <v>768</v>
      </c>
      <c r="AZ726">
        <v>4552</v>
      </c>
      <c r="BA726">
        <v>1</v>
      </c>
      <c r="BB726" t="str">
        <f t="shared" si="35"/>
        <v xml:space="preserve">N607SR  </v>
      </c>
      <c r="BC726">
        <v>1</v>
      </c>
      <c r="BE726">
        <v>0</v>
      </c>
      <c r="BF726">
        <v>0</v>
      </c>
      <c r="BG726">
        <v>0</v>
      </c>
      <c r="BH726">
        <v>2500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"06:14:04.258"</f>
        <v>06:14:04.258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5</v>
      </c>
      <c r="CP726" t="s">
        <v>119</v>
      </c>
      <c r="CQ726">
        <v>465</v>
      </c>
      <c r="CR726">
        <v>0</v>
      </c>
      <c r="CW726">
        <v>4716566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"08/29/2020 06:14:01.571"</f>
        <v>08/29/2020 06:14:01.571</v>
      </c>
      <c r="C727" t="str">
        <f t="shared" si="33"/>
        <v>FFDFD3C0</v>
      </c>
      <c r="D727" t="s">
        <v>128</v>
      </c>
      <c r="E727">
        <v>5</v>
      </c>
      <c r="H727">
        <v>241</v>
      </c>
      <c r="I727" t="s">
        <v>129</v>
      </c>
      <c r="J727" t="s">
        <v>130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"06:14:04.781"</f>
        <v>06:14:04.781</v>
      </c>
      <c r="U727" t="str">
        <f t="shared" si="34"/>
        <v>A7E2E0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575</v>
      </c>
      <c r="AJ727">
        <v>39.106028000000002</v>
      </c>
      <c r="AK727" t="s">
        <v>553</v>
      </c>
      <c r="AL727">
        <v>-87.479474999999994</v>
      </c>
      <c r="AM727">
        <v>100</v>
      </c>
      <c r="AN727">
        <v>2700</v>
      </c>
      <c r="AO727" t="s">
        <v>118</v>
      </c>
      <c r="AP727">
        <v>-12</v>
      </c>
      <c r="AQ727">
        <v>-145</v>
      </c>
      <c r="AR727">
        <v>768</v>
      </c>
      <c r="AZ727">
        <v>4552</v>
      </c>
      <c r="BA727">
        <v>1</v>
      </c>
      <c r="BB727" t="str">
        <f t="shared" si="35"/>
        <v xml:space="preserve">N607SR  </v>
      </c>
      <c r="BC727">
        <v>1</v>
      </c>
      <c r="BE727">
        <v>0</v>
      </c>
      <c r="BF727">
        <v>0</v>
      </c>
      <c r="BG727">
        <v>0</v>
      </c>
      <c r="BH727">
        <v>2500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"06:14:04.789"</f>
        <v>06:14:04.789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5</v>
      </c>
      <c r="CP727" t="s">
        <v>119</v>
      </c>
      <c r="CQ727">
        <v>465</v>
      </c>
      <c r="CR727">
        <v>0</v>
      </c>
      <c r="CW727">
        <v>4716583</v>
      </c>
      <c r="CY727">
        <v>1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"08/29/2020 06:14:01.571"</f>
        <v>08/29/2020 06:14:01.571</v>
      </c>
      <c r="C728" t="str">
        <f t="shared" si="33"/>
        <v>FFDFD3C0</v>
      </c>
      <c r="D728" t="s">
        <v>113</v>
      </c>
      <c r="E728">
        <v>5</v>
      </c>
      <c r="H728">
        <v>163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"06:14:04.781"</f>
        <v>06:14:04.781</v>
      </c>
      <c r="U728" t="str">
        <f t="shared" si="34"/>
        <v>A7E2E0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575</v>
      </c>
      <c r="AJ728">
        <v>39.106028000000002</v>
      </c>
      <c r="AK728" t="s">
        <v>553</v>
      </c>
      <c r="AL728">
        <v>-87.479474999999994</v>
      </c>
      <c r="AM728">
        <v>100</v>
      </c>
      <c r="AN728">
        <v>2700</v>
      </c>
      <c r="AO728" t="s">
        <v>118</v>
      </c>
      <c r="AP728">
        <v>-12</v>
      </c>
      <c r="AQ728">
        <v>-145</v>
      </c>
      <c r="AR728">
        <v>768</v>
      </c>
      <c r="AZ728">
        <v>4552</v>
      </c>
      <c r="BA728">
        <v>1</v>
      </c>
      <c r="BB728" t="str">
        <f t="shared" si="35"/>
        <v xml:space="preserve">N607SR  </v>
      </c>
      <c r="BC728">
        <v>1</v>
      </c>
      <c r="BE728">
        <v>0</v>
      </c>
      <c r="BF728">
        <v>0</v>
      </c>
      <c r="BG728">
        <v>0</v>
      </c>
      <c r="BH728">
        <v>2500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"06:14:04.789"</f>
        <v>06:14:04.789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5</v>
      </c>
      <c r="CP728" t="s">
        <v>119</v>
      </c>
      <c r="CQ728">
        <v>465</v>
      </c>
      <c r="CR728">
        <v>0</v>
      </c>
      <c r="CW728">
        <v>4716583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"08/29/2020 06:14:02.140"</f>
        <v>08/29/2020 06:14:02.140</v>
      </c>
      <c r="C729" t="str">
        <f t="shared" si="33"/>
        <v>FFDFD3C0</v>
      </c>
      <c r="D729" t="s">
        <v>121</v>
      </c>
      <c r="E729">
        <v>13</v>
      </c>
      <c r="F729">
        <v>1013</v>
      </c>
      <c r="G729" t="s">
        <v>122</v>
      </c>
      <c r="J729" t="s">
        <v>123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"06:14:05.375"</f>
        <v>06:14:05.375</v>
      </c>
      <c r="T729" t="str">
        <f>"06:14:04.875"</f>
        <v>06:14:04.875</v>
      </c>
      <c r="U729" t="str">
        <f t="shared" si="34"/>
        <v>A7E2E0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576</v>
      </c>
      <c r="AJ729">
        <v>39.105598999999998</v>
      </c>
      <c r="AK729" t="s">
        <v>474</v>
      </c>
      <c r="AL729">
        <v>-87.479539000000003</v>
      </c>
      <c r="AM729">
        <v>100</v>
      </c>
      <c r="AN729">
        <v>2700</v>
      </c>
      <c r="AO729" t="s">
        <v>118</v>
      </c>
      <c r="AP729">
        <v>-12</v>
      </c>
      <c r="AQ729">
        <v>-145</v>
      </c>
      <c r="AR729">
        <v>768</v>
      </c>
      <c r="AZ729">
        <v>4552</v>
      </c>
      <c r="BA729">
        <v>1</v>
      </c>
      <c r="BB729" t="str">
        <f t="shared" si="35"/>
        <v xml:space="preserve">N607SR  </v>
      </c>
      <c r="BC729">
        <v>1</v>
      </c>
      <c r="BE729">
        <v>0</v>
      </c>
      <c r="BF729">
        <v>0</v>
      </c>
      <c r="BG729">
        <v>0</v>
      </c>
      <c r="BH729">
        <v>2500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"06:14:05.377"</f>
        <v>06:14:05.377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6</v>
      </c>
      <c r="CP729" t="s">
        <v>119</v>
      </c>
      <c r="CQ729">
        <v>177</v>
      </c>
      <c r="CR729">
        <v>2</v>
      </c>
      <c r="CW729">
        <v>1622921</v>
      </c>
      <c r="CY729">
        <v>1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"08/29/2020 06:14:02.140"</f>
        <v>08/29/2020 06:14:02.140</v>
      </c>
      <c r="C730" t="str">
        <f t="shared" si="33"/>
        <v>FFDFD3C0</v>
      </c>
      <c r="D730" t="s">
        <v>121</v>
      </c>
      <c r="E730">
        <v>10</v>
      </c>
      <c r="F730">
        <v>1010</v>
      </c>
      <c r="G730" t="s">
        <v>114</v>
      </c>
      <c r="J730" t="s">
        <v>123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"06:14:05.375"</f>
        <v>06:14:05.375</v>
      </c>
      <c r="T730" t="str">
        <f>"06:14:04.875"</f>
        <v>06:14:04.875</v>
      </c>
      <c r="U730" t="str">
        <f t="shared" si="34"/>
        <v>A7E2E0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576</v>
      </c>
      <c r="AJ730">
        <v>39.105598999999998</v>
      </c>
      <c r="AK730" t="s">
        <v>474</v>
      </c>
      <c r="AL730">
        <v>-87.479539000000003</v>
      </c>
      <c r="AM730">
        <v>100</v>
      </c>
      <c r="AN730">
        <v>2700</v>
      </c>
      <c r="AO730" t="s">
        <v>118</v>
      </c>
      <c r="AP730">
        <v>-12</v>
      </c>
      <c r="AQ730">
        <v>-145</v>
      </c>
      <c r="AR730">
        <v>768</v>
      </c>
      <c r="AZ730">
        <v>4552</v>
      </c>
      <c r="BA730">
        <v>1</v>
      </c>
      <c r="BB730" t="str">
        <f t="shared" si="35"/>
        <v xml:space="preserve">N607SR  </v>
      </c>
      <c r="BC730">
        <v>1</v>
      </c>
      <c r="BE730">
        <v>0</v>
      </c>
      <c r="BF730">
        <v>0</v>
      </c>
      <c r="BG730">
        <v>0</v>
      </c>
      <c r="BH730">
        <v>2500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"06:14:05.377"</f>
        <v>06:14:05.377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6</v>
      </c>
      <c r="CP730" t="s">
        <v>119</v>
      </c>
      <c r="CQ730">
        <v>177</v>
      </c>
      <c r="CR730">
        <v>2</v>
      </c>
      <c r="CW730">
        <v>1622921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"08/29/2020 06:14:02.140"</f>
        <v>08/29/2020 06:14:02.140</v>
      </c>
      <c r="C731" t="str">
        <f t="shared" si="33"/>
        <v>FFDFD3C0</v>
      </c>
      <c r="D731" t="s">
        <v>121</v>
      </c>
      <c r="E731">
        <v>11</v>
      </c>
      <c r="F731">
        <v>1011</v>
      </c>
      <c r="G731" t="s">
        <v>125</v>
      </c>
      <c r="J731" t="s">
        <v>123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"06:14:05.375"</f>
        <v>06:14:05.375</v>
      </c>
      <c r="T731" t="str">
        <f>"06:14:04.875"</f>
        <v>06:14:04.875</v>
      </c>
      <c r="U731" t="str">
        <f t="shared" si="34"/>
        <v>A7E2E0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576</v>
      </c>
      <c r="AJ731">
        <v>39.105598999999998</v>
      </c>
      <c r="AK731" t="s">
        <v>474</v>
      </c>
      <c r="AL731">
        <v>-87.479539000000003</v>
      </c>
      <c r="AM731">
        <v>100</v>
      </c>
      <c r="AN731">
        <v>2700</v>
      </c>
      <c r="AO731" t="s">
        <v>118</v>
      </c>
      <c r="AP731">
        <v>-12</v>
      </c>
      <c r="AQ731">
        <v>-145</v>
      </c>
      <c r="AR731">
        <v>768</v>
      </c>
      <c r="AZ731">
        <v>4552</v>
      </c>
      <c r="BA731">
        <v>1</v>
      </c>
      <c r="BB731" t="str">
        <f t="shared" si="35"/>
        <v xml:space="preserve">N607SR  </v>
      </c>
      <c r="BC731">
        <v>1</v>
      </c>
      <c r="BE731">
        <v>0</v>
      </c>
      <c r="BF731">
        <v>0</v>
      </c>
      <c r="BG731">
        <v>0</v>
      </c>
      <c r="BH731">
        <v>2500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"06:14:05.377"</f>
        <v>06:14:05.377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6</v>
      </c>
      <c r="CP731" t="s">
        <v>119</v>
      </c>
      <c r="CQ731">
        <v>177</v>
      </c>
      <c r="CR731">
        <v>2</v>
      </c>
      <c r="CW731">
        <v>1622921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"08/29/2020 06:14:02.582"</f>
        <v>08/29/2020 06:14:02.582</v>
      </c>
      <c r="C732" t="str">
        <f t="shared" si="33"/>
        <v>FFDFD3C0</v>
      </c>
      <c r="D732" t="s">
        <v>128</v>
      </c>
      <c r="E732">
        <v>5</v>
      </c>
      <c r="H732">
        <v>241</v>
      </c>
      <c r="I732" t="s">
        <v>129</v>
      </c>
      <c r="J732" t="s">
        <v>130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"06:14:05.789"</f>
        <v>06:14:05.789</v>
      </c>
      <c r="T732" t="str">
        <f>"06:14:05.389"</f>
        <v>06:14:05.389</v>
      </c>
      <c r="U732" t="str">
        <f t="shared" si="34"/>
        <v>A7E2E0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577</v>
      </c>
      <c r="AJ732">
        <v>39.105341000000003</v>
      </c>
      <c r="AK732" t="s">
        <v>547</v>
      </c>
      <c r="AL732">
        <v>-87.479602999999997</v>
      </c>
      <c r="AM732">
        <v>100</v>
      </c>
      <c r="AN732">
        <v>2700</v>
      </c>
      <c r="AO732" t="s">
        <v>118</v>
      </c>
      <c r="AP732">
        <v>-13</v>
      </c>
      <c r="AQ732">
        <v>-145</v>
      </c>
      <c r="AR732">
        <v>768</v>
      </c>
      <c r="AZ732">
        <v>4552</v>
      </c>
      <c r="BA732">
        <v>1</v>
      </c>
      <c r="BB732" t="str">
        <f t="shared" si="35"/>
        <v xml:space="preserve">N607SR  </v>
      </c>
      <c r="BC732">
        <v>1</v>
      </c>
      <c r="BE732">
        <v>0</v>
      </c>
      <c r="BF732">
        <v>0</v>
      </c>
      <c r="BG732">
        <v>0</v>
      </c>
      <c r="BH732">
        <v>2500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"06:14:05.795"</f>
        <v>06:14:05.795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6</v>
      </c>
      <c r="CP732" t="s">
        <v>119</v>
      </c>
      <c r="CQ732">
        <v>177</v>
      </c>
      <c r="CR732">
        <v>2</v>
      </c>
      <c r="CW732">
        <v>1622989</v>
      </c>
      <c r="CY732">
        <v>1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"08/29/2020 06:14:02.582"</f>
        <v>08/29/2020 06:14:02.582</v>
      </c>
      <c r="C733" t="str">
        <f t="shared" si="33"/>
        <v>FFDFD3C0</v>
      </c>
      <c r="D733" t="s">
        <v>113</v>
      </c>
      <c r="E733">
        <v>5</v>
      </c>
      <c r="H733">
        <v>163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"06:14:05.789"</f>
        <v>06:14:05.789</v>
      </c>
      <c r="T733" t="str">
        <f>"06:14:05.389"</f>
        <v>06:14:05.389</v>
      </c>
      <c r="U733" t="str">
        <f t="shared" si="34"/>
        <v>A7E2E0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577</v>
      </c>
      <c r="AJ733">
        <v>39.105341000000003</v>
      </c>
      <c r="AK733" t="s">
        <v>547</v>
      </c>
      <c r="AL733">
        <v>-87.479602999999997</v>
      </c>
      <c r="AM733">
        <v>100</v>
      </c>
      <c r="AN733">
        <v>2700</v>
      </c>
      <c r="AO733" t="s">
        <v>118</v>
      </c>
      <c r="AP733">
        <v>-13</v>
      </c>
      <c r="AQ733">
        <v>-145</v>
      </c>
      <c r="AR733">
        <v>768</v>
      </c>
      <c r="AZ733">
        <v>4552</v>
      </c>
      <c r="BA733">
        <v>1</v>
      </c>
      <c r="BB733" t="str">
        <f t="shared" si="35"/>
        <v xml:space="preserve">N607SR  </v>
      </c>
      <c r="BC733">
        <v>1</v>
      </c>
      <c r="BE733">
        <v>0</v>
      </c>
      <c r="BF733">
        <v>0</v>
      </c>
      <c r="BG733">
        <v>0</v>
      </c>
      <c r="BH733">
        <v>2500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"06:14:05.795"</f>
        <v>06:14:05.795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6</v>
      </c>
      <c r="CP733" t="s">
        <v>119</v>
      </c>
      <c r="CQ733">
        <v>177</v>
      </c>
      <c r="CR733">
        <v>2</v>
      </c>
      <c r="CW733">
        <v>1622989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"08/29/2020 06:14:03.138"</f>
        <v>08/29/2020 06:14:03.138</v>
      </c>
      <c r="C734" t="str">
        <f t="shared" si="33"/>
        <v>FFDFD3C0</v>
      </c>
      <c r="D734" t="s">
        <v>121</v>
      </c>
      <c r="E734">
        <v>11</v>
      </c>
      <c r="F734">
        <v>1011</v>
      </c>
      <c r="G734" t="s">
        <v>125</v>
      </c>
      <c r="J734" t="s">
        <v>123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"06:14:06.359"</f>
        <v>06:14:06.359</v>
      </c>
      <c r="T734" t="str">
        <f>"06:14:05.859"</f>
        <v>06:14:05.859</v>
      </c>
      <c r="U734" t="str">
        <f t="shared" si="34"/>
        <v>A7E2E0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578</v>
      </c>
      <c r="AJ734">
        <v>39.104911999999999</v>
      </c>
      <c r="AK734" t="s">
        <v>579</v>
      </c>
      <c r="AL734">
        <v>-87.479646000000002</v>
      </c>
      <c r="AM734">
        <v>100</v>
      </c>
      <c r="AN734">
        <v>2700</v>
      </c>
      <c r="AO734" t="s">
        <v>118</v>
      </c>
      <c r="AP734">
        <v>-14</v>
      </c>
      <c r="AQ734">
        <v>-145</v>
      </c>
      <c r="AR734">
        <v>768</v>
      </c>
      <c r="AZ734">
        <v>4552</v>
      </c>
      <c r="BA734">
        <v>1</v>
      </c>
      <c r="BB734" t="str">
        <f t="shared" si="35"/>
        <v xml:space="preserve">N607SR  </v>
      </c>
      <c r="BC734">
        <v>1</v>
      </c>
      <c r="BE734">
        <v>0</v>
      </c>
      <c r="BF734">
        <v>0</v>
      </c>
      <c r="BG734">
        <v>0</v>
      </c>
      <c r="BH734">
        <v>2500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"06:14:06.362"</f>
        <v>06:14:06.362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6</v>
      </c>
      <c r="CP734" t="s">
        <v>119</v>
      </c>
      <c r="CQ734">
        <v>457</v>
      </c>
      <c r="CR734">
        <v>0</v>
      </c>
      <c r="CW734">
        <v>15512927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"08/29/2020 06:14:03.138"</f>
        <v>08/29/2020 06:14:03.138</v>
      </c>
      <c r="C735" t="str">
        <f t="shared" si="33"/>
        <v>FFDFD3C0</v>
      </c>
      <c r="D735" t="s">
        <v>121</v>
      </c>
      <c r="E735">
        <v>13</v>
      </c>
      <c r="F735">
        <v>1013</v>
      </c>
      <c r="G735" t="s">
        <v>122</v>
      </c>
      <c r="J735" t="s">
        <v>123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"06:14:06.359"</f>
        <v>06:14:06.359</v>
      </c>
      <c r="T735" t="str">
        <f>"06:14:05.859"</f>
        <v>06:14:05.859</v>
      </c>
      <c r="U735" t="str">
        <f t="shared" si="34"/>
        <v>A7E2E0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0</v>
      </c>
      <c r="AI735" t="s">
        <v>578</v>
      </c>
      <c r="AJ735">
        <v>39.104911999999999</v>
      </c>
      <c r="AK735" t="s">
        <v>579</v>
      </c>
      <c r="AL735">
        <v>-87.479646000000002</v>
      </c>
      <c r="AM735">
        <v>100</v>
      </c>
      <c r="AN735">
        <v>2700</v>
      </c>
      <c r="AO735" t="s">
        <v>118</v>
      </c>
      <c r="AP735">
        <v>-14</v>
      </c>
      <c r="AQ735">
        <v>-145</v>
      </c>
      <c r="AR735">
        <v>768</v>
      </c>
      <c r="AZ735">
        <v>4552</v>
      </c>
      <c r="BA735">
        <v>1</v>
      </c>
      <c r="BB735" t="str">
        <f t="shared" si="35"/>
        <v xml:space="preserve">N607SR  </v>
      </c>
      <c r="BC735">
        <v>1</v>
      </c>
      <c r="BE735">
        <v>0</v>
      </c>
      <c r="BF735">
        <v>0</v>
      </c>
      <c r="BG735">
        <v>0</v>
      </c>
      <c r="BH735">
        <v>2500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"06:14:06.362"</f>
        <v>06:14:06.362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6</v>
      </c>
      <c r="CP735" t="s">
        <v>119</v>
      </c>
      <c r="CQ735">
        <v>457</v>
      </c>
      <c r="CR735">
        <v>0</v>
      </c>
      <c r="CW735">
        <v>15512927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"08/29/2020 06:14:03.138"</f>
        <v>08/29/2020 06:14:03.138</v>
      </c>
      <c r="C736" t="str">
        <f t="shared" si="33"/>
        <v>FFDFD3C0</v>
      </c>
      <c r="D736" t="s">
        <v>121</v>
      </c>
      <c r="E736">
        <v>10</v>
      </c>
      <c r="F736">
        <v>1010</v>
      </c>
      <c r="G736" t="s">
        <v>114</v>
      </c>
      <c r="J736" t="s">
        <v>123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"06:14:06.359"</f>
        <v>06:14:06.359</v>
      </c>
      <c r="T736" t="str">
        <f>"06:14:05.859"</f>
        <v>06:14:05.859</v>
      </c>
      <c r="U736" t="str">
        <f t="shared" si="34"/>
        <v>A7E2E0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0</v>
      </c>
      <c r="AI736" t="s">
        <v>578</v>
      </c>
      <c r="AJ736">
        <v>39.104911999999999</v>
      </c>
      <c r="AK736" t="s">
        <v>579</v>
      </c>
      <c r="AL736">
        <v>-87.479646000000002</v>
      </c>
      <c r="AM736">
        <v>100</v>
      </c>
      <c r="AN736">
        <v>2700</v>
      </c>
      <c r="AO736" t="s">
        <v>118</v>
      </c>
      <c r="AP736">
        <v>-14</v>
      </c>
      <c r="AQ736">
        <v>-145</v>
      </c>
      <c r="AR736">
        <v>768</v>
      </c>
      <c r="AZ736">
        <v>4552</v>
      </c>
      <c r="BA736">
        <v>1</v>
      </c>
      <c r="BB736" t="str">
        <f t="shared" si="35"/>
        <v xml:space="preserve">N607SR  </v>
      </c>
      <c r="BC736">
        <v>1</v>
      </c>
      <c r="BE736">
        <v>0</v>
      </c>
      <c r="BF736">
        <v>0</v>
      </c>
      <c r="BG736">
        <v>0</v>
      </c>
      <c r="BH736">
        <v>2500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"06:14:06.362"</f>
        <v>06:14:06.362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119</v>
      </c>
      <c r="CQ736">
        <v>457</v>
      </c>
      <c r="CR736">
        <v>0</v>
      </c>
      <c r="CW736">
        <v>15512927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"08/29/2020 06:14:03.603"</f>
        <v>08/29/2020 06:14:03.603</v>
      </c>
      <c r="C737" t="str">
        <f t="shared" si="33"/>
        <v>FFDFD3C0</v>
      </c>
      <c r="D737" t="s">
        <v>113</v>
      </c>
      <c r="E737">
        <v>5</v>
      </c>
      <c r="H737">
        <v>163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"06:14:06.828"</f>
        <v>06:14:06.828</v>
      </c>
      <c r="T737" t="str">
        <f>"06:14:06.428"</f>
        <v>06:14:06.428</v>
      </c>
      <c r="U737" t="str">
        <f t="shared" si="34"/>
        <v>A7E2E0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580</v>
      </c>
      <c r="AJ737">
        <v>39.104568999999998</v>
      </c>
      <c r="AK737" t="s">
        <v>544</v>
      </c>
      <c r="AL737">
        <v>-87.479668000000004</v>
      </c>
      <c r="AM737">
        <v>100</v>
      </c>
      <c r="AN737">
        <v>2700</v>
      </c>
      <c r="AO737" t="s">
        <v>118</v>
      </c>
      <c r="AP737">
        <v>-16</v>
      </c>
      <c r="AQ737">
        <v>-145</v>
      </c>
      <c r="AR737">
        <v>704</v>
      </c>
      <c r="AZ737">
        <v>4552</v>
      </c>
      <c r="BA737">
        <v>1</v>
      </c>
      <c r="BB737" t="str">
        <f t="shared" si="35"/>
        <v xml:space="preserve">N607SR  </v>
      </c>
      <c r="BC737">
        <v>1</v>
      </c>
      <c r="BE737">
        <v>0</v>
      </c>
      <c r="BF737">
        <v>0</v>
      </c>
      <c r="BG737">
        <v>0</v>
      </c>
      <c r="BH737">
        <v>2525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"06:14:06.833"</f>
        <v>06:14:06.833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119</v>
      </c>
      <c r="CQ737">
        <v>457</v>
      </c>
      <c r="CR737">
        <v>0</v>
      </c>
      <c r="CW737">
        <v>15512940</v>
      </c>
      <c r="CY737">
        <v>1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"08/29/2020 06:14:03.603"</f>
        <v>08/29/2020 06:14:03.603</v>
      </c>
      <c r="C738" t="str">
        <f t="shared" si="33"/>
        <v>FFDFD3C0</v>
      </c>
      <c r="D738" t="s">
        <v>128</v>
      </c>
      <c r="E738">
        <v>5</v>
      </c>
      <c r="H738">
        <v>241</v>
      </c>
      <c r="I738" t="s">
        <v>129</v>
      </c>
      <c r="J738" t="s">
        <v>130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"06:14:06.828"</f>
        <v>06:14:06.828</v>
      </c>
      <c r="T738" t="str">
        <f>"06:14:06.428"</f>
        <v>06:14:06.428</v>
      </c>
      <c r="U738" t="str">
        <f t="shared" si="34"/>
        <v>A7E2E0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580</v>
      </c>
      <c r="AJ738">
        <v>39.104568999999998</v>
      </c>
      <c r="AK738" t="s">
        <v>544</v>
      </c>
      <c r="AL738">
        <v>-87.479668000000004</v>
      </c>
      <c r="AM738">
        <v>100</v>
      </c>
      <c r="AN738">
        <v>2700</v>
      </c>
      <c r="AO738" t="s">
        <v>118</v>
      </c>
      <c r="AP738">
        <v>-16</v>
      </c>
      <c r="AQ738">
        <v>-145</v>
      </c>
      <c r="AR738">
        <v>704</v>
      </c>
      <c r="AZ738">
        <v>4552</v>
      </c>
      <c r="BA738">
        <v>1</v>
      </c>
      <c r="BB738" t="str">
        <f t="shared" si="35"/>
        <v xml:space="preserve">N607SR  </v>
      </c>
      <c r="BC738">
        <v>1</v>
      </c>
      <c r="BE738">
        <v>0</v>
      </c>
      <c r="BF738">
        <v>0</v>
      </c>
      <c r="BG738">
        <v>0</v>
      </c>
      <c r="BH738">
        <v>2525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"06:14:06.833"</f>
        <v>06:14:06.833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457</v>
      </c>
      <c r="CR738">
        <v>0</v>
      </c>
      <c r="CW738">
        <v>15512940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"08/29/2020 06:14:04.051"</f>
        <v>08/29/2020 06:14:04.051</v>
      </c>
      <c r="C739" t="str">
        <f t="shared" si="33"/>
        <v>FFDFD3C0</v>
      </c>
      <c r="D739" t="s">
        <v>121</v>
      </c>
      <c r="E739">
        <v>11</v>
      </c>
      <c r="F739">
        <v>1011</v>
      </c>
      <c r="G739" t="s">
        <v>125</v>
      </c>
      <c r="J739" t="s">
        <v>123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"06:14:07.250"</f>
        <v>06:14:07.250</v>
      </c>
      <c r="T739" t="str">
        <f>"06:14:06.850"</f>
        <v>06:14:06.850</v>
      </c>
      <c r="U739" t="str">
        <f t="shared" si="34"/>
        <v>A7E2E0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581</v>
      </c>
      <c r="AJ739">
        <v>39.104354000000001</v>
      </c>
      <c r="AK739" t="s">
        <v>541</v>
      </c>
      <c r="AL739">
        <v>-87.479731999999998</v>
      </c>
      <c r="AM739">
        <v>100</v>
      </c>
      <c r="AN739">
        <v>2700</v>
      </c>
      <c r="AO739" t="s">
        <v>118</v>
      </c>
      <c r="AP739">
        <v>-18</v>
      </c>
      <c r="AQ739">
        <v>-145</v>
      </c>
      <c r="AR739">
        <v>640</v>
      </c>
      <c r="AZ739">
        <v>4552</v>
      </c>
      <c r="BA739">
        <v>1</v>
      </c>
      <c r="BB739" t="str">
        <f t="shared" si="35"/>
        <v xml:space="preserve">N607SR  </v>
      </c>
      <c r="BC739">
        <v>1</v>
      </c>
      <c r="BE739">
        <v>0</v>
      </c>
      <c r="BF739">
        <v>0</v>
      </c>
      <c r="BG739">
        <v>0</v>
      </c>
      <c r="BH739">
        <v>2525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"06:14:07.254"</f>
        <v>06:14:07.254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119</v>
      </c>
      <c r="CQ739">
        <v>457</v>
      </c>
      <c r="CR739">
        <v>0</v>
      </c>
      <c r="CW739">
        <v>15512951</v>
      </c>
      <c r="CY739">
        <v>1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"08/29/2020 06:14:04.051"</f>
        <v>08/29/2020 06:14:04.051</v>
      </c>
      <c r="C740" t="str">
        <f t="shared" si="33"/>
        <v>FFDFD3C0</v>
      </c>
      <c r="D740" t="s">
        <v>121</v>
      </c>
      <c r="E740">
        <v>13</v>
      </c>
      <c r="F740">
        <v>1013</v>
      </c>
      <c r="G740" t="s">
        <v>122</v>
      </c>
      <c r="J740" t="s">
        <v>123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"06:14:07.250"</f>
        <v>06:14:07.250</v>
      </c>
      <c r="U740" t="str">
        <f t="shared" si="34"/>
        <v>A7E2E0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581</v>
      </c>
      <c r="AJ740">
        <v>39.104354000000001</v>
      </c>
      <c r="AK740" t="s">
        <v>541</v>
      </c>
      <c r="AL740">
        <v>-87.479731999999998</v>
      </c>
      <c r="AM740">
        <v>100</v>
      </c>
      <c r="AN740">
        <v>2700</v>
      </c>
      <c r="AO740" t="s">
        <v>118</v>
      </c>
      <c r="AP740">
        <v>-19</v>
      </c>
      <c r="AQ740">
        <v>-145</v>
      </c>
      <c r="AR740">
        <v>640</v>
      </c>
      <c r="AZ740">
        <v>4552</v>
      </c>
      <c r="BA740">
        <v>1</v>
      </c>
      <c r="BB740" t="str">
        <f t="shared" si="35"/>
        <v xml:space="preserve">N607SR  </v>
      </c>
      <c r="BC740">
        <v>1</v>
      </c>
      <c r="BE740">
        <v>0</v>
      </c>
      <c r="BF740">
        <v>0</v>
      </c>
      <c r="BG740">
        <v>0</v>
      </c>
      <c r="BH740">
        <v>2525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"06:14:07.255"</f>
        <v>06:14:07.255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5</v>
      </c>
      <c r="CP740" t="s">
        <v>119</v>
      </c>
      <c r="CQ740">
        <v>465</v>
      </c>
      <c r="CR740">
        <v>0</v>
      </c>
      <c r="CW740">
        <v>4716662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"08/29/2020 06:14:04.051"</f>
        <v>08/29/2020 06:14:04.051</v>
      </c>
      <c r="C741" t="str">
        <f t="shared" si="33"/>
        <v>FFDFD3C0</v>
      </c>
      <c r="D741" t="s">
        <v>121</v>
      </c>
      <c r="E741">
        <v>10</v>
      </c>
      <c r="F741">
        <v>1010</v>
      </c>
      <c r="G741" t="s">
        <v>114</v>
      </c>
      <c r="J741" t="s">
        <v>123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"06:14:07.250"</f>
        <v>06:14:07.250</v>
      </c>
      <c r="U741" t="str">
        <f t="shared" si="34"/>
        <v>A7E2E0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581</v>
      </c>
      <c r="AJ741">
        <v>39.104354000000001</v>
      </c>
      <c r="AK741" t="s">
        <v>541</v>
      </c>
      <c r="AL741">
        <v>-87.479731999999998</v>
      </c>
      <c r="AM741">
        <v>100</v>
      </c>
      <c r="AN741">
        <v>2700</v>
      </c>
      <c r="AO741" t="s">
        <v>118</v>
      </c>
      <c r="AP741">
        <v>-19</v>
      </c>
      <c r="AQ741">
        <v>-145</v>
      </c>
      <c r="AR741">
        <v>640</v>
      </c>
      <c r="AZ741">
        <v>4552</v>
      </c>
      <c r="BA741">
        <v>1</v>
      </c>
      <c r="BB741" t="str">
        <f t="shared" si="35"/>
        <v xml:space="preserve">N607SR  </v>
      </c>
      <c r="BC741">
        <v>1</v>
      </c>
      <c r="BE741">
        <v>0</v>
      </c>
      <c r="BF741">
        <v>0</v>
      </c>
      <c r="BG741">
        <v>0</v>
      </c>
      <c r="BH741">
        <v>2525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"06:14:07.255"</f>
        <v>06:14:07.255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5</v>
      </c>
      <c r="CP741" t="s">
        <v>119</v>
      </c>
      <c r="CQ741">
        <v>465</v>
      </c>
      <c r="CR741">
        <v>0</v>
      </c>
      <c r="CW741">
        <v>4716662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"08/29/2020 06:14:04.610"</f>
        <v>08/29/2020 06:14:04.610</v>
      </c>
      <c r="C742" t="str">
        <f t="shared" si="33"/>
        <v>FFDFD3C0</v>
      </c>
      <c r="D742" t="s">
        <v>128</v>
      </c>
      <c r="E742">
        <v>5</v>
      </c>
      <c r="H742">
        <v>241</v>
      </c>
      <c r="I742" t="s">
        <v>129</v>
      </c>
      <c r="J742" t="s">
        <v>130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"06:14:07.820"</f>
        <v>06:14:07.820</v>
      </c>
      <c r="T742" t="str">
        <f>"06:14:07.320"</f>
        <v>06:14:07.320</v>
      </c>
      <c r="U742" t="str">
        <f t="shared" si="34"/>
        <v>A7E2E0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582</v>
      </c>
      <c r="AJ742">
        <v>39.103924999999997</v>
      </c>
      <c r="AK742" t="s">
        <v>479</v>
      </c>
      <c r="AL742">
        <v>-87.479795999999993</v>
      </c>
      <c r="AM742">
        <v>100</v>
      </c>
      <c r="AN742">
        <v>2700</v>
      </c>
      <c r="AO742" t="s">
        <v>118</v>
      </c>
      <c r="AP742">
        <v>-19</v>
      </c>
      <c r="AQ742">
        <v>-145</v>
      </c>
      <c r="AR742">
        <v>640</v>
      </c>
      <c r="AZ742">
        <v>4552</v>
      </c>
      <c r="BA742">
        <v>1</v>
      </c>
      <c r="BB742" t="str">
        <f t="shared" si="35"/>
        <v xml:space="preserve">N607SR  </v>
      </c>
      <c r="BC742">
        <v>1</v>
      </c>
      <c r="BE742">
        <v>0</v>
      </c>
      <c r="BF742">
        <v>0</v>
      </c>
      <c r="BG742">
        <v>0</v>
      </c>
      <c r="BH742">
        <v>2525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"06:14:07.828"</f>
        <v>06:14:07.828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119</v>
      </c>
      <c r="CQ742">
        <v>457</v>
      </c>
      <c r="CR742">
        <v>0</v>
      </c>
      <c r="CW742">
        <v>15512970</v>
      </c>
      <c r="CY742">
        <v>1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"08/29/2020 06:14:04.610"</f>
        <v>08/29/2020 06:14:04.610</v>
      </c>
      <c r="C743" t="str">
        <f t="shared" si="33"/>
        <v>FFDFD3C0</v>
      </c>
      <c r="D743" t="s">
        <v>113</v>
      </c>
      <c r="E743">
        <v>5</v>
      </c>
      <c r="H743">
        <v>163</v>
      </c>
      <c r="I743" t="s">
        <v>114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"06:14:07.820"</f>
        <v>06:14:07.820</v>
      </c>
      <c r="T743" t="str">
        <f>"06:14:07.320"</f>
        <v>06:14:07.320</v>
      </c>
      <c r="U743" t="str">
        <f t="shared" si="34"/>
        <v>A7E2E0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582</v>
      </c>
      <c r="AJ743">
        <v>39.103924999999997</v>
      </c>
      <c r="AK743" t="s">
        <v>479</v>
      </c>
      <c r="AL743">
        <v>-87.479795999999993</v>
      </c>
      <c r="AM743">
        <v>100</v>
      </c>
      <c r="AN743">
        <v>2700</v>
      </c>
      <c r="AO743" t="s">
        <v>118</v>
      </c>
      <c r="AP743">
        <v>-19</v>
      </c>
      <c r="AQ743">
        <v>-145</v>
      </c>
      <c r="AR743">
        <v>640</v>
      </c>
      <c r="AZ743">
        <v>4552</v>
      </c>
      <c r="BA743">
        <v>1</v>
      </c>
      <c r="BB743" t="str">
        <f t="shared" si="35"/>
        <v xml:space="preserve">N607SR  </v>
      </c>
      <c r="BC743">
        <v>1</v>
      </c>
      <c r="BE743">
        <v>0</v>
      </c>
      <c r="BF743">
        <v>0</v>
      </c>
      <c r="BG743">
        <v>0</v>
      </c>
      <c r="BH743">
        <v>2525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"06:14:07.828"</f>
        <v>06:14:07.828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6</v>
      </c>
      <c r="CP743" t="s">
        <v>119</v>
      </c>
      <c r="CQ743">
        <v>457</v>
      </c>
      <c r="CR743">
        <v>0</v>
      </c>
      <c r="CW743">
        <v>15512970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"08/29/2020 06:14:05.026"</f>
        <v>08/29/2020 06:14:05.026</v>
      </c>
      <c r="C744" t="str">
        <f t="shared" si="33"/>
        <v>FFDFD3C0</v>
      </c>
      <c r="D744" t="s">
        <v>121</v>
      </c>
      <c r="E744">
        <v>10</v>
      </c>
      <c r="F744">
        <v>1010</v>
      </c>
      <c r="G744" t="s">
        <v>114</v>
      </c>
      <c r="J744" t="s">
        <v>123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"06:14:08.250"</f>
        <v>06:14:08.250</v>
      </c>
      <c r="T744" t="str">
        <f>"06:14:07.850"</f>
        <v>06:14:07.850</v>
      </c>
      <c r="U744" t="str">
        <f t="shared" si="34"/>
        <v>A7E2E0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583</v>
      </c>
      <c r="AJ744">
        <v>39.103645999999998</v>
      </c>
      <c r="AK744" t="s">
        <v>538</v>
      </c>
      <c r="AL744">
        <v>-87.479861</v>
      </c>
      <c r="AM744">
        <v>100</v>
      </c>
      <c r="AN744">
        <v>2700</v>
      </c>
      <c r="AO744" t="s">
        <v>118</v>
      </c>
      <c r="AP744">
        <v>-21</v>
      </c>
      <c r="AQ744">
        <v>-145</v>
      </c>
      <c r="AR744">
        <v>576</v>
      </c>
      <c r="AZ744">
        <v>4552</v>
      </c>
      <c r="BA744">
        <v>1</v>
      </c>
      <c r="BB744" t="str">
        <f t="shared" si="35"/>
        <v xml:space="preserve">N607SR  </v>
      </c>
      <c r="BC744">
        <v>1</v>
      </c>
      <c r="BE744">
        <v>0</v>
      </c>
      <c r="BF744">
        <v>0</v>
      </c>
      <c r="BG744">
        <v>0</v>
      </c>
      <c r="BH744">
        <v>2525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"06:14:08.252"</f>
        <v>06:14:08.252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6</v>
      </c>
      <c r="CP744" t="s">
        <v>119</v>
      </c>
      <c r="CQ744">
        <v>177</v>
      </c>
      <c r="CR744">
        <v>2</v>
      </c>
      <c r="CW744">
        <v>1623375</v>
      </c>
      <c r="CY744">
        <v>1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"08/29/2020 06:14:05.026"</f>
        <v>08/29/2020 06:14:05.026</v>
      </c>
      <c r="C745" t="str">
        <f t="shared" si="33"/>
        <v>FFDFD3C0</v>
      </c>
      <c r="D745" t="s">
        <v>121</v>
      </c>
      <c r="E745">
        <v>13</v>
      </c>
      <c r="F745">
        <v>1013</v>
      </c>
      <c r="G745" t="s">
        <v>122</v>
      </c>
      <c r="J745" t="s">
        <v>123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"06:14:08.250"</f>
        <v>06:14:08.250</v>
      </c>
      <c r="T745" t="str">
        <f>"06:14:07.850"</f>
        <v>06:14:07.850</v>
      </c>
      <c r="U745" t="str">
        <f t="shared" si="34"/>
        <v>A7E2E0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583</v>
      </c>
      <c r="AJ745">
        <v>39.103645999999998</v>
      </c>
      <c r="AK745" t="s">
        <v>538</v>
      </c>
      <c r="AL745">
        <v>-87.479861</v>
      </c>
      <c r="AM745">
        <v>100</v>
      </c>
      <c r="AN745">
        <v>2700</v>
      </c>
      <c r="AO745" t="s">
        <v>118</v>
      </c>
      <c r="AP745">
        <v>-21</v>
      </c>
      <c r="AQ745">
        <v>-145</v>
      </c>
      <c r="AR745">
        <v>576</v>
      </c>
      <c r="AZ745">
        <v>4552</v>
      </c>
      <c r="BA745">
        <v>1</v>
      </c>
      <c r="BB745" t="str">
        <f t="shared" si="35"/>
        <v xml:space="preserve">N607SR  </v>
      </c>
      <c r="BC745">
        <v>1</v>
      </c>
      <c r="BE745">
        <v>0</v>
      </c>
      <c r="BF745">
        <v>0</v>
      </c>
      <c r="BG745">
        <v>0</v>
      </c>
      <c r="BH745">
        <v>2525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"06:14:08.252"</f>
        <v>06:14:08.252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6</v>
      </c>
      <c r="CP745" t="s">
        <v>119</v>
      </c>
      <c r="CQ745">
        <v>177</v>
      </c>
      <c r="CR745">
        <v>2</v>
      </c>
      <c r="CW745">
        <v>1623375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"08/29/2020 06:14:05.026"</f>
        <v>08/29/2020 06:14:05.026</v>
      </c>
      <c r="C746" t="str">
        <f t="shared" si="33"/>
        <v>FFDFD3C0</v>
      </c>
      <c r="D746" t="s">
        <v>121</v>
      </c>
      <c r="E746">
        <v>11</v>
      </c>
      <c r="F746">
        <v>1011</v>
      </c>
      <c r="G746" t="s">
        <v>125</v>
      </c>
      <c r="J746" t="s">
        <v>123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"06:14:08.250"</f>
        <v>06:14:08.250</v>
      </c>
      <c r="T746" t="str">
        <f>"06:14:07.850"</f>
        <v>06:14:07.850</v>
      </c>
      <c r="U746" t="str">
        <f t="shared" si="34"/>
        <v>A7E2E0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583</v>
      </c>
      <c r="AJ746">
        <v>39.103645999999998</v>
      </c>
      <c r="AK746" t="s">
        <v>538</v>
      </c>
      <c r="AL746">
        <v>-87.479861</v>
      </c>
      <c r="AM746">
        <v>100</v>
      </c>
      <c r="AN746">
        <v>2700</v>
      </c>
      <c r="AO746" t="s">
        <v>118</v>
      </c>
      <c r="AP746">
        <v>-21</v>
      </c>
      <c r="AQ746">
        <v>-145</v>
      </c>
      <c r="AR746">
        <v>576</v>
      </c>
      <c r="AZ746">
        <v>4552</v>
      </c>
      <c r="BA746">
        <v>1</v>
      </c>
      <c r="BB746" t="str">
        <f t="shared" si="35"/>
        <v xml:space="preserve">N607SR  </v>
      </c>
      <c r="BC746">
        <v>1</v>
      </c>
      <c r="BE746">
        <v>0</v>
      </c>
      <c r="BF746">
        <v>0</v>
      </c>
      <c r="BG746">
        <v>0</v>
      </c>
      <c r="BH746">
        <v>2525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"06:14:08.252"</f>
        <v>06:14:08.252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6</v>
      </c>
      <c r="CP746" t="s">
        <v>119</v>
      </c>
      <c r="CQ746">
        <v>177</v>
      </c>
      <c r="CR746">
        <v>2</v>
      </c>
      <c r="CW746">
        <v>1623375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"08/29/2020 06:14:05.524"</f>
        <v>08/29/2020 06:14:05.524</v>
      </c>
      <c r="C747" t="str">
        <f t="shared" si="33"/>
        <v>FFDFD3C0</v>
      </c>
      <c r="D747" t="s">
        <v>113</v>
      </c>
      <c r="E747">
        <v>5</v>
      </c>
      <c r="H747">
        <v>163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"06:14:08.742"</f>
        <v>06:14:08.742</v>
      </c>
      <c r="T747" t="str">
        <f>"06:14:08.342"</f>
        <v>06:14:08.342</v>
      </c>
      <c r="U747" t="str">
        <f t="shared" si="34"/>
        <v>A7E2E0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584</v>
      </c>
      <c r="AJ747">
        <v>39.103324000000001</v>
      </c>
      <c r="AK747" t="s">
        <v>585</v>
      </c>
      <c r="AL747">
        <v>-87.479882000000003</v>
      </c>
      <c r="AM747">
        <v>100</v>
      </c>
      <c r="AN747">
        <v>2700</v>
      </c>
      <c r="AO747" t="s">
        <v>118</v>
      </c>
      <c r="AP747">
        <v>-22</v>
      </c>
      <c r="AQ747">
        <v>-145</v>
      </c>
      <c r="AR747">
        <v>512</v>
      </c>
      <c r="AZ747">
        <v>4552</v>
      </c>
      <c r="BA747">
        <v>1</v>
      </c>
      <c r="BB747" t="str">
        <f t="shared" si="35"/>
        <v xml:space="preserve">N607SR  </v>
      </c>
      <c r="BC747">
        <v>1</v>
      </c>
      <c r="BE747">
        <v>0</v>
      </c>
      <c r="BF747">
        <v>0</v>
      </c>
      <c r="BG747">
        <v>0</v>
      </c>
      <c r="BH747">
        <v>2550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"06:14:08.745"</f>
        <v>06:14:08.745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6</v>
      </c>
      <c r="CP747" t="s">
        <v>119</v>
      </c>
      <c r="CQ747">
        <v>457</v>
      </c>
      <c r="CR747">
        <v>0</v>
      </c>
      <c r="CW747">
        <v>15512991</v>
      </c>
      <c r="CY747">
        <v>1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"08/29/2020 06:14:05.524"</f>
        <v>08/29/2020 06:14:05.524</v>
      </c>
      <c r="C748" t="str">
        <f t="shared" si="33"/>
        <v>FFDFD3C0</v>
      </c>
      <c r="D748" t="s">
        <v>128</v>
      </c>
      <c r="E748">
        <v>5</v>
      </c>
      <c r="H748">
        <v>241</v>
      </c>
      <c r="I748" t="s">
        <v>129</v>
      </c>
      <c r="J748" t="s">
        <v>130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"06:14:08.742"</f>
        <v>06:14:08.742</v>
      </c>
      <c r="T748" t="str">
        <f>"06:14:08.342"</f>
        <v>06:14:08.342</v>
      </c>
      <c r="U748" t="str">
        <f t="shared" si="34"/>
        <v>A7E2E0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584</v>
      </c>
      <c r="AJ748">
        <v>39.103324000000001</v>
      </c>
      <c r="AK748" t="s">
        <v>585</v>
      </c>
      <c r="AL748">
        <v>-87.479882000000003</v>
      </c>
      <c r="AM748">
        <v>100</v>
      </c>
      <c r="AN748">
        <v>2700</v>
      </c>
      <c r="AO748" t="s">
        <v>118</v>
      </c>
      <c r="AP748">
        <v>-22</v>
      </c>
      <c r="AQ748">
        <v>-145</v>
      </c>
      <c r="AR748">
        <v>512</v>
      </c>
      <c r="AZ748">
        <v>4552</v>
      </c>
      <c r="BA748">
        <v>1</v>
      </c>
      <c r="BB748" t="str">
        <f t="shared" si="35"/>
        <v xml:space="preserve">N607SR  </v>
      </c>
      <c r="BC748">
        <v>1</v>
      </c>
      <c r="BE748">
        <v>0</v>
      </c>
      <c r="BF748">
        <v>0</v>
      </c>
      <c r="BG748">
        <v>0</v>
      </c>
      <c r="BH748">
        <v>2550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"06:14:08.745"</f>
        <v>06:14:08.745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6</v>
      </c>
      <c r="CP748" t="s">
        <v>119</v>
      </c>
      <c r="CQ748">
        <v>457</v>
      </c>
      <c r="CR748">
        <v>0</v>
      </c>
      <c r="CW748">
        <v>15512991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"08/29/2020 06:14:06.081"</f>
        <v>08/29/2020 06:14:06.081</v>
      </c>
      <c r="C749" t="str">
        <f t="shared" si="33"/>
        <v>FFDFD3C0</v>
      </c>
      <c r="D749" t="s">
        <v>121</v>
      </c>
      <c r="E749">
        <v>11</v>
      </c>
      <c r="F749">
        <v>1011</v>
      </c>
      <c r="G749" t="s">
        <v>125</v>
      </c>
      <c r="J749" t="s">
        <v>123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"06:14:09.305"</f>
        <v>06:14:09.305</v>
      </c>
      <c r="T749" t="str">
        <f>"06:14:08.805"</f>
        <v>06:14:08.805</v>
      </c>
      <c r="U749" t="str">
        <f t="shared" si="34"/>
        <v>A7E2E0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586</v>
      </c>
      <c r="AJ749">
        <v>39.102894999999997</v>
      </c>
      <c r="AK749" t="s">
        <v>485</v>
      </c>
      <c r="AL749">
        <v>-87.480011000000005</v>
      </c>
      <c r="AM749">
        <v>100</v>
      </c>
      <c r="AN749">
        <v>2700</v>
      </c>
      <c r="AO749" t="s">
        <v>118</v>
      </c>
      <c r="AP749">
        <v>-23</v>
      </c>
      <c r="AQ749">
        <v>-145</v>
      </c>
      <c r="AR749">
        <v>512</v>
      </c>
      <c r="AZ749">
        <v>4552</v>
      </c>
      <c r="BA749">
        <v>1</v>
      </c>
      <c r="BB749" t="str">
        <f t="shared" si="35"/>
        <v xml:space="preserve">N607SR  </v>
      </c>
      <c r="BC749">
        <v>1</v>
      </c>
      <c r="BE749">
        <v>0</v>
      </c>
      <c r="BF749">
        <v>0</v>
      </c>
      <c r="BG749">
        <v>0</v>
      </c>
      <c r="BH749">
        <v>2550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"06:14:09.309"</f>
        <v>06:14:09.309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6</v>
      </c>
      <c r="CP749" t="s">
        <v>119</v>
      </c>
      <c r="CQ749">
        <v>177</v>
      </c>
      <c r="CR749">
        <v>2</v>
      </c>
      <c r="CW749">
        <v>1623538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"08/29/2020 06:14:06.081"</f>
        <v>08/29/2020 06:14:06.081</v>
      </c>
      <c r="C750" t="str">
        <f t="shared" si="33"/>
        <v>FFDFD3C0</v>
      </c>
      <c r="D750" t="s">
        <v>121</v>
      </c>
      <c r="E750">
        <v>10</v>
      </c>
      <c r="F750">
        <v>1010</v>
      </c>
      <c r="G750" t="s">
        <v>114</v>
      </c>
      <c r="J750" t="s">
        <v>123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"06:14:09.305"</f>
        <v>06:14:09.305</v>
      </c>
      <c r="T750" t="str">
        <f>"06:14:08.805"</f>
        <v>06:14:08.805</v>
      </c>
      <c r="U750" t="str">
        <f t="shared" si="34"/>
        <v>A7E2E0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586</v>
      </c>
      <c r="AJ750">
        <v>39.102894999999997</v>
      </c>
      <c r="AK750" t="s">
        <v>485</v>
      </c>
      <c r="AL750">
        <v>-87.480011000000005</v>
      </c>
      <c r="AM750">
        <v>100</v>
      </c>
      <c r="AN750">
        <v>2700</v>
      </c>
      <c r="AO750" t="s">
        <v>118</v>
      </c>
      <c r="AP750">
        <v>-23</v>
      </c>
      <c r="AQ750">
        <v>-145</v>
      </c>
      <c r="AR750">
        <v>512</v>
      </c>
      <c r="AZ750">
        <v>4552</v>
      </c>
      <c r="BA750">
        <v>1</v>
      </c>
      <c r="BB750" t="str">
        <f t="shared" si="35"/>
        <v xml:space="preserve">N607SR  </v>
      </c>
      <c r="BC750">
        <v>1</v>
      </c>
      <c r="BE750">
        <v>0</v>
      </c>
      <c r="BF750">
        <v>0</v>
      </c>
      <c r="BG750">
        <v>0</v>
      </c>
      <c r="BH750">
        <v>2550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"06:14:09.309"</f>
        <v>06:14:09.309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6</v>
      </c>
      <c r="CP750" t="s">
        <v>119</v>
      </c>
      <c r="CQ750">
        <v>177</v>
      </c>
      <c r="CR750">
        <v>2</v>
      </c>
      <c r="CW750">
        <v>1623538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"08/29/2020 06:14:06.081"</f>
        <v>08/29/2020 06:14:06.081</v>
      </c>
      <c r="C751" t="str">
        <f t="shared" si="33"/>
        <v>FFDFD3C0</v>
      </c>
      <c r="D751" t="s">
        <v>121</v>
      </c>
      <c r="E751">
        <v>13</v>
      </c>
      <c r="F751">
        <v>1013</v>
      </c>
      <c r="G751" t="s">
        <v>122</v>
      </c>
      <c r="J751" t="s">
        <v>123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"06:14:09.305"</f>
        <v>06:14:09.305</v>
      </c>
      <c r="T751" t="str">
        <f>"06:14:08.805"</f>
        <v>06:14:08.805</v>
      </c>
      <c r="U751" t="str">
        <f t="shared" si="34"/>
        <v>A7E2E0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586</v>
      </c>
      <c r="AJ751">
        <v>39.102894999999997</v>
      </c>
      <c r="AK751" t="s">
        <v>485</v>
      </c>
      <c r="AL751">
        <v>-87.480011000000005</v>
      </c>
      <c r="AM751">
        <v>100</v>
      </c>
      <c r="AN751">
        <v>2700</v>
      </c>
      <c r="AO751" t="s">
        <v>118</v>
      </c>
      <c r="AP751">
        <v>-23</v>
      </c>
      <c r="AQ751">
        <v>-145</v>
      </c>
      <c r="AR751">
        <v>512</v>
      </c>
      <c r="AZ751">
        <v>4552</v>
      </c>
      <c r="BA751">
        <v>1</v>
      </c>
      <c r="BB751" t="str">
        <f t="shared" si="35"/>
        <v xml:space="preserve">N607SR  </v>
      </c>
      <c r="BC751">
        <v>1</v>
      </c>
      <c r="BE751">
        <v>0</v>
      </c>
      <c r="BF751">
        <v>0</v>
      </c>
      <c r="BG751">
        <v>0</v>
      </c>
      <c r="BH751">
        <v>2550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"06:14:09.309"</f>
        <v>06:14:09.309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6</v>
      </c>
      <c r="CP751" t="s">
        <v>119</v>
      </c>
      <c r="CQ751">
        <v>177</v>
      </c>
      <c r="CR751">
        <v>2</v>
      </c>
      <c r="CW751">
        <v>1623538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"08/29/2020 06:14:06.682"</f>
        <v>08/29/2020 06:14:06.682</v>
      </c>
      <c r="C752" t="str">
        <f t="shared" si="33"/>
        <v>FFDFD3C0</v>
      </c>
      <c r="D752" t="s">
        <v>128</v>
      </c>
      <c r="E752">
        <v>5</v>
      </c>
      <c r="H752">
        <v>241</v>
      </c>
      <c r="I752" t="s">
        <v>129</v>
      </c>
      <c r="J752" t="s">
        <v>130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"06:14:09.883"</f>
        <v>06:14:09.883</v>
      </c>
      <c r="T752" t="str">
        <f>"06:14:09.383"</f>
        <v>06:14:09.383</v>
      </c>
      <c r="U752" t="str">
        <f t="shared" si="34"/>
        <v>A7E2E0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587</v>
      </c>
      <c r="AJ752">
        <v>39.102573</v>
      </c>
      <c r="AK752" t="s">
        <v>530</v>
      </c>
      <c r="AL752">
        <v>-87.480097000000001</v>
      </c>
      <c r="AM752">
        <v>100</v>
      </c>
      <c r="AN752">
        <v>2700</v>
      </c>
      <c r="AO752" t="s">
        <v>118</v>
      </c>
      <c r="AP752">
        <v>-25</v>
      </c>
      <c r="AQ752">
        <v>-144</v>
      </c>
      <c r="AR752">
        <v>448</v>
      </c>
      <c r="AZ752">
        <v>4552</v>
      </c>
      <c r="BA752">
        <v>1</v>
      </c>
      <c r="BB752" t="str">
        <f t="shared" si="35"/>
        <v xml:space="preserve">N607SR  </v>
      </c>
      <c r="BC752">
        <v>1</v>
      </c>
      <c r="BE752">
        <v>0</v>
      </c>
      <c r="BF752">
        <v>0</v>
      </c>
      <c r="BG752">
        <v>0</v>
      </c>
      <c r="BH752">
        <v>2550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"06:14:09.889"</f>
        <v>06:14:09.889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6</v>
      </c>
      <c r="CP752" t="s">
        <v>119</v>
      </c>
      <c r="CQ752">
        <v>177</v>
      </c>
      <c r="CR752">
        <v>2</v>
      </c>
      <c r="CW752">
        <v>1623646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"08/29/2020 06:14:06.682"</f>
        <v>08/29/2020 06:14:06.682</v>
      </c>
      <c r="C753" t="str">
        <f t="shared" si="33"/>
        <v>FFDFD3C0</v>
      </c>
      <c r="D753" t="s">
        <v>113</v>
      </c>
      <c r="E753">
        <v>5</v>
      </c>
      <c r="H753">
        <v>163</v>
      </c>
      <c r="I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"06:14:09.883"</f>
        <v>06:14:09.883</v>
      </c>
      <c r="T753" t="str">
        <f>"06:14:09.383"</f>
        <v>06:14:09.383</v>
      </c>
      <c r="U753" t="str">
        <f t="shared" si="34"/>
        <v>A7E2E0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587</v>
      </c>
      <c r="AJ753">
        <v>39.102573</v>
      </c>
      <c r="AK753" t="s">
        <v>530</v>
      </c>
      <c r="AL753">
        <v>-87.480097000000001</v>
      </c>
      <c r="AM753">
        <v>100</v>
      </c>
      <c r="AN753">
        <v>2700</v>
      </c>
      <c r="AO753" t="s">
        <v>118</v>
      </c>
      <c r="AP753">
        <v>-25</v>
      </c>
      <c r="AQ753">
        <v>-144</v>
      </c>
      <c r="AR753">
        <v>448</v>
      </c>
      <c r="AZ753">
        <v>4552</v>
      </c>
      <c r="BA753">
        <v>1</v>
      </c>
      <c r="BB753" t="str">
        <f t="shared" si="35"/>
        <v xml:space="preserve">N607SR  </v>
      </c>
      <c r="BC753">
        <v>1</v>
      </c>
      <c r="BE753">
        <v>0</v>
      </c>
      <c r="BF753">
        <v>0</v>
      </c>
      <c r="BG753">
        <v>0</v>
      </c>
      <c r="BH753">
        <v>2550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"06:14:09.889"</f>
        <v>06:14:09.889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6</v>
      </c>
      <c r="CP753" t="s">
        <v>119</v>
      </c>
      <c r="CQ753">
        <v>177</v>
      </c>
      <c r="CR753">
        <v>2</v>
      </c>
      <c r="CW753">
        <v>1623646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"08/29/2020 06:14:07.197"</f>
        <v>08/29/2020 06:14:07.197</v>
      </c>
      <c r="C754" t="str">
        <f t="shared" si="33"/>
        <v>FFDFD3C0</v>
      </c>
      <c r="D754" t="s">
        <v>121</v>
      </c>
      <c r="E754">
        <v>11</v>
      </c>
      <c r="F754">
        <v>1011</v>
      </c>
      <c r="G754" t="s">
        <v>125</v>
      </c>
      <c r="J754" t="s">
        <v>123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"06:14:10.406"</f>
        <v>06:14:10.406</v>
      </c>
      <c r="T754" t="str">
        <f>"06:14:09.906"</f>
        <v>06:14:09.906</v>
      </c>
      <c r="U754" t="str">
        <f t="shared" si="34"/>
        <v>A7E2E0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588</v>
      </c>
      <c r="AJ754">
        <v>39.102209000000002</v>
      </c>
      <c r="AK754" t="s">
        <v>589</v>
      </c>
      <c r="AL754">
        <v>-87.480160999999995</v>
      </c>
      <c r="AM754">
        <v>100</v>
      </c>
      <c r="AN754">
        <v>2700</v>
      </c>
      <c r="AO754" t="s">
        <v>118</v>
      </c>
      <c r="AP754">
        <v>-26</v>
      </c>
      <c r="AQ754">
        <v>-144</v>
      </c>
      <c r="AR754">
        <v>384</v>
      </c>
      <c r="AZ754">
        <v>4552</v>
      </c>
      <c r="BA754">
        <v>1</v>
      </c>
      <c r="BB754" t="str">
        <f t="shared" si="35"/>
        <v xml:space="preserve">N607SR  </v>
      </c>
      <c r="BC754">
        <v>1</v>
      </c>
      <c r="BE754">
        <v>0</v>
      </c>
      <c r="BF754">
        <v>0</v>
      </c>
      <c r="BG754">
        <v>0</v>
      </c>
      <c r="BH754">
        <v>2550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"06:14:10.407"</f>
        <v>06:14:10.407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6</v>
      </c>
      <c r="CP754" t="s">
        <v>119</v>
      </c>
      <c r="CQ754">
        <v>177</v>
      </c>
      <c r="CR754">
        <v>2</v>
      </c>
      <c r="CW754">
        <v>1623725</v>
      </c>
      <c r="CY754">
        <v>1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"08/29/2020 06:14:07.197"</f>
        <v>08/29/2020 06:14:07.197</v>
      </c>
      <c r="C755" t="str">
        <f t="shared" si="33"/>
        <v>FFDFD3C0</v>
      </c>
      <c r="D755" t="s">
        <v>121</v>
      </c>
      <c r="E755">
        <v>10</v>
      </c>
      <c r="F755">
        <v>1010</v>
      </c>
      <c r="G755" t="s">
        <v>114</v>
      </c>
      <c r="J755" t="s">
        <v>123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"06:14:10.406"</f>
        <v>06:14:10.406</v>
      </c>
      <c r="U755" t="str">
        <f t="shared" si="34"/>
        <v>A7E2E0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588</v>
      </c>
      <c r="AJ755">
        <v>39.102209000000002</v>
      </c>
      <c r="AK755" t="s">
        <v>589</v>
      </c>
      <c r="AL755">
        <v>-87.480160999999995</v>
      </c>
      <c r="AM755">
        <v>100</v>
      </c>
      <c r="AN755">
        <v>2700</v>
      </c>
      <c r="AO755" t="s">
        <v>118</v>
      </c>
      <c r="AP755">
        <v>-28</v>
      </c>
      <c r="AQ755">
        <v>-144</v>
      </c>
      <c r="AR755">
        <v>384</v>
      </c>
      <c r="AZ755">
        <v>4552</v>
      </c>
      <c r="BA755">
        <v>1</v>
      </c>
      <c r="BB755" t="str">
        <f t="shared" si="35"/>
        <v xml:space="preserve">N607SR  </v>
      </c>
      <c r="BC755">
        <v>1</v>
      </c>
      <c r="BE755">
        <v>0</v>
      </c>
      <c r="BF755">
        <v>0</v>
      </c>
      <c r="BG755">
        <v>0</v>
      </c>
      <c r="BH755">
        <v>2550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"06:14:10.407"</f>
        <v>06:14:10.407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5</v>
      </c>
      <c r="CP755" t="s">
        <v>119</v>
      </c>
      <c r="CQ755">
        <v>465</v>
      </c>
      <c r="CR755">
        <v>0</v>
      </c>
      <c r="CW755">
        <v>4716752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"08/29/2020 06:14:07.197"</f>
        <v>08/29/2020 06:14:07.197</v>
      </c>
      <c r="C756" t="str">
        <f t="shared" si="33"/>
        <v>FFDFD3C0</v>
      </c>
      <c r="D756" t="s">
        <v>121</v>
      </c>
      <c r="E756">
        <v>13</v>
      </c>
      <c r="F756">
        <v>1013</v>
      </c>
      <c r="G756" t="s">
        <v>122</v>
      </c>
      <c r="J756" t="s">
        <v>123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"06:14:10.406"</f>
        <v>06:14:10.406</v>
      </c>
      <c r="U756" t="str">
        <f t="shared" si="34"/>
        <v>A7E2E0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588</v>
      </c>
      <c r="AJ756">
        <v>39.102209000000002</v>
      </c>
      <c r="AK756" t="s">
        <v>589</v>
      </c>
      <c r="AL756">
        <v>-87.480160999999995</v>
      </c>
      <c r="AM756">
        <v>100</v>
      </c>
      <c r="AN756">
        <v>2700</v>
      </c>
      <c r="AO756" t="s">
        <v>118</v>
      </c>
      <c r="AP756">
        <v>-28</v>
      </c>
      <c r="AQ756">
        <v>-144</v>
      </c>
      <c r="AR756">
        <v>384</v>
      </c>
      <c r="AZ756">
        <v>4552</v>
      </c>
      <c r="BA756">
        <v>1</v>
      </c>
      <c r="BB756" t="str">
        <f t="shared" si="35"/>
        <v xml:space="preserve">N607SR  </v>
      </c>
      <c r="BC756">
        <v>1</v>
      </c>
      <c r="BE756">
        <v>0</v>
      </c>
      <c r="BF756">
        <v>0</v>
      </c>
      <c r="BG756">
        <v>0</v>
      </c>
      <c r="BH756">
        <v>2550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"06:14:10.407"</f>
        <v>06:14:10.407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5</v>
      </c>
      <c r="CP756" t="s">
        <v>119</v>
      </c>
      <c r="CQ756">
        <v>465</v>
      </c>
      <c r="CR756">
        <v>0</v>
      </c>
      <c r="CW756">
        <v>4716752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"08/29/2020 06:14:07.696"</f>
        <v>08/29/2020 06:14:07.696</v>
      </c>
      <c r="C757" t="str">
        <f t="shared" si="33"/>
        <v>FFDFD3C0</v>
      </c>
      <c r="D757" t="s">
        <v>128</v>
      </c>
      <c r="E757">
        <v>5</v>
      </c>
      <c r="H757">
        <v>241</v>
      </c>
      <c r="I757" t="s">
        <v>129</v>
      </c>
      <c r="J757" t="s">
        <v>130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"06:14:10.914"</f>
        <v>06:14:10.914</v>
      </c>
      <c r="T757" t="str">
        <f>"06:14:10.414"</f>
        <v>06:14:10.414</v>
      </c>
      <c r="U757" t="str">
        <f t="shared" si="34"/>
        <v>A7E2E0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590</v>
      </c>
      <c r="AJ757">
        <v>39.101844</v>
      </c>
      <c r="AK757" t="s">
        <v>490</v>
      </c>
      <c r="AL757">
        <v>-87.480247000000006</v>
      </c>
      <c r="AM757">
        <v>100</v>
      </c>
      <c r="AN757">
        <v>2700</v>
      </c>
      <c r="AO757" t="s">
        <v>118</v>
      </c>
      <c r="AP757">
        <v>-28</v>
      </c>
      <c r="AQ757">
        <v>-144</v>
      </c>
      <c r="AR757">
        <v>384</v>
      </c>
      <c r="AZ757">
        <v>4552</v>
      </c>
      <c r="BA757">
        <v>1</v>
      </c>
      <c r="BB757" t="str">
        <f t="shared" si="35"/>
        <v xml:space="preserve">N607SR  </v>
      </c>
      <c r="BC757">
        <v>1</v>
      </c>
      <c r="BE757">
        <v>0</v>
      </c>
      <c r="BF757">
        <v>0</v>
      </c>
      <c r="BG757">
        <v>0</v>
      </c>
      <c r="BH757">
        <v>2550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"06:14:10.921"</f>
        <v>06:14:10.921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177</v>
      </c>
      <c r="CR757">
        <v>2</v>
      </c>
      <c r="CW757">
        <v>1623824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"08/29/2020 06:14:07.696"</f>
        <v>08/29/2020 06:14:07.696</v>
      </c>
      <c r="C758" t="str">
        <f t="shared" si="33"/>
        <v>FFDFD3C0</v>
      </c>
      <c r="D758" t="s">
        <v>113</v>
      </c>
      <c r="E758">
        <v>5</v>
      </c>
      <c r="H758">
        <v>163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"06:14:10.914"</f>
        <v>06:14:10.914</v>
      </c>
      <c r="T758" t="str">
        <f>"06:14:10.414"</f>
        <v>06:14:10.414</v>
      </c>
      <c r="U758" t="str">
        <f t="shared" si="34"/>
        <v>A7E2E0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590</v>
      </c>
      <c r="AJ758">
        <v>39.101844</v>
      </c>
      <c r="AK758" t="s">
        <v>490</v>
      </c>
      <c r="AL758">
        <v>-87.480247000000006</v>
      </c>
      <c r="AM758">
        <v>100</v>
      </c>
      <c r="AN758">
        <v>2700</v>
      </c>
      <c r="AO758" t="s">
        <v>118</v>
      </c>
      <c r="AP758">
        <v>-28</v>
      </c>
      <c r="AQ758">
        <v>-144</v>
      </c>
      <c r="AR758">
        <v>384</v>
      </c>
      <c r="AZ758">
        <v>4552</v>
      </c>
      <c r="BA758">
        <v>1</v>
      </c>
      <c r="BB758" t="str">
        <f t="shared" si="35"/>
        <v xml:space="preserve">N607SR  </v>
      </c>
      <c r="BC758">
        <v>1</v>
      </c>
      <c r="BE758">
        <v>0</v>
      </c>
      <c r="BF758">
        <v>0</v>
      </c>
      <c r="BG758">
        <v>0</v>
      </c>
      <c r="BH758">
        <v>2550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"06:14:10.921"</f>
        <v>06:14:10.921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6</v>
      </c>
      <c r="CP758" t="s">
        <v>119</v>
      </c>
      <c r="CQ758">
        <v>177</v>
      </c>
      <c r="CR758">
        <v>2</v>
      </c>
      <c r="CW758">
        <v>1623824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"08/29/2020 06:14:08.211"</f>
        <v>08/29/2020 06:14:08.211</v>
      </c>
      <c r="C759" t="str">
        <f t="shared" si="33"/>
        <v>FFDFD3C0</v>
      </c>
      <c r="D759" t="s">
        <v>121</v>
      </c>
      <c r="E759">
        <v>10</v>
      </c>
      <c r="F759">
        <v>1010</v>
      </c>
      <c r="G759" t="s">
        <v>114</v>
      </c>
      <c r="J759" t="s">
        <v>123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"06:14:11.398"</f>
        <v>06:14:11.398</v>
      </c>
      <c r="T759" t="str">
        <f>"06:14:10.998"</f>
        <v>06:14:10.998</v>
      </c>
      <c r="U759" t="str">
        <f t="shared" si="34"/>
        <v>A7E2E0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591</v>
      </c>
      <c r="AJ759">
        <v>39.101500999999999</v>
      </c>
      <c r="AK759" t="s">
        <v>493</v>
      </c>
      <c r="AL759">
        <v>-87.480354000000005</v>
      </c>
      <c r="AM759">
        <v>100</v>
      </c>
      <c r="AN759">
        <v>2700</v>
      </c>
      <c r="AO759" t="s">
        <v>118</v>
      </c>
      <c r="AP759">
        <v>-29</v>
      </c>
      <c r="AQ759">
        <v>-144</v>
      </c>
      <c r="AR759">
        <v>320</v>
      </c>
      <c r="AZ759">
        <v>4552</v>
      </c>
      <c r="BA759">
        <v>1</v>
      </c>
      <c r="BB759" t="str">
        <f t="shared" si="35"/>
        <v xml:space="preserve">N607SR  </v>
      </c>
      <c r="BC759">
        <v>1</v>
      </c>
      <c r="BE759">
        <v>0</v>
      </c>
      <c r="BF759">
        <v>0</v>
      </c>
      <c r="BG759">
        <v>0</v>
      </c>
      <c r="BH759">
        <v>2550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"06:14:11.403"</f>
        <v>06:14:11.403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6</v>
      </c>
      <c r="CP759" t="s">
        <v>119</v>
      </c>
      <c r="CQ759">
        <v>517</v>
      </c>
      <c r="CR759">
        <v>1</v>
      </c>
      <c r="CW759">
        <v>2477864</v>
      </c>
      <c r="CY759">
        <v>1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"08/29/2020 06:14:08.211"</f>
        <v>08/29/2020 06:14:08.211</v>
      </c>
      <c r="C760" t="str">
        <f t="shared" si="33"/>
        <v>FFDFD3C0</v>
      </c>
      <c r="D760" t="s">
        <v>121</v>
      </c>
      <c r="E760">
        <v>11</v>
      </c>
      <c r="F760">
        <v>1011</v>
      </c>
      <c r="G760" t="s">
        <v>125</v>
      </c>
      <c r="J760" t="s">
        <v>123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"06:14:11.398"</f>
        <v>06:14:11.398</v>
      </c>
      <c r="T760" t="str">
        <f>"06:14:10.998"</f>
        <v>06:14:10.998</v>
      </c>
      <c r="U760" t="str">
        <f t="shared" si="34"/>
        <v>A7E2E0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591</v>
      </c>
      <c r="AJ760">
        <v>39.101500999999999</v>
      </c>
      <c r="AK760" t="s">
        <v>493</v>
      </c>
      <c r="AL760">
        <v>-87.480354000000005</v>
      </c>
      <c r="AM760">
        <v>100</v>
      </c>
      <c r="AN760">
        <v>2700</v>
      </c>
      <c r="AO760" t="s">
        <v>118</v>
      </c>
      <c r="AP760">
        <v>-29</v>
      </c>
      <c r="AQ760">
        <v>-144</v>
      </c>
      <c r="AR760">
        <v>320</v>
      </c>
      <c r="AZ760">
        <v>4552</v>
      </c>
      <c r="BA760">
        <v>1</v>
      </c>
      <c r="BB760" t="str">
        <f t="shared" si="35"/>
        <v xml:space="preserve">N607SR  </v>
      </c>
      <c r="BC760">
        <v>1</v>
      </c>
      <c r="BE760">
        <v>0</v>
      </c>
      <c r="BF760">
        <v>0</v>
      </c>
      <c r="BG760">
        <v>0</v>
      </c>
      <c r="BH760">
        <v>2550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"06:14:11.403"</f>
        <v>06:14:11.403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6</v>
      </c>
      <c r="CP760" t="s">
        <v>119</v>
      </c>
      <c r="CQ760">
        <v>457</v>
      </c>
      <c r="CR760">
        <v>0</v>
      </c>
      <c r="CW760">
        <v>15513062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"08/29/2020 06:14:08.211"</f>
        <v>08/29/2020 06:14:08.211</v>
      </c>
      <c r="C761" t="str">
        <f t="shared" si="33"/>
        <v>FFDFD3C0</v>
      </c>
      <c r="D761" t="s">
        <v>121</v>
      </c>
      <c r="E761">
        <v>13</v>
      </c>
      <c r="F761">
        <v>1013</v>
      </c>
      <c r="G761" t="s">
        <v>122</v>
      </c>
      <c r="J761" t="s">
        <v>123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"06:14:11.398"</f>
        <v>06:14:11.398</v>
      </c>
      <c r="T761" t="str">
        <f>"06:14:10.998"</f>
        <v>06:14:10.998</v>
      </c>
      <c r="U761" t="str">
        <f t="shared" si="34"/>
        <v>A7E2E0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591</v>
      </c>
      <c r="AJ761">
        <v>39.101500999999999</v>
      </c>
      <c r="AK761" t="s">
        <v>493</v>
      </c>
      <c r="AL761">
        <v>-87.480354000000005</v>
      </c>
      <c r="AM761">
        <v>100</v>
      </c>
      <c r="AN761">
        <v>2700</v>
      </c>
      <c r="AO761" t="s">
        <v>118</v>
      </c>
      <c r="AP761">
        <v>-29</v>
      </c>
      <c r="AQ761">
        <v>-144</v>
      </c>
      <c r="AR761">
        <v>320</v>
      </c>
      <c r="AZ761">
        <v>4552</v>
      </c>
      <c r="BA761">
        <v>1</v>
      </c>
      <c r="BB761" t="str">
        <f t="shared" si="35"/>
        <v xml:space="preserve">N607SR  </v>
      </c>
      <c r="BC761">
        <v>1</v>
      </c>
      <c r="BE761">
        <v>0</v>
      </c>
      <c r="BF761">
        <v>0</v>
      </c>
      <c r="BG761">
        <v>0</v>
      </c>
      <c r="BH761">
        <v>2550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"06:14:11.403"</f>
        <v>06:14:11.403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6</v>
      </c>
      <c r="CP761" t="s">
        <v>119</v>
      </c>
      <c r="CQ761">
        <v>517</v>
      </c>
      <c r="CR761">
        <v>1</v>
      </c>
      <c r="CW761">
        <v>2477864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"08/29/2020 06:14:08.662"</f>
        <v>08/29/2020 06:14:08.662</v>
      </c>
      <c r="C762" t="str">
        <f t="shared" si="33"/>
        <v>FFDFD3C0</v>
      </c>
      <c r="D762" t="s">
        <v>128</v>
      </c>
      <c r="E762">
        <v>5</v>
      </c>
      <c r="H762">
        <v>241</v>
      </c>
      <c r="I762" t="s">
        <v>129</v>
      </c>
      <c r="J762" t="s">
        <v>130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"06:14:11.891"</f>
        <v>06:14:11.891</v>
      </c>
      <c r="T762" t="str">
        <f>"06:14:11.491"</f>
        <v>06:14:11.491</v>
      </c>
      <c r="U762" t="str">
        <f t="shared" si="34"/>
        <v>A7E2E0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592</v>
      </c>
      <c r="AJ762">
        <v>39.101264</v>
      </c>
      <c r="AK762" t="s">
        <v>495</v>
      </c>
      <c r="AL762">
        <v>-87.480396999999996</v>
      </c>
      <c r="AM762">
        <v>100</v>
      </c>
      <c r="AN762">
        <v>2700</v>
      </c>
      <c r="AO762" t="s">
        <v>118</v>
      </c>
      <c r="AP762">
        <v>-31</v>
      </c>
      <c r="AQ762">
        <v>-144</v>
      </c>
      <c r="AR762">
        <v>320</v>
      </c>
      <c r="AZ762">
        <v>4552</v>
      </c>
      <c r="BA762">
        <v>1</v>
      </c>
      <c r="BB762" t="str">
        <f t="shared" si="35"/>
        <v xml:space="preserve">N607SR  </v>
      </c>
      <c r="BC762">
        <v>1</v>
      </c>
      <c r="BE762">
        <v>0</v>
      </c>
      <c r="BF762">
        <v>0</v>
      </c>
      <c r="BG762">
        <v>0</v>
      </c>
      <c r="BH762">
        <v>2550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"06:14:11.893"</f>
        <v>06:14:11.893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6</v>
      </c>
      <c r="CP762" t="s">
        <v>119</v>
      </c>
      <c r="CQ762">
        <v>457</v>
      </c>
      <c r="CR762">
        <v>0</v>
      </c>
      <c r="CW762">
        <v>15513075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"08/29/2020 06:14:08.662"</f>
        <v>08/29/2020 06:14:08.662</v>
      </c>
      <c r="C763" t="str">
        <f t="shared" si="33"/>
        <v>FFDFD3C0</v>
      </c>
      <c r="D763" t="s">
        <v>113</v>
      </c>
      <c r="E763">
        <v>5</v>
      </c>
      <c r="H763">
        <v>163</v>
      </c>
      <c r="I763" t="s">
        <v>114</v>
      </c>
      <c r="J763" t="s">
        <v>115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"06:14:11.891"</f>
        <v>06:14:11.891</v>
      </c>
      <c r="T763" t="str">
        <f>"06:14:11.491"</f>
        <v>06:14:11.491</v>
      </c>
      <c r="U763" t="str">
        <f t="shared" si="34"/>
        <v>A7E2E0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592</v>
      </c>
      <c r="AJ763">
        <v>39.101264</v>
      </c>
      <c r="AK763" t="s">
        <v>495</v>
      </c>
      <c r="AL763">
        <v>-87.480396999999996</v>
      </c>
      <c r="AM763">
        <v>100</v>
      </c>
      <c r="AN763">
        <v>2700</v>
      </c>
      <c r="AO763" t="s">
        <v>118</v>
      </c>
      <c r="AP763">
        <v>-31</v>
      </c>
      <c r="AQ763">
        <v>-144</v>
      </c>
      <c r="AR763">
        <v>320</v>
      </c>
      <c r="AZ763">
        <v>4552</v>
      </c>
      <c r="BA763">
        <v>1</v>
      </c>
      <c r="BB763" t="str">
        <f t="shared" si="35"/>
        <v xml:space="preserve">N607SR  </v>
      </c>
      <c r="BC763">
        <v>1</v>
      </c>
      <c r="BE763">
        <v>0</v>
      </c>
      <c r="BF763">
        <v>0</v>
      </c>
      <c r="BG763">
        <v>0</v>
      </c>
      <c r="BH763">
        <v>2550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"06:14:11.893"</f>
        <v>06:14:11.893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6</v>
      </c>
      <c r="CP763" t="s">
        <v>119</v>
      </c>
      <c r="CQ763">
        <v>457</v>
      </c>
      <c r="CR763">
        <v>0</v>
      </c>
      <c r="CW763">
        <v>15513075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"08/29/2020 06:14:09.122"</f>
        <v>08/29/2020 06:14:09.122</v>
      </c>
      <c r="C764" t="str">
        <f t="shared" si="33"/>
        <v>FFDFD3C0</v>
      </c>
      <c r="D764" t="s">
        <v>121</v>
      </c>
      <c r="E764">
        <v>10</v>
      </c>
      <c r="F764">
        <v>1010</v>
      </c>
      <c r="G764" t="s">
        <v>114</v>
      </c>
      <c r="J764" t="s">
        <v>123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"06:14:12.328"</f>
        <v>06:14:12.328</v>
      </c>
      <c r="U764" t="str">
        <f t="shared" si="34"/>
        <v>A7E2E0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593</v>
      </c>
      <c r="AJ764">
        <v>39.100943000000001</v>
      </c>
      <c r="AK764" t="s">
        <v>517</v>
      </c>
      <c r="AL764">
        <v>-87.480547000000001</v>
      </c>
      <c r="AM764">
        <v>100</v>
      </c>
      <c r="AN764">
        <v>2800</v>
      </c>
      <c r="AO764" t="s">
        <v>118</v>
      </c>
      <c r="AP764">
        <v>-33</v>
      </c>
      <c r="AQ764">
        <v>-144</v>
      </c>
      <c r="AR764">
        <v>256</v>
      </c>
      <c r="AZ764">
        <v>4552</v>
      </c>
      <c r="BA764">
        <v>1</v>
      </c>
      <c r="BB764" t="str">
        <f t="shared" si="35"/>
        <v xml:space="preserve">N607SR  </v>
      </c>
      <c r="BC764">
        <v>1</v>
      </c>
      <c r="BE764">
        <v>0</v>
      </c>
      <c r="BF764">
        <v>0</v>
      </c>
      <c r="BG764">
        <v>0</v>
      </c>
      <c r="BH764">
        <v>2575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"06:14:12.334"</f>
        <v>06:14:12.334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6</v>
      </c>
      <c r="CP764" t="s">
        <v>119</v>
      </c>
      <c r="CQ764">
        <v>457</v>
      </c>
      <c r="CR764">
        <v>0</v>
      </c>
      <c r="CW764">
        <v>15513088</v>
      </c>
      <c r="CY764">
        <v>1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"08/29/2020 06:14:09.122"</f>
        <v>08/29/2020 06:14:09.122</v>
      </c>
      <c r="C765" t="str">
        <f t="shared" si="33"/>
        <v>FFDFD3C0</v>
      </c>
      <c r="D765" t="s">
        <v>121</v>
      </c>
      <c r="E765">
        <v>11</v>
      </c>
      <c r="F765">
        <v>1011</v>
      </c>
      <c r="G765" t="s">
        <v>125</v>
      </c>
      <c r="J765" t="s">
        <v>123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"06:14:12.328"</f>
        <v>06:14:12.328</v>
      </c>
      <c r="U765" t="str">
        <f t="shared" si="34"/>
        <v>A7E2E0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593</v>
      </c>
      <c r="AJ765">
        <v>39.100943000000001</v>
      </c>
      <c r="AK765" t="s">
        <v>517</v>
      </c>
      <c r="AL765">
        <v>-87.480547000000001</v>
      </c>
      <c r="AM765">
        <v>100</v>
      </c>
      <c r="AN765">
        <v>2800</v>
      </c>
      <c r="AO765" t="s">
        <v>118</v>
      </c>
      <c r="AP765">
        <v>-33</v>
      </c>
      <c r="AQ765">
        <v>-144</v>
      </c>
      <c r="AR765">
        <v>256</v>
      </c>
      <c r="AZ765">
        <v>4552</v>
      </c>
      <c r="BA765">
        <v>1</v>
      </c>
      <c r="BB765" t="str">
        <f t="shared" si="35"/>
        <v xml:space="preserve">N607SR  </v>
      </c>
      <c r="BC765">
        <v>1</v>
      </c>
      <c r="BE765">
        <v>0</v>
      </c>
      <c r="BF765">
        <v>0</v>
      </c>
      <c r="BG765">
        <v>0</v>
      </c>
      <c r="BH765">
        <v>2575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"06:14:12.334"</f>
        <v>06:14:12.334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119</v>
      </c>
      <c r="CQ765">
        <v>457</v>
      </c>
      <c r="CR765">
        <v>0</v>
      </c>
      <c r="CW765">
        <v>15513088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"08/29/2020 06:14:09.122"</f>
        <v>08/29/2020 06:14:09.122</v>
      </c>
      <c r="C766" t="str">
        <f t="shared" si="33"/>
        <v>FFDFD3C0</v>
      </c>
      <c r="D766" t="s">
        <v>121</v>
      </c>
      <c r="E766">
        <v>13</v>
      </c>
      <c r="F766">
        <v>1013</v>
      </c>
      <c r="G766" t="s">
        <v>122</v>
      </c>
      <c r="J766" t="s">
        <v>123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"06:14:12.328"</f>
        <v>06:14:12.328</v>
      </c>
      <c r="U766" t="str">
        <f t="shared" si="34"/>
        <v>A7E2E0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593</v>
      </c>
      <c r="AJ766">
        <v>39.100943000000001</v>
      </c>
      <c r="AK766" t="s">
        <v>517</v>
      </c>
      <c r="AL766">
        <v>-87.480547000000001</v>
      </c>
      <c r="AM766">
        <v>100</v>
      </c>
      <c r="AN766">
        <v>2800</v>
      </c>
      <c r="AO766" t="s">
        <v>118</v>
      </c>
      <c r="AP766">
        <v>-33</v>
      </c>
      <c r="AQ766">
        <v>-144</v>
      </c>
      <c r="AR766">
        <v>256</v>
      </c>
      <c r="AZ766">
        <v>4552</v>
      </c>
      <c r="BA766">
        <v>1</v>
      </c>
      <c r="BB766" t="str">
        <f t="shared" si="35"/>
        <v xml:space="preserve">N607SR  </v>
      </c>
      <c r="BC766">
        <v>1</v>
      </c>
      <c r="BE766">
        <v>0</v>
      </c>
      <c r="BF766">
        <v>0</v>
      </c>
      <c r="BG766">
        <v>0</v>
      </c>
      <c r="BH766">
        <v>2575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"06:14:12.334"</f>
        <v>06:14:12.334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6</v>
      </c>
      <c r="CP766" t="s">
        <v>119</v>
      </c>
      <c r="CQ766">
        <v>457</v>
      </c>
      <c r="CR766">
        <v>0</v>
      </c>
      <c r="CW766">
        <v>15513088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"08/29/2020 06:14:09.523"</f>
        <v>08/29/2020 06:14:09.523</v>
      </c>
      <c r="C767" t="str">
        <f t="shared" si="33"/>
        <v>FFDFD3C0</v>
      </c>
      <c r="D767" t="s">
        <v>128</v>
      </c>
      <c r="E767">
        <v>5</v>
      </c>
      <c r="H767">
        <v>241</v>
      </c>
      <c r="I767" t="s">
        <v>129</v>
      </c>
      <c r="J767" t="s">
        <v>130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"06:14:12.758"</f>
        <v>06:14:12.758</v>
      </c>
      <c r="U767" t="str">
        <f t="shared" si="34"/>
        <v>A7E2E0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594</v>
      </c>
      <c r="AJ767">
        <v>39.100664000000002</v>
      </c>
      <c r="AK767" t="s">
        <v>503</v>
      </c>
      <c r="AL767">
        <v>-87.480611999999994</v>
      </c>
      <c r="AM767">
        <v>100</v>
      </c>
      <c r="AN767">
        <v>2800</v>
      </c>
      <c r="AO767" t="s">
        <v>118</v>
      </c>
      <c r="AP767">
        <v>-34</v>
      </c>
      <c r="AQ767">
        <v>-144</v>
      </c>
      <c r="AR767">
        <v>256</v>
      </c>
      <c r="AZ767">
        <v>4552</v>
      </c>
      <c r="BA767">
        <v>1</v>
      </c>
      <c r="BB767" t="str">
        <f t="shared" si="35"/>
        <v xml:space="preserve">N607SR  </v>
      </c>
      <c r="BC767">
        <v>1</v>
      </c>
      <c r="BE767">
        <v>0</v>
      </c>
      <c r="BF767">
        <v>0</v>
      </c>
      <c r="BG767">
        <v>0</v>
      </c>
      <c r="BH767">
        <v>2575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"06:14:12.765"</f>
        <v>06:14:12.765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6</v>
      </c>
      <c r="CP767" t="s">
        <v>119</v>
      </c>
      <c r="CQ767">
        <v>457</v>
      </c>
      <c r="CR767">
        <v>0</v>
      </c>
      <c r="CW767">
        <v>15513101</v>
      </c>
      <c r="CY767">
        <v>1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"08/29/2020 06:14:09.523"</f>
        <v>08/29/2020 06:14:09.523</v>
      </c>
      <c r="C768" t="str">
        <f t="shared" si="33"/>
        <v>FFDFD3C0</v>
      </c>
      <c r="D768" t="s">
        <v>113</v>
      </c>
      <c r="E768">
        <v>5</v>
      </c>
      <c r="H768">
        <v>163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"06:14:12.758"</f>
        <v>06:14:12.758</v>
      </c>
      <c r="U768" t="str">
        <f t="shared" si="34"/>
        <v>A7E2E0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594</v>
      </c>
      <c r="AJ768">
        <v>39.100664000000002</v>
      </c>
      <c r="AK768" t="s">
        <v>503</v>
      </c>
      <c r="AL768">
        <v>-87.480611999999994</v>
      </c>
      <c r="AM768">
        <v>100</v>
      </c>
      <c r="AN768">
        <v>2800</v>
      </c>
      <c r="AO768" t="s">
        <v>118</v>
      </c>
      <c r="AP768">
        <v>-34</v>
      </c>
      <c r="AQ768">
        <v>-144</v>
      </c>
      <c r="AR768">
        <v>256</v>
      </c>
      <c r="AZ768">
        <v>4552</v>
      </c>
      <c r="BA768">
        <v>1</v>
      </c>
      <c r="BB768" t="str">
        <f t="shared" si="35"/>
        <v xml:space="preserve">N607SR  </v>
      </c>
      <c r="BC768">
        <v>1</v>
      </c>
      <c r="BE768">
        <v>0</v>
      </c>
      <c r="BF768">
        <v>0</v>
      </c>
      <c r="BG768">
        <v>0</v>
      </c>
      <c r="BH768">
        <v>2575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"06:14:12.765"</f>
        <v>06:14:12.765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6</v>
      </c>
      <c r="CP768" t="s">
        <v>119</v>
      </c>
      <c r="CQ768">
        <v>457</v>
      </c>
      <c r="CR768">
        <v>0</v>
      </c>
      <c r="CW768">
        <v>15513101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"08/29/2020 06:14:10.133"</f>
        <v>08/29/2020 06:14:10.133</v>
      </c>
      <c r="C769" t="str">
        <f t="shared" si="33"/>
        <v>FFDFD3C0</v>
      </c>
      <c r="D769" t="s">
        <v>121</v>
      </c>
      <c r="E769">
        <v>10</v>
      </c>
      <c r="F769">
        <v>1010</v>
      </c>
      <c r="G769" t="s">
        <v>114</v>
      </c>
      <c r="J769" t="s">
        <v>123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"06:14:13.320"</f>
        <v>06:14:13.320</v>
      </c>
      <c r="T769" t="str">
        <f>"06:14:12.820"</f>
        <v>06:14:12.820</v>
      </c>
      <c r="U769" t="str">
        <f t="shared" si="34"/>
        <v>A7E2E0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595</v>
      </c>
      <c r="AJ769">
        <v>39.100256000000002</v>
      </c>
      <c r="AK769" t="s">
        <v>596</v>
      </c>
      <c r="AL769">
        <v>-87.480718999999993</v>
      </c>
      <c r="AM769">
        <v>100</v>
      </c>
      <c r="AN769">
        <v>2700</v>
      </c>
      <c r="AO769" t="s">
        <v>118</v>
      </c>
      <c r="AP769">
        <v>-34</v>
      </c>
      <c r="AQ769">
        <v>-144</v>
      </c>
      <c r="AR769">
        <v>256</v>
      </c>
      <c r="AZ769">
        <v>4552</v>
      </c>
      <c r="BA769">
        <v>1</v>
      </c>
      <c r="BB769" t="str">
        <f t="shared" si="35"/>
        <v xml:space="preserve">N607SR  </v>
      </c>
      <c r="BC769">
        <v>1</v>
      </c>
      <c r="BE769">
        <v>0</v>
      </c>
      <c r="BF769">
        <v>0</v>
      </c>
      <c r="BG769">
        <v>0</v>
      </c>
      <c r="BH769">
        <v>2475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"06:14:13.325"</f>
        <v>06:14:13.325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457</v>
      </c>
      <c r="CR769">
        <v>0</v>
      </c>
      <c r="CW769">
        <v>15513114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"08/29/2020 06:14:10.133"</f>
        <v>08/29/2020 06:14:10.133</v>
      </c>
      <c r="C770" t="str">
        <f t="shared" ref="C770:C833" si="36">"FFDFD3C0"</f>
        <v>FFDFD3C0</v>
      </c>
      <c r="D770" t="s">
        <v>121</v>
      </c>
      <c r="E770">
        <v>11</v>
      </c>
      <c r="F770">
        <v>1011</v>
      </c>
      <c r="G770" t="s">
        <v>125</v>
      </c>
      <c r="J770" t="s">
        <v>123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"06:14:13.320"</f>
        <v>06:14:13.320</v>
      </c>
      <c r="T770" t="str">
        <f>"06:14:12.820"</f>
        <v>06:14:12.820</v>
      </c>
      <c r="U770" t="str">
        <f t="shared" ref="U770:U833" si="37">"A7E2E0"</f>
        <v>A7E2E0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595</v>
      </c>
      <c r="AJ770">
        <v>39.100256000000002</v>
      </c>
      <c r="AK770" t="s">
        <v>596</v>
      </c>
      <c r="AL770">
        <v>-87.480718999999993</v>
      </c>
      <c r="AM770">
        <v>100</v>
      </c>
      <c r="AN770">
        <v>2700</v>
      </c>
      <c r="AO770" t="s">
        <v>118</v>
      </c>
      <c r="AP770">
        <v>-34</v>
      </c>
      <c r="AQ770">
        <v>-144</v>
      </c>
      <c r="AR770">
        <v>256</v>
      </c>
      <c r="AZ770">
        <v>4552</v>
      </c>
      <c r="BA770">
        <v>1</v>
      </c>
      <c r="BB770" t="str">
        <f t="shared" ref="BB770:BB833" si="38">"N607SR  "</f>
        <v xml:space="preserve">N607SR  </v>
      </c>
      <c r="BC770">
        <v>1</v>
      </c>
      <c r="BE770">
        <v>0</v>
      </c>
      <c r="BF770">
        <v>0</v>
      </c>
      <c r="BG770">
        <v>0</v>
      </c>
      <c r="BH770">
        <v>2475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"06:14:13.325"</f>
        <v>06:14:13.325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6</v>
      </c>
      <c r="CP770" t="s">
        <v>119</v>
      </c>
      <c r="CQ770">
        <v>457</v>
      </c>
      <c r="CR770">
        <v>0</v>
      </c>
      <c r="CW770">
        <v>15513114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"08/29/2020 06:14:10.133"</f>
        <v>08/29/2020 06:14:10.133</v>
      </c>
      <c r="C771" t="str">
        <f t="shared" si="36"/>
        <v>FFDFD3C0</v>
      </c>
      <c r="D771" t="s">
        <v>121</v>
      </c>
      <c r="E771">
        <v>13</v>
      </c>
      <c r="F771">
        <v>1013</v>
      </c>
      <c r="G771" t="s">
        <v>122</v>
      </c>
      <c r="J771" t="s">
        <v>123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"06:14:13.320"</f>
        <v>06:14:13.320</v>
      </c>
      <c r="T771" t="str">
        <f>"06:14:12.820"</f>
        <v>06:14:12.820</v>
      </c>
      <c r="U771" t="str">
        <f t="shared" si="37"/>
        <v>A7E2E0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595</v>
      </c>
      <c r="AJ771">
        <v>39.100256000000002</v>
      </c>
      <c r="AK771" t="s">
        <v>596</v>
      </c>
      <c r="AL771">
        <v>-87.480718999999993</v>
      </c>
      <c r="AM771">
        <v>100</v>
      </c>
      <c r="AN771">
        <v>2700</v>
      </c>
      <c r="AO771" t="s">
        <v>118</v>
      </c>
      <c r="AP771">
        <v>-34</v>
      </c>
      <c r="AQ771">
        <v>-144</v>
      </c>
      <c r="AR771">
        <v>256</v>
      </c>
      <c r="AZ771">
        <v>4552</v>
      </c>
      <c r="BA771">
        <v>1</v>
      </c>
      <c r="BB771" t="str">
        <f t="shared" si="38"/>
        <v xml:space="preserve">N607SR  </v>
      </c>
      <c r="BC771">
        <v>1</v>
      </c>
      <c r="BE771">
        <v>0</v>
      </c>
      <c r="BF771">
        <v>0</v>
      </c>
      <c r="BG771">
        <v>0</v>
      </c>
      <c r="BH771">
        <v>2475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"06:14:13.325"</f>
        <v>06:14:13.325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6</v>
      </c>
      <c r="CP771" t="s">
        <v>119</v>
      </c>
      <c r="CQ771">
        <v>457</v>
      </c>
      <c r="CR771">
        <v>0</v>
      </c>
      <c r="CW771">
        <v>15513114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"08/29/2020 06:14:10.634"</f>
        <v>08/29/2020 06:14:10.634</v>
      </c>
      <c r="C772" t="str">
        <f t="shared" si="36"/>
        <v>FFDFD3C0</v>
      </c>
      <c r="D772" t="s">
        <v>128</v>
      </c>
      <c r="E772">
        <v>5</v>
      </c>
      <c r="H772">
        <v>241</v>
      </c>
      <c r="I772" t="s">
        <v>129</v>
      </c>
      <c r="J772" t="s">
        <v>130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"06:14:13.867"</f>
        <v>06:14:13.867</v>
      </c>
      <c r="U772" t="str">
        <f t="shared" si="37"/>
        <v>A7E2E0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597</v>
      </c>
      <c r="AJ772">
        <v>39.099913000000001</v>
      </c>
      <c r="AK772" t="s">
        <v>598</v>
      </c>
      <c r="AL772">
        <v>-87.480825999999993</v>
      </c>
      <c r="AM772">
        <v>100</v>
      </c>
      <c r="AN772">
        <v>2800</v>
      </c>
      <c r="AO772" t="s">
        <v>118</v>
      </c>
      <c r="AP772">
        <v>-37</v>
      </c>
      <c r="AQ772">
        <v>-144</v>
      </c>
      <c r="AR772">
        <v>192</v>
      </c>
      <c r="AZ772">
        <v>4552</v>
      </c>
      <c r="BA772">
        <v>1</v>
      </c>
      <c r="BB772" t="str">
        <f t="shared" si="38"/>
        <v xml:space="preserve">N607SR  </v>
      </c>
      <c r="BC772">
        <v>1</v>
      </c>
      <c r="BE772">
        <v>0</v>
      </c>
      <c r="BF772">
        <v>0</v>
      </c>
      <c r="BG772">
        <v>0</v>
      </c>
      <c r="BH772">
        <v>2575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"06:14:13.871"</f>
        <v>06:14:13.871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6</v>
      </c>
      <c r="CP772" t="s">
        <v>119</v>
      </c>
      <c r="CQ772">
        <v>517</v>
      </c>
      <c r="CR772">
        <v>1</v>
      </c>
      <c r="CW772">
        <v>2477942</v>
      </c>
      <c r="CY772">
        <v>1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"08/29/2020 06:14:10.634"</f>
        <v>08/29/2020 06:14:10.634</v>
      </c>
      <c r="C773" t="str">
        <f t="shared" si="36"/>
        <v>FFDFD3C0</v>
      </c>
      <c r="D773" t="s">
        <v>113</v>
      </c>
      <c r="E773">
        <v>5</v>
      </c>
      <c r="H773">
        <v>163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"06:14:13.867"</f>
        <v>06:14:13.867</v>
      </c>
      <c r="U773" t="str">
        <f t="shared" si="37"/>
        <v>A7E2E0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597</v>
      </c>
      <c r="AJ773">
        <v>39.099913000000001</v>
      </c>
      <c r="AK773" t="s">
        <v>598</v>
      </c>
      <c r="AL773">
        <v>-87.480825999999993</v>
      </c>
      <c r="AM773">
        <v>100</v>
      </c>
      <c r="AN773">
        <v>2800</v>
      </c>
      <c r="AO773" t="s">
        <v>118</v>
      </c>
      <c r="AP773">
        <v>-37</v>
      </c>
      <c r="AQ773">
        <v>-144</v>
      </c>
      <c r="AR773">
        <v>192</v>
      </c>
      <c r="AZ773">
        <v>4552</v>
      </c>
      <c r="BA773">
        <v>1</v>
      </c>
      <c r="BB773" t="str">
        <f t="shared" si="38"/>
        <v xml:space="preserve">N607SR  </v>
      </c>
      <c r="BC773">
        <v>1</v>
      </c>
      <c r="BE773">
        <v>0</v>
      </c>
      <c r="BF773">
        <v>0</v>
      </c>
      <c r="BG773">
        <v>0</v>
      </c>
      <c r="BH773">
        <v>2575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"06:14:13.871"</f>
        <v>06:14:13.871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6</v>
      </c>
      <c r="CP773" t="s">
        <v>119</v>
      </c>
      <c r="CQ773">
        <v>517</v>
      </c>
      <c r="CR773">
        <v>1</v>
      </c>
      <c r="CW773">
        <v>2477942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"08/29/2020 06:14:11.194"</f>
        <v>08/29/2020 06:14:11.194</v>
      </c>
      <c r="C774" t="str">
        <f t="shared" si="36"/>
        <v>FFDFD3C0</v>
      </c>
      <c r="D774" t="s">
        <v>121</v>
      </c>
      <c r="E774">
        <v>10</v>
      </c>
      <c r="F774">
        <v>1010</v>
      </c>
      <c r="G774" t="s">
        <v>114</v>
      </c>
      <c r="J774" t="s">
        <v>123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"06:14:14.391"</f>
        <v>06:14:14.391</v>
      </c>
      <c r="T774" t="str">
        <f>"06:14:13.891"</f>
        <v>06:14:13.891</v>
      </c>
      <c r="U774" t="str">
        <f t="shared" si="37"/>
        <v>A7E2E0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599</v>
      </c>
      <c r="AJ774">
        <v>39.099569000000002</v>
      </c>
      <c r="AK774" t="s">
        <v>600</v>
      </c>
      <c r="AL774">
        <v>-87.480976999999996</v>
      </c>
      <c r="AM774">
        <v>100</v>
      </c>
      <c r="AN774">
        <v>2800</v>
      </c>
      <c r="AO774" t="s">
        <v>118</v>
      </c>
      <c r="AP774">
        <v>-37</v>
      </c>
      <c r="AQ774">
        <v>-144</v>
      </c>
      <c r="AR774">
        <v>192</v>
      </c>
      <c r="AZ774">
        <v>4552</v>
      </c>
      <c r="BA774">
        <v>1</v>
      </c>
      <c r="BB774" t="str">
        <f t="shared" si="38"/>
        <v xml:space="preserve">N607SR  </v>
      </c>
      <c r="BC774">
        <v>1</v>
      </c>
      <c r="BE774">
        <v>0</v>
      </c>
      <c r="BF774">
        <v>0</v>
      </c>
      <c r="BG774">
        <v>0</v>
      </c>
      <c r="BH774">
        <v>2575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"06:14:14.398"</f>
        <v>06:14:14.398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6</v>
      </c>
      <c r="CP774" t="s">
        <v>119</v>
      </c>
      <c r="CQ774">
        <v>177</v>
      </c>
      <c r="CR774">
        <v>2</v>
      </c>
      <c r="CW774">
        <v>1624396</v>
      </c>
      <c r="CY774">
        <v>1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"08/29/2020 06:14:11.194"</f>
        <v>08/29/2020 06:14:11.194</v>
      </c>
      <c r="C775" t="str">
        <f t="shared" si="36"/>
        <v>FFDFD3C0</v>
      </c>
      <c r="D775" t="s">
        <v>121</v>
      </c>
      <c r="E775">
        <v>11</v>
      </c>
      <c r="F775">
        <v>1011</v>
      </c>
      <c r="G775" t="s">
        <v>125</v>
      </c>
      <c r="J775" t="s">
        <v>123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"06:14:14.391"</f>
        <v>06:14:14.391</v>
      </c>
      <c r="T775" t="str">
        <f>"06:14:13.891"</f>
        <v>06:14:13.891</v>
      </c>
      <c r="U775" t="str">
        <f t="shared" si="37"/>
        <v>A7E2E0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599</v>
      </c>
      <c r="AJ775">
        <v>39.099569000000002</v>
      </c>
      <c r="AK775" t="s">
        <v>600</v>
      </c>
      <c r="AL775">
        <v>-87.480976999999996</v>
      </c>
      <c r="AM775">
        <v>100</v>
      </c>
      <c r="AN775">
        <v>2800</v>
      </c>
      <c r="AO775" t="s">
        <v>118</v>
      </c>
      <c r="AP775">
        <v>-37</v>
      </c>
      <c r="AQ775">
        <v>-144</v>
      </c>
      <c r="AR775">
        <v>192</v>
      </c>
      <c r="AZ775">
        <v>4552</v>
      </c>
      <c r="BA775">
        <v>1</v>
      </c>
      <c r="BB775" t="str">
        <f t="shared" si="38"/>
        <v xml:space="preserve">N607SR  </v>
      </c>
      <c r="BC775">
        <v>1</v>
      </c>
      <c r="BE775">
        <v>0</v>
      </c>
      <c r="BF775">
        <v>0</v>
      </c>
      <c r="BG775">
        <v>0</v>
      </c>
      <c r="BH775">
        <v>2575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"06:14:14.398"</f>
        <v>06:14:14.398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6</v>
      </c>
      <c r="CP775" t="s">
        <v>119</v>
      </c>
      <c r="CQ775">
        <v>177</v>
      </c>
      <c r="CR775">
        <v>2</v>
      </c>
      <c r="CW775">
        <v>1624396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"08/29/2020 06:14:11.194"</f>
        <v>08/29/2020 06:14:11.194</v>
      </c>
      <c r="C776" t="str">
        <f t="shared" si="36"/>
        <v>FFDFD3C0</v>
      </c>
      <c r="D776" t="s">
        <v>121</v>
      </c>
      <c r="E776">
        <v>13</v>
      </c>
      <c r="F776">
        <v>1013</v>
      </c>
      <c r="G776" t="s">
        <v>122</v>
      </c>
      <c r="J776" t="s">
        <v>123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"06:14:14.391"</f>
        <v>06:14:14.391</v>
      </c>
      <c r="T776" t="str">
        <f>"06:14:13.891"</f>
        <v>06:14:13.891</v>
      </c>
      <c r="U776" t="str">
        <f t="shared" si="37"/>
        <v>A7E2E0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599</v>
      </c>
      <c r="AJ776">
        <v>39.099569000000002</v>
      </c>
      <c r="AK776" t="s">
        <v>600</v>
      </c>
      <c r="AL776">
        <v>-87.480976999999996</v>
      </c>
      <c r="AM776">
        <v>100</v>
      </c>
      <c r="AN776">
        <v>2800</v>
      </c>
      <c r="AO776" t="s">
        <v>118</v>
      </c>
      <c r="AP776">
        <v>-37</v>
      </c>
      <c r="AQ776">
        <v>-144</v>
      </c>
      <c r="AR776">
        <v>192</v>
      </c>
      <c r="AZ776">
        <v>4552</v>
      </c>
      <c r="BA776">
        <v>1</v>
      </c>
      <c r="BB776" t="str">
        <f t="shared" si="38"/>
        <v xml:space="preserve">N607SR  </v>
      </c>
      <c r="BC776">
        <v>1</v>
      </c>
      <c r="BE776">
        <v>0</v>
      </c>
      <c r="BF776">
        <v>0</v>
      </c>
      <c r="BG776">
        <v>0</v>
      </c>
      <c r="BH776">
        <v>2575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"06:14:14.398"</f>
        <v>06:14:14.398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6</v>
      </c>
      <c r="CP776" t="s">
        <v>119</v>
      </c>
      <c r="CQ776">
        <v>177</v>
      </c>
      <c r="CR776">
        <v>2</v>
      </c>
      <c r="CW776">
        <v>1624396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"08/29/2020 06:14:11.599"</f>
        <v>08/29/2020 06:14:11.599</v>
      </c>
      <c r="C777" t="str">
        <f t="shared" si="36"/>
        <v>FFDFD3C0</v>
      </c>
      <c r="D777" t="s">
        <v>128</v>
      </c>
      <c r="E777">
        <v>5</v>
      </c>
      <c r="H777">
        <v>241</v>
      </c>
      <c r="I777" t="s">
        <v>129</v>
      </c>
      <c r="J777" t="s">
        <v>130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"06:14:14.805"</f>
        <v>06:14:14.805</v>
      </c>
      <c r="U777" t="str">
        <f t="shared" si="37"/>
        <v>A7E2E0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601</v>
      </c>
      <c r="AJ777">
        <v>39.099269</v>
      </c>
      <c r="AK777" t="s">
        <v>602</v>
      </c>
      <c r="AL777">
        <v>-87.481083999999996</v>
      </c>
      <c r="AM777">
        <v>100</v>
      </c>
      <c r="AN777">
        <v>2800</v>
      </c>
      <c r="AO777" t="s">
        <v>118</v>
      </c>
      <c r="AP777">
        <v>-40</v>
      </c>
      <c r="AQ777">
        <v>-144</v>
      </c>
      <c r="AR777">
        <v>192</v>
      </c>
      <c r="AZ777">
        <v>4552</v>
      </c>
      <c r="BA777">
        <v>1</v>
      </c>
      <c r="BB777" t="str">
        <f t="shared" si="38"/>
        <v xml:space="preserve">N607SR  </v>
      </c>
      <c r="BC777">
        <v>1</v>
      </c>
      <c r="BE777">
        <v>0</v>
      </c>
      <c r="BF777">
        <v>0</v>
      </c>
      <c r="BG777">
        <v>0</v>
      </c>
      <c r="BH777">
        <v>2575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"06:14:14.811"</f>
        <v>06:14:14.811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6</v>
      </c>
      <c r="CP777" t="s">
        <v>119</v>
      </c>
      <c r="CQ777">
        <v>457</v>
      </c>
      <c r="CR777">
        <v>0</v>
      </c>
      <c r="CW777">
        <v>15513152</v>
      </c>
      <c r="CY777">
        <v>1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"08/29/2020 06:14:11.599"</f>
        <v>08/29/2020 06:14:11.599</v>
      </c>
      <c r="C778" t="str">
        <f t="shared" si="36"/>
        <v>FFDFD3C0</v>
      </c>
      <c r="D778" t="s">
        <v>113</v>
      </c>
      <c r="E778">
        <v>5</v>
      </c>
      <c r="H778">
        <v>163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"06:14:14.805"</f>
        <v>06:14:14.805</v>
      </c>
      <c r="U778" t="str">
        <f t="shared" si="37"/>
        <v>A7E2E0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601</v>
      </c>
      <c r="AJ778">
        <v>39.099269</v>
      </c>
      <c r="AK778" t="s">
        <v>602</v>
      </c>
      <c r="AL778">
        <v>-87.481083999999996</v>
      </c>
      <c r="AM778">
        <v>100</v>
      </c>
      <c r="AN778">
        <v>2800</v>
      </c>
      <c r="AO778" t="s">
        <v>118</v>
      </c>
      <c r="AP778">
        <v>-40</v>
      </c>
      <c r="AQ778">
        <v>-144</v>
      </c>
      <c r="AR778">
        <v>192</v>
      </c>
      <c r="AZ778">
        <v>4552</v>
      </c>
      <c r="BA778">
        <v>1</v>
      </c>
      <c r="BB778" t="str">
        <f t="shared" si="38"/>
        <v xml:space="preserve">N607SR  </v>
      </c>
      <c r="BC778">
        <v>1</v>
      </c>
      <c r="BE778">
        <v>0</v>
      </c>
      <c r="BF778">
        <v>0</v>
      </c>
      <c r="BG778">
        <v>0</v>
      </c>
      <c r="BH778">
        <v>2575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"06:14:14.811"</f>
        <v>06:14:14.811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6</v>
      </c>
      <c r="CP778" t="s">
        <v>119</v>
      </c>
      <c r="CQ778">
        <v>457</v>
      </c>
      <c r="CR778">
        <v>0</v>
      </c>
      <c r="CW778">
        <v>15513152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"08/29/2020 06:14:12.122"</f>
        <v>08/29/2020 06:14:12.122</v>
      </c>
      <c r="C779" t="str">
        <f t="shared" si="36"/>
        <v>FFDFD3C0</v>
      </c>
      <c r="D779" t="s">
        <v>121</v>
      </c>
      <c r="E779">
        <v>13</v>
      </c>
      <c r="F779">
        <v>1013</v>
      </c>
      <c r="G779" t="s">
        <v>122</v>
      </c>
      <c r="J779" t="s">
        <v>123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"06:14:15.344"</f>
        <v>06:14:15.344</v>
      </c>
      <c r="T779" t="str">
        <f>"06:14:14.844"</f>
        <v>06:14:14.844</v>
      </c>
      <c r="U779" t="str">
        <f t="shared" si="37"/>
        <v>A7E2E0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603</v>
      </c>
      <c r="AJ779">
        <v>39.098925999999999</v>
      </c>
      <c r="AK779" t="s">
        <v>604</v>
      </c>
      <c r="AL779">
        <v>-87.481212999999997</v>
      </c>
      <c r="AM779">
        <v>100</v>
      </c>
      <c r="AN779">
        <v>2700</v>
      </c>
      <c r="AO779" t="s">
        <v>118</v>
      </c>
      <c r="AP779">
        <v>-40</v>
      </c>
      <c r="AQ779">
        <v>-144</v>
      </c>
      <c r="AR779">
        <v>192</v>
      </c>
      <c r="AZ779">
        <v>4552</v>
      </c>
      <c r="BA779">
        <v>1</v>
      </c>
      <c r="BB779" t="str">
        <f t="shared" si="38"/>
        <v xml:space="preserve">N607SR  </v>
      </c>
      <c r="BC779">
        <v>1</v>
      </c>
      <c r="BE779">
        <v>0</v>
      </c>
      <c r="BF779">
        <v>0</v>
      </c>
      <c r="BG779">
        <v>0</v>
      </c>
      <c r="BH779">
        <v>2475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"06:14:15.345"</f>
        <v>06:14:15.345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6</v>
      </c>
      <c r="CP779" t="s">
        <v>119</v>
      </c>
      <c r="CQ779">
        <v>457</v>
      </c>
      <c r="CR779">
        <v>0</v>
      </c>
      <c r="CW779">
        <v>15513167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"08/29/2020 06:14:12.122"</f>
        <v>08/29/2020 06:14:12.122</v>
      </c>
      <c r="C780" t="str">
        <f t="shared" si="36"/>
        <v>FFDFD3C0</v>
      </c>
      <c r="D780" t="s">
        <v>121</v>
      </c>
      <c r="E780">
        <v>10</v>
      </c>
      <c r="F780">
        <v>1010</v>
      </c>
      <c r="G780" t="s">
        <v>114</v>
      </c>
      <c r="J780" t="s">
        <v>123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"06:14:15.344"</f>
        <v>06:14:15.344</v>
      </c>
      <c r="T780" t="str">
        <f>"06:14:14.844"</f>
        <v>06:14:14.844</v>
      </c>
      <c r="U780" t="str">
        <f t="shared" si="37"/>
        <v>A7E2E0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603</v>
      </c>
      <c r="AJ780">
        <v>39.098925999999999</v>
      </c>
      <c r="AK780" t="s">
        <v>604</v>
      </c>
      <c r="AL780">
        <v>-87.481212999999997</v>
      </c>
      <c r="AM780">
        <v>100</v>
      </c>
      <c r="AN780">
        <v>2700</v>
      </c>
      <c r="AO780" t="s">
        <v>118</v>
      </c>
      <c r="AP780">
        <v>-40</v>
      </c>
      <c r="AQ780">
        <v>-144</v>
      </c>
      <c r="AR780">
        <v>192</v>
      </c>
      <c r="AZ780">
        <v>4552</v>
      </c>
      <c r="BA780">
        <v>1</v>
      </c>
      <c r="BB780" t="str">
        <f t="shared" si="38"/>
        <v xml:space="preserve">N607SR  </v>
      </c>
      <c r="BC780">
        <v>1</v>
      </c>
      <c r="BE780">
        <v>0</v>
      </c>
      <c r="BF780">
        <v>0</v>
      </c>
      <c r="BG780">
        <v>0</v>
      </c>
      <c r="BH780">
        <v>2475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"06:14:15.345"</f>
        <v>06:14:15.345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6</v>
      </c>
      <c r="CP780" t="s">
        <v>119</v>
      </c>
      <c r="CQ780">
        <v>457</v>
      </c>
      <c r="CR780">
        <v>0</v>
      </c>
      <c r="CW780">
        <v>15513167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"08/29/2020 06:14:12.122"</f>
        <v>08/29/2020 06:14:12.122</v>
      </c>
      <c r="C781" t="str">
        <f t="shared" si="36"/>
        <v>FFDFD3C0</v>
      </c>
      <c r="D781" t="s">
        <v>121</v>
      </c>
      <c r="E781">
        <v>11</v>
      </c>
      <c r="F781">
        <v>1011</v>
      </c>
      <c r="G781" t="s">
        <v>125</v>
      </c>
      <c r="J781" t="s">
        <v>123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"06:14:15.344"</f>
        <v>06:14:15.344</v>
      </c>
      <c r="T781" t="str">
        <f>"06:14:14.844"</f>
        <v>06:14:14.844</v>
      </c>
      <c r="U781" t="str">
        <f t="shared" si="37"/>
        <v>A7E2E0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603</v>
      </c>
      <c r="AJ781">
        <v>39.098925999999999</v>
      </c>
      <c r="AK781" t="s">
        <v>604</v>
      </c>
      <c r="AL781">
        <v>-87.481212999999997</v>
      </c>
      <c r="AM781">
        <v>100</v>
      </c>
      <c r="AN781">
        <v>2700</v>
      </c>
      <c r="AO781" t="s">
        <v>118</v>
      </c>
      <c r="AP781">
        <v>-40</v>
      </c>
      <c r="AQ781">
        <v>-144</v>
      </c>
      <c r="AR781">
        <v>192</v>
      </c>
      <c r="AZ781">
        <v>4552</v>
      </c>
      <c r="BA781">
        <v>1</v>
      </c>
      <c r="BB781" t="str">
        <f t="shared" si="38"/>
        <v xml:space="preserve">N607SR  </v>
      </c>
      <c r="BC781">
        <v>1</v>
      </c>
      <c r="BE781">
        <v>0</v>
      </c>
      <c r="BF781">
        <v>0</v>
      </c>
      <c r="BG781">
        <v>0</v>
      </c>
      <c r="BH781">
        <v>2475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"06:14:15.345"</f>
        <v>06:14:15.345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457</v>
      </c>
      <c r="CR781">
        <v>0</v>
      </c>
      <c r="CW781">
        <v>15513167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"08/29/2020 06:14:12.611"</f>
        <v>08/29/2020 06:14:12.611</v>
      </c>
      <c r="C782" t="str">
        <f t="shared" si="36"/>
        <v>FFDFD3C0</v>
      </c>
      <c r="D782" t="s">
        <v>128</v>
      </c>
      <c r="E782">
        <v>5</v>
      </c>
      <c r="H782">
        <v>241</v>
      </c>
      <c r="I782" t="s">
        <v>129</v>
      </c>
      <c r="J782" t="s">
        <v>130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"06:14:15.820"</f>
        <v>06:14:15.820</v>
      </c>
      <c r="U782" t="str">
        <f t="shared" si="37"/>
        <v>A7E2E0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605</v>
      </c>
      <c r="AJ782">
        <v>39.098582</v>
      </c>
      <c r="AK782" t="s">
        <v>606</v>
      </c>
      <c r="AL782">
        <v>-87.481319999999997</v>
      </c>
      <c r="AM782">
        <v>100</v>
      </c>
      <c r="AN782">
        <v>2800</v>
      </c>
      <c r="AO782" t="s">
        <v>118</v>
      </c>
      <c r="AP782">
        <v>-43</v>
      </c>
      <c r="AQ782">
        <v>-144</v>
      </c>
      <c r="AR782">
        <v>128</v>
      </c>
      <c r="AZ782">
        <v>4552</v>
      </c>
      <c r="BA782">
        <v>1</v>
      </c>
      <c r="BB782" t="str">
        <f t="shared" si="38"/>
        <v xml:space="preserve">N607SR  </v>
      </c>
      <c r="BC782">
        <v>1</v>
      </c>
      <c r="BE782">
        <v>0</v>
      </c>
      <c r="BF782">
        <v>0</v>
      </c>
      <c r="BG782">
        <v>0</v>
      </c>
      <c r="BH782">
        <v>2575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"06:14:15.825"</f>
        <v>06:14:15.825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5</v>
      </c>
      <c r="CP782" t="s">
        <v>119</v>
      </c>
      <c r="CQ782">
        <v>465</v>
      </c>
      <c r="CR782">
        <v>0</v>
      </c>
      <c r="CW782">
        <v>4716918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"08/29/2020 06:14:12.611"</f>
        <v>08/29/2020 06:14:12.611</v>
      </c>
      <c r="C783" t="str">
        <f t="shared" si="36"/>
        <v>FFDFD3C0</v>
      </c>
      <c r="D783" t="s">
        <v>113</v>
      </c>
      <c r="E783">
        <v>5</v>
      </c>
      <c r="H783">
        <v>163</v>
      </c>
      <c r="I783" t="s">
        <v>114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"06:14:15.820"</f>
        <v>06:14:15.820</v>
      </c>
      <c r="U783" t="str">
        <f t="shared" si="37"/>
        <v>A7E2E0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605</v>
      </c>
      <c r="AJ783">
        <v>39.098582</v>
      </c>
      <c r="AK783" t="s">
        <v>606</v>
      </c>
      <c r="AL783">
        <v>-87.481319999999997</v>
      </c>
      <c r="AM783">
        <v>100</v>
      </c>
      <c r="AN783">
        <v>2800</v>
      </c>
      <c r="AO783" t="s">
        <v>118</v>
      </c>
      <c r="AP783">
        <v>-43</v>
      </c>
      <c r="AQ783">
        <v>-144</v>
      </c>
      <c r="AR783">
        <v>128</v>
      </c>
      <c r="AZ783">
        <v>4552</v>
      </c>
      <c r="BA783">
        <v>1</v>
      </c>
      <c r="BB783" t="str">
        <f t="shared" si="38"/>
        <v xml:space="preserve">N607SR  </v>
      </c>
      <c r="BC783">
        <v>1</v>
      </c>
      <c r="BE783">
        <v>0</v>
      </c>
      <c r="BF783">
        <v>0</v>
      </c>
      <c r="BG783">
        <v>0</v>
      </c>
      <c r="BH783">
        <v>2575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"06:14:15.825"</f>
        <v>06:14:15.825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5</v>
      </c>
      <c r="CP783" t="s">
        <v>119</v>
      </c>
      <c r="CQ783">
        <v>465</v>
      </c>
      <c r="CR783">
        <v>0</v>
      </c>
      <c r="CW783">
        <v>4716918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"08/29/2020 06:14:13.134"</f>
        <v>08/29/2020 06:14:13.134</v>
      </c>
      <c r="C784" t="str">
        <f t="shared" si="36"/>
        <v>FFDFD3C0</v>
      </c>
      <c r="D784" t="s">
        <v>121</v>
      </c>
      <c r="E784">
        <v>11</v>
      </c>
      <c r="F784">
        <v>1011</v>
      </c>
      <c r="G784" t="s">
        <v>125</v>
      </c>
      <c r="J784" t="s">
        <v>123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"06:14:16.336"</f>
        <v>06:14:16.336</v>
      </c>
      <c r="T784" t="str">
        <f>"06:14:15.836"</f>
        <v>06:14:15.836</v>
      </c>
      <c r="U784" t="str">
        <f t="shared" si="37"/>
        <v>A7E2E0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607</v>
      </c>
      <c r="AJ784">
        <v>39.098239</v>
      </c>
      <c r="AK784" t="s">
        <v>608</v>
      </c>
      <c r="AL784">
        <v>-87.481513000000007</v>
      </c>
      <c r="AM784">
        <v>100</v>
      </c>
      <c r="AN784">
        <v>2800</v>
      </c>
      <c r="AO784" t="s">
        <v>118</v>
      </c>
      <c r="AP784">
        <v>-43</v>
      </c>
      <c r="AQ784">
        <v>-144</v>
      </c>
      <c r="AR784">
        <v>128</v>
      </c>
      <c r="AZ784">
        <v>4552</v>
      </c>
      <c r="BA784">
        <v>1</v>
      </c>
      <c r="BB784" t="str">
        <f t="shared" si="38"/>
        <v xml:space="preserve">N607SR  </v>
      </c>
      <c r="BC784">
        <v>1</v>
      </c>
      <c r="BE784">
        <v>0</v>
      </c>
      <c r="BF784">
        <v>0</v>
      </c>
      <c r="BG784">
        <v>0</v>
      </c>
      <c r="BH784">
        <v>2575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"06:14:16.343"</f>
        <v>06:14:16.343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6</v>
      </c>
      <c r="CP784" t="s">
        <v>119</v>
      </c>
      <c r="CQ784">
        <v>457</v>
      </c>
      <c r="CR784">
        <v>0</v>
      </c>
      <c r="CW784">
        <v>15513193</v>
      </c>
      <c r="CY784">
        <v>1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"08/29/2020 06:14:13.134"</f>
        <v>08/29/2020 06:14:13.134</v>
      </c>
      <c r="C785" t="str">
        <f t="shared" si="36"/>
        <v>FFDFD3C0</v>
      </c>
      <c r="D785" t="s">
        <v>121</v>
      </c>
      <c r="E785">
        <v>13</v>
      </c>
      <c r="F785">
        <v>1013</v>
      </c>
      <c r="G785" t="s">
        <v>122</v>
      </c>
      <c r="J785" t="s">
        <v>123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"06:14:16.336"</f>
        <v>06:14:16.336</v>
      </c>
      <c r="T785" t="str">
        <f>"06:14:15.836"</f>
        <v>06:14:15.836</v>
      </c>
      <c r="U785" t="str">
        <f t="shared" si="37"/>
        <v>A7E2E0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607</v>
      </c>
      <c r="AJ785">
        <v>39.098239</v>
      </c>
      <c r="AK785" t="s">
        <v>608</v>
      </c>
      <c r="AL785">
        <v>-87.481513000000007</v>
      </c>
      <c r="AM785">
        <v>100</v>
      </c>
      <c r="AN785">
        <v>2800</v>
      </c>
      <c r="AO785" t="s">
        <v>118</v>
      </c>
      <c r="AP785">
        <v>-43</v>
      </c>
      <c r="AQ785">
        <v>-144</v>
      </c>
      <c r="AR785">
        <v>128</v>
      </c>
      <c r="AZ785">
        <v>4552</v>
      </c>
      <c r="BA785">
        <v>1</v>
      </c>
      <c r="BB785" t="str">
        <f t="shared" si="38"/>
        <v xml:space="preserve">N607SR  </v>
      </c>
      <c r="BC785">
        <v>1</v>
      </c>
      <c r="BE785">
        <v>0</v>
      </c>
      <c r="BF785">
        <v>0</v>
      </c>
      <c r="BG785">
        <v>0</v>
      </c>
      <c r="BH785">
        <v>2575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"06:14:16.343"</f>
        <v>06:14:16.343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6</v>
      </c>
      <c r="CP785" t="s">
        <v>119</v>
      </c>
      <c r="CQ785">
        <v>457</v>
      </c>
      <c r="CR785">
        <v>0</v>
      </c>
      <c r="CW785">
        <v>15513193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"08/29/2020 06:14:13.134"</f>
        <v>08/29/2020 06:14:13.134</v>
      </c>
      <c r="C786" t="str">
        <f t="shared" si="36"/>
        <v>FFDFD3C0</v>
      </c>
      <c r="D786" t="s">
        <v>121</v>
      </c>
      <c r="E786">
        <v>10</v>
      </c>
      <c r="F786">
        <v>1010</v>
      </c>
      <c r="G786" t="s">
        <v>114</v>
      </c>
      <c r="J786" t="s">
        <v>123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"06:14:16.336"</f>
        <v>06:14:16.336</v>
      </c>
      <c r="T786" t="str">
        <f>"06:14:15.836"</f>
        <v>06:14:15.836</v>
      </c>
      <c r="U786" t="str">
        <f t="shared" si="37"/>
        <v>A7E2E0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607</v>
      </c>
      <c r="AJ786">
        <v>39.098239</v>
      </c>
      <c r="AK786" t="s">
        <v>608</v>
      </c>
      <c r="AL786">
        <v>-87.481513000000007</v>
      </c>
      <c r="AM786">
        <v>100</v>
      </c>
      <c r="AN786">
        <v>2800</v>
      </c>
      <c r="AO786" t="s">
        <v>118</v>
      </c>
      <c r="AP786">
        <v>-43</v>
      </c>
      <c r="AQ786">
        <v>-144</v>
      </c>
      <c r="AR786">
        <v>128</v>
      </c>
      <c r="AZ786">
        <v>4552</v>
      </c>
      <c r="BA786">
        <v>1</v>
      </c>
      <c r="BB786" t="str">
        <f t="shared" si="38"/>
        <v xml:space="preserve">N607SR  </v>
      </c>
      <c r="BC786">
        <v>1</v>
      </c>
      <c r="BE786">
        <v>0</v>
      </c>
      <c r="BF786">
        <v>0</v>
      </c>
      <c r="BG786">
        <v>0</v>
      </c>
      <c r="BH786">
        <v>2575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"06:14:16.343"</f>
        <v>06:14:16.343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6</v>
      </c>
      <c r="CP786" t="s">
        <v>119</v>
      </c>
      <c r="CQ786">
        <v>457</v>
      </c>
      <c r="CR786">
        <v>0</v>
      </c>
      <c r="CW786">
        <v>15513193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"08/29/2020 06:14:13.576"</f>
        <v>08/29/2020 06:14:13.576</v>
      </c>
      <c r="C787" t="str">
        <f t="shared" si="36"/>
        <v>FFDFD3C0</v>
      </c>
      <c r="D787" t="s">
        <v>128</v>
      </c>
      <c r="E787">
        <v>5</v>
      </c>
      <c r="H787">
        <v>241</v>
      </c>
      <c r="I787" t="s">
        <v>129</v>
      </c>
      <c r="J787" t="s">
        <v>130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"06:14:16.766"</f>
        <v>06:14:16.766</v>
      </c>
      <c r="U787" t="str">
        <f t="shared" si="37"/>
        <v>A7E2E0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609</v>
      </c>
      <c r="AJ787">
        <v>39.09796</v>
      </c>
      <c r="AK787" t="s">
        <v>610</v>
      </c>
      <c r="AL787">
        <v>-87.481555999999998</v>
      </c>
      <c r="AM787">
        <v>100</v>
      </c>
      <c r="AN787">
        <v>2800</v>
      </c>
      <c r="AO787" t="s">
        <v>118</v>
      </c>
      <c r="AP787">
        <v>-45</v>
      </c>
      <c r="AQ787">
        <v>-144</v>
      </c>
      <c r="AR787">
        <v>128</v>
      </c>
      <c r="AZ787">
        <v>4552</v>
      </c>
      <c r="BA787">
        <v>1</v>
      </c>
      <c r="BB787" t="str">
        <f t="shared" si="38"/>
        <v xml:space="preserve">N607SR  </v>
      </c>
      <c r="BC787">
        <v>1</v>
      </c>
      <c r="BE787">
        <v>0</v>
      </c>
      <c r="BF787">
        <v>0</v>
      </c>
      <c r="BG787">
        <v>0</v>
      </c>
      <c r="BH787">
        <v>2575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"06:14:16.771"</f>
        <v>06:14:16.771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6</v>
      </c>
      <c r="CP787" t="s">
        <v>119</v>
      </c>
      <c r="CQ787">
        <v>457</v>
      </c>
      <c r="CR787">
        <v>0</v>
      </c>
      <c r="CW787">
        <v>15513204</v>
      </c>
      <c r="CY787">
        <v>1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"08/29/2020 06:14:13.576"</f>
        <v>08/29/2020 06:14:13.576</v>
      </c>
      <c r="C788" t="str">
        <f t="shared" si="36"/>
        <v>FFDFD3C0</v>
      </c>
      <c r="D788" t="s">
        <v>113</v>
      </c>
      <c r="E788">
        <v>5</v>
      </c>
      <c r="H788">
        <v>163</v>
      </c>
      <c r="I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"06:14:16.766"</f>
        <v>06:14:16.766</v>
      </c>
      <c r="U788" t="str">
        <f t="shared" si="37"/>
        <v>A7E2E0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609</v>
      </c>
      <c r="AJ788">
        <v>39.09796</v>
      </c>
      <c r="AK788" t="s">
        <v>610</v>
      </c>
      <c r="AL788">
        <v>-87.481555999999998</v>
      </c>
      <c r="AM788">
        <v>100</v>
      </c>
      <c r="AN788">
        <v>2800</v>
      </c>
      <c r="AO788" t="s">
        <v>118</v>
      </c>
      <c r="AP788">
        <v>-45</v>
      </c>
      <c r="AQ788">
        <v>-144</v>
      </c>
      <c r="AR788">
        <v>128</v>
      </c>
      <c r="AZ788">
        <v>4552</v>
      </c>
      <c r="BA788">
        <v>1</v>
      </c>
      <c r="BB788" t="str">
        <f t="shared" si="38"/>
        <v xml:space="preserve">N607SR  </v>
      </c>
      <c r="BC788">
        <v>1</v>
      </c>
      <c r="BE788">
        <v>0</v>
      </c>
      <c r="BF788">
        <v>0</v>
      </c>
      <c r="BG788">
        <v>0</v>
      </c>
      <c r="BH788">
        <v>2575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"06:14:16.771"</f>
        <v>06:14:16.771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6</v>
      </c>
      <c r="CP788" t="s">
        <v>119</v>
      </c>
      <c r="CQ788">
        <v>457</v>
      </c>
      <c r="CR788">
        <v>0</v>
      </c>
      <c r="CW788">
        <v>15513204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"08/29/2020 06:14:13.948"</f>
        <v>08/29/2020 06:14:13.948</v>
      </c>
      <c r="C789" t="str">
        <f t="shared" si="36"/>
        <v>FFDFD3C0</v>
      </c>
      <c r="D789" t="s">
        <v>121</v>
      </c>
      <c r="E789">
        <v>11</v>
      </c>
      <c r="F789">
        <v>1011</v>
      </c>
      <c r="G789" t="s">
        <v>125</v>
      </c>
      <c r="J789" t="s">
        <v>123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"06:14:17.180"</f>
        <v>06:14:17.180</v>
      </c>
      <c r="T789" t="str">
        <f>"06:14:16.780"</f>
        <v>06:14:16.780</v>
      </c>
      <c r="U789" t="str">
        <f t="shared" si="37"/>
        <v>A7E2E0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611</v>
      </c>
      <c r="AJ789">
        <v>39.097723999999999</v>
      </c>
      <c r="AK789" t="s">
        <v>612</v>
      </c>
      <c r="AL789">
        <v>-87.481684999999999</v>
      </c>
      <c r="AM789">
        <v>100</v>
      </c>
      <c r="AN789">
        <v>2800</v>
      </c>
      <c r="AO789" t="s">
        <v>118</v>
      </c>
      <c r="AP789">
        <v>-45</v>
      </c>
      <c r="AQ789">
        <v>-144</v>
      </c>
      <c r="AR789">
        <v>128</v>
      </c>
      <c r="AZ789">
        <v>4552</v>
      </c>
      <c r="BA789">
        <v>1</v>
      </c>
      <c r="BB789" t="str">
        <f t="shared" si="38"/>
        <v xml:space="preserve">N607SR  </v>
      </c>
      <c r="BC789">
        <v>1</v>
      </c>
      <c r="BE789">
        <v>0</v>
      </c>
      <c r="BF789">
        <v>0</v>
      </c>
      <c r="BG789">
        <v>0</v>
      </c>
      <c r="BH789">
        <v>2575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"06:14:17.184"</f>
        <v>06:14:17.184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457</v>
      </c>
      <c r="CR789">
        <v>0</v>
      </c>
      <c r="CW789">
        <v>15513212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"08/29/2020 06:14:13.948"</f>
        <v>08/29/2020 06:14:13.948</v>
      </c>
      <c r="C790" t="str">
        <f t="shared" si="36"/>
        <v>FFDFD3C0</v>
      </c>
      <c r="D790" t="s">
        <v>121</v>
      </c>
      <c r="E790">
        <v>10</v>
      </c>
      <c r="F790">
        <v>1010</v>
      </c>
      <c r="G790" t="s">
        <v>114</v>
      </c>
      <c r="J790" t="s">
        <v>123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"06:14:17.180"</f>
        <v>06:14:17.180</v>
      </c>
      <c r="T790" t="str">
        <f>"06:14:16.780"</f>
        <v>06:14:16.780</v>
      </c>
      <c r="U790" t="str">
        <f t="shared" si="37"/>
        <v>A7E2E0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611</v>
      </c>
      <c r="AJ790">
        <v>39.097723999999999</v>
      </c>
      <c r="AK790" t="s">
        <v>612</v>
      </c>
      <c r="AL790">
        <v>-87.481684999999999</v>
      </c>
      <c r="AM790">
        <v>100</v>
      </c>
      <c r="AN790">
        <v>2800</v>
      </c>
      <c r="AO790" t="s">
        <v>118</v>
      </c>
      <c r="AP790">
        <v>-45</v>
      </c>
      <c r="AQ790">
        <v>-144</v>
      </c>
      <c r="AR790">
        <v>128</v>
      </c>
      <c r="AZ790">
        <v>4552</v>
      </c>
      <c r="BA790">
        <v>1</v>
      </c>
      <c r="BB790" t="str">
        <f t="shared" si="38"/>
        <v xml:space="preserve">N607SR  </v>
      </c>
      <c r="BC790">
        <v>1</v>
      </c>
      <c r="BE790">
        <v>0</v>
      </c>
      <c r="BF790">
        <v>0</v>
      </c>
      <c r="BG790">
        <v>0</v>
      </c>
      <c r="BH790">
        <v>2575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"06:14:17.184"</f>
        <v>06:14:17.184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6</v>
      </c>
      <c r="CP790" t="s">
        <v>119</v>
      </c>
      <c r="CQ790">
        <v>465</v>
      </c>
      <c r="CR790">
        <v>0</v>
      </c>
      <c r="CW790">
        <v>4716955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"08/29/2020 06:14:13.948"</f>
        <v>08/29/2020 06:14:13.948</v>
      </c>
      <c r="C791" t="str">
        <f t="shared" si="36"/>
        <v>FFDFD3C0</v>
      </c>
      <c r="D791" t="s">
        <v>121</v>
      </c>
      <c r="E791">
        <v>13</v>
      </c>
      <c r="F791">
        <v>1013</v>
      </c>
      <c r="G791" t="s">
        <v>122</v>
      </c>
      <c r="J791" t="s">
        <v>123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"06:14:17.180"</f>
        <v>06:14:17.180</v>
      </c>
      <c r="T791" t="str">
        <f>"06:14:16.780"</f>
        <v>06:14:16.780</v>
      </c>
      <c r="U791" t="str">
        <f t="shared" si="37"/>
        <v>A7E2E0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611</v>
      </c>
      <c r="AJ791">
        <v>39.097723999999999</v>
      </c>
      <c r="AK791" t="s">
        <v>612</v>
      </c>
      <c r="AL791">
        <v>-87.481684999999999</v>
      </c>
      <c r="AM791">
        <v>100</v>
      </c>
      <c r="AN791">
        <v>2800</v>
      </c>
      <c r="AO791" t="s">
        <v>118</v>
      </c>
      <c r="AP791">
        <v>-45</v>
      </c>
      <c r="AQ791">
        <v>-144</v>
      </c>
      <c r="AR791">
        <v>128</v>
      </c>
      <c r="AZ791">
        <v>4552</v>
      </c>
      <c r="BA791">
        <v>1</v>
      </c>
      <c r="BB791" t="str">
        <f t="shared" si="38"/>
        <v xml:space="preserve">N607SR  </v>
      </c>
      <c r="BC791">
        <v>1</v>
      </c>
      <c r="BE791">
        <v>0</v>
      </c>
      <c r="BF791">
        <v>0</v>
      </c>
      <c r="BG791">
        <v>0</v>
      </c>
      <c r="BH791">
        <v>2575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"06:14:17.184"</f>
        <v>06:14:17.184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6</v>
      </c>
      <c r="CP791" t="s">
        <v>119</v>
      </c>
      <c r="CQ791">
        <v>465</v>
      </c>
      <c r="CR791">
        <v>0</v>
      </c>
      <c r="CW791">
        <v>4716955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"08/29/2020 06:14:14.389"</f>
        <v>08/29/2020 06:14:14.389</v>
      </c>
      <c r="C792" t="str">
        <f t="shared" si="36"/>
        <v>FFDFD3C0</v>
      </c>
      <c r="D792" t="s">
        <v>128</v>
      </c>
      <c r="E792">
        <v>5</v>
      </c>
      <c r="H792">
        <v>241</v>
      </c>
      <c r="I792" t="s">
        <v>129</v>
      </c>
      <c r="J792" t="s">
        <v>130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"06:14:17.625"</f>
        <v>06:14:17.625</v>
      </c>
      <c r="T792" t="str">
        <f>"06:14:17.225"</f>
        <v>06:14:17.225</v>
      </c>
      <c r="U792" t="str">
        <f t="shared" si="37"/>
        <v>A7E2E0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613</v>
      </c>
      <c r="AJ792">
        <v>39.097402000000002</v>
      </c>
      <c r="AK792" t="s">
        <v>614</v>
      </c>
      <c r="AL792">
        <v>-87.481813000000002</v>
      </c>
      <c r="AM792">
        <v>100</v>
      </c>
      <c r="AN792">
        <v>2800</v>
      </c>
      <c r="AO792" t="s">
        <v>118</v>
      </c>
      <c r="AP792">
        <v>-46</v>
      </c>
      <c r="AQ792">
        <v>-143</v>
      </c>
      <c r="AR792">
        <v>128</v>
      </c>
      <c r="AZ792">
        <v>4552</v>
      </c>
      <c r="BA792">
        <v>1</v>
      </c>
      <c r="BB792" t="str">
        <f t="shared" si="38"/>
        <v xml:space="preserve">N607SR  </v>
      </c>
      <c r="BC792">
        <v>1</v>
      </c>
      <c r="BE792">
        <v>0</v>
      </c>
      <c r="BF792">
        <v>0</v>
      </c>
      <c r="BG792">
        <v>0</v>
      </c>
      <c r="BH792">
        <v>2575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"06:14:17.629"</f>
        <v>06:14:17.629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6</v>
      </c>
      <c r="CP792" t="s">
        <v>119</v>
      </c>
      <c r="CQ792">
        <v>457</v>
      </c>
      <c r="CR792">
        <v>0</v>
      </c>
      <c r="CW792">
        <v>15513221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"08/29/2020 06:14:14.389"</f>
        <v>08/29/2020 06:14:14.389</v>
      </c>
      <c r="C793" t="str">
        <f t="shared" si="36"/>
        <v>FFDFD3C0</v>
      </c>
      <c r="D793" t="s">
        <v>113</v>
      </c>
      <c r="E793">
        <v>5</v>
      </c>
      <c r="H793">
        <v>163</v>
      </c>
      <c r="I793" t="s">
        <v>114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"06:14:17.625"</f>
        <v>06:14:17.625</v>
      </c>
      <c r="T793" t="str">
        <f>"06:14:17.225"</f>
        <v>06:14:17.225</v>
      </c>
      <c r="U793" t="str">
        <f t="shared" si="37"/>
        <v>A7E2E0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613</v>
      </c>
      <c r="AJ793">
        <v>39.097402000000002</v>
      </c>
      <c r="AK793" t="s">
        <v>614</v>
      </c>
      <c r="AL793">
        <v>-87.481813000000002</v>
      </c>
      <c r="AM793">
        <v>100</v>
      </c>
      <c r="AN793">
        <v>2800</v>
      </c>
      <c r="AO793" t="s">
        <v>118</v>
      </c>
      <c r="AP793">
        <v>-46</v>
      </c>
      <c r="AQ793">
        <v>-143</v>
      </c>
      <c r="AR793">
        <v>128</v>
      </c>
      <c r="AZ793">
        <v>4552</v>
      </c>
      <c r="BA793">
        <v>1</v>
      </c>
      <c r="BB793" t="str">
        <f t="shared" si="38"/>
        <v xml:space="preserve">N607SR  </v>
      </c>
      <c r="BC793">
        <v>1</v>
      </c>
      <c r="BE793">
        <v>0</v>
      </c>
      <c r="BF793">
        <v>0</v>
      </c>
      <c r="BG793">
        <v>0</v>
      </c>
      <c r="BH793">
        <v>2575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"06:14:17.629"</f>
        <v>06:14:17.629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6</v>
      </c>
      <c r="CP793" t="s">
        <v>119</v>
      </c>
      <c r="CQ793">
        <v>457</v>
      </c>
      <c r="CR793">
        <v>0</v>
      </c>
      <c r="CW793">
        <v>15513221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"08/29/2020 06:14:14.833"</f>
        <v>08/29/2020 06:14:14.833</v>
      </c>
      <c r="C794" t="str">
        <f t="shared" si="36"/>
        <v>FFDFD3C0</v>
      </c>
      <c r="D794" t="s">
        <v>121</v>
      </c>
      <c r="E794">
        <v>10</v>
      </c>
      <c r="F794">
        <v>1010</v>
      </c>
      <c r="G794" t="s">
        <v>114</v>
      </c>
      <c r="J794" t="s">
        <v>123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"06:14:18.039"</f>
        <v>06:14:18.039</v>
      </c>
      <c r="T794" t="str">
        <f>"06:14:17.639"</f>
        <v>06:14:17.639</v>
      </c>
      <c r="U794" t="str">
        <f t="shared" si="37"/>
        <v>A7E2E0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615</v>
      </c>
      <c r="AJ794">
        <v>39.097123000000003</v>
      </c>
      <c r="AK794" t="s">
        <v>616</v>
      </c>
      <c r="AL794">
        <v>-87.481942000000004</v>
      </c>
      <c r="AM794">
        <v>100</v>
      </c>
      <c r="AN794">
        <v>2800</v>
      </c>
      <c r="AO794" t="s">
        <v>118</v>
      </c>
      <c r="AP794">
        <v>-48</v>
      </c>
      <c r="AQ794">
        <v>-143</v>
      </c>
      <c r="AR794">
        <v>128</v>
      </c>
      <c r="AZ794">
        <v>4552</v>
      </c>
      <c r="BA794">
        <v>1</v>
      </c>
      <c r="BB794" t="str">
        <f t="shared" si="38"/>
        <v xml:space="preserve">N607SR  </v>
      </c>
      <c r="BC794">
        <v>1</v>
      </c>
      <c r="BE794">
        <v>0</v>
      </c>
      <c r="BF794">
        <v>0</v>
      </c>
      <c r="BG794">
        <v>0</v>
      </c>
      <c r="BH794">
        <v>2575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"06:14:18.041"</f>
        <v>06:14:18.041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6</v>
      </c>
      <c r="CP794" t="s">
        <v>119</v>
      </c>
      <c r="CQ794">
        <v>177</v>
      </c>
      <c r="CR794">
        <v>2</v>
      </c>
      <c r="CW794">
        <v>1625007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"08/29/2020 06:14:14.833"</f>
        <v>08/29/2020 06:14:14.833</v>
      </c>
      <c r="C795" t="str">
        <f t="shared" si="36"/>
        <v>FFDFD3C0</v>
      </c>
      <c r="D795" t="s">
        <v>121</v>
      </c>
      <c r="E795">
        <v>13</v>
      </c>
      <c r="F795">
        <v>1013</v>
      </c>
      <c r="G795" t="s">
        <v>122</v>
      </c>
      <c r="J795" t="s">
        <v>123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"06:14:18.039"</f>
        <v>06:14:18.039</v>
      </c>
      <c r="T795" t="str">
        <f>"06:14:17.639"</f>
        <v>06:14:17.639</v>
      </c>
      <c r="U795" t="str">
        <f t="shared" si="37"/>
        <v>A7E2E0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615</v>
      </c>
      <c r="AJ795">
        <v>39.097123000000003</v>
      </c>
      <c r="AK795" t="s">
        <v>616</v>
      </c>
      <c r="AL795">
        <v>-87.481942000000004</v>
      </c>
      <c r="AM795">
        <v>100</v>
      </c>
      <c r="AN795">
        <v>2800</v>
      </c>
      <c r="AO795" t="s">
        <v>118</v>
      </c>
      <c r="AP795">
        <v>-48</v>
      </c>
      <c r="AQ795">
        <v>-143</v>
      </c>
      <c r="AR795">
        <v>128</v>
      </c>
      <c r="AZ795">
        <v>4552</v>
      </c>
      <c r="BA795">
        <v>1</v>
      </c>
      <c r="BB795" t="str">
        <f t="shared" si="38"/>
        <v xml:space="preserve">N607SR  </v>
      </c>
      <c r="BC795">
        <v>1</v>
      </c>
      <c r="BE795">
        <v>0</v>
      </c>
      <c r="BF795">
        <v>0</v>
      </c>
      <c r="BG795">
        <v>0</v>
      </c>
      <c r="BH795">
        <v>2575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"06:14:18.041"</f>
        <v>06:14:18.041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6</v>
      </c>
      <c r="CP795" t="s">
        <v>119</v>
      </c>
      <c r="CQ795">
        <v>177</v>
      </c>
      <c r="CR795">
        <v>2</v>
      </c>
      <c r="CW795">
        <v>1625007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"08/29/2020 06:14:14.833"</f>
        <v>08/29/2020 06:14:14.833</v>
      </c>
      <c r="C796" t="str">
        <f t="shared" si="36"/>
        <v>FFDFD3C0</v>
      </c>
      <c r="D796" t="s">
        <v>121</v>
      </c>
      <c r="E796">
        <v>11</v>
      </c>
      <c r="F796">
        <v>1011</v>
      </c>
      <c r="G796" t="s">
        <v>125</v>
      </c>
      <c r="J796" t="s">
        <v>123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"06:14:18.039"</f>
        <v>06:14:18.039</v>
      </c>
      <c r="T796" t="str">
        <f>"06:14:17.639"</f>
        <v>06:14:17.639</v>
      </c>
      <c r="U796" t="str">
        <f t="shared" si="37"/>
        <v>A7E2E0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615</v>
      </c>
      <c r="AJ796">
        <v>39.097123000000003</v>
      </c>
      <c r="AK796" t="s">
        <v>616</v>
      </c>
      <c r="AL796">
        <v>-87.481942000000004</v>
      </c>
      <c r="AM796">
        <v>100</v>
      </c>
      <c r="AN796">
        <v>2800</v>
      </c>
      <c r="AO796" t="s">
        <v>118</v>
      </c>
      <c r="AP796">
        <v>-48</v>
      </c>
      <c r="AQ796">
        <v>-143</v>
      </c>
      <c r="AR796">
        <v>128</v>
      </c>
      <c r="AZ796">
        <v>4552</v>
      </c>
      <c r="BA796">
        <v>1</v>
      </c>
      <c r="BB796" t="str">
        <f t="shared" si="38"/>
        <v xml:space="preserve">N607SR  </v>
      </c>
      <c r="BC796">
        <v>1</v>
      </c>
      <c r="BE796">
        <v>0</v>
      </c>
      <c r="BF796">
        <v>0</v>
      </c>
      <c r="BG796">
        <v>0</v>
      </c>
      <c r="BH796">
        <v>2575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"06:14:18.041"</f>
        <v>06:14:18.041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6</v>
      </c>
      <c r="CP796" t="s">
        <v>119</v>
      </c>
      <c r="CQ796">
        <v>177</v>
      </c>
      <c r="CR796">
        <v>2</v>
      </c>
      <c r="CW796">
        <v>1625007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"08/29/2020 06:14:15.302"</f>
        <v>08/29/2020 06:14:15.302</v>
      </c>
      <c r="C797" t="str">
        <f t="shared" si="36"/>
        <v>FFDFD3C0</v>
      </c>
      <c r="D797" t="s">
        <v>128</v>
      </c>
      <c r="E797">
        <v>5</v>
      </c>
      <c r="H797">
        <v>241</v>
      </c>
      <c r="I797" t="s">
        <v>129</v>
      </c>
      <c r="J797" t="s">
        <v>130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"06:14:18.508"</f>
        <v>06:14:18.508</v>
      </c>
      <c r="T797" t="str">
        <f>"06:14:18.108"</f>
        <v>06:14:18.108</v>
      </c>
      <c r="U797" t="str">
        <f t="shared" si="37"/>
        <v>A7E2E0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617</v>
      </c>
      <c r="AJ797">
        <v>39.096780000000003</v>
      </c>
      <c r="AK797" t="s">
        <v>618</v>
      </c>
      <c r="AL797">
        <v>-87.482091999999994</v>
      </c>
      <c r="AM797">
        <v>100</v>
      </c>
      <c r="AN797">
        <v>2800</v>
      </c>
      <c r="AO797" t="s">
        <v>118</v>
      </c>
      <c r="AP797">
        <v>-49</v>
      </c>
      <c r="AQ797">
        <v>-143</v>
      </c>
      <c r="AR797">
        <v>128</v>
      </c>
      <c r="AZ797">
        <v>4552</v>
      </c>
      <c r="BA797">
        <v>1</v>
      </c>
      <c r="BB797" t="str">
        <f t="shared" si="38"/>
        <v xml:space="preserve">N607SR  </v>
      </c>
      <c r="BC797">
        <v>1</v>
      </c>
      <c r="BE797">
        <v>0</v>
      </c>
      <c r="BF797">
        <v>0</v>
      </c>
      <c r="BG797">
        <v>0</v>
      </c>
      <c r="BH797">
        <v>2575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"06:14:18.514"</f>
        <v>06:14:18.514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6</v>
      </c>
      <c r="CP797" t="s">
        <v>119</v>
      </c>
      <c r="CQ797">
        <v>517</v>
      </c>
      <c r="CR797">
        <v>1</v>
      </c>
      <c r="CW797">
        <v>2478069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"08/29/2020 06:14:15.302"</f>
        <v>08/29/2020 06:14:15.302</v>
      </c>
      <c r="C798" t="str">
        <f t="shared" si="36"/>
        <v>FFDFD3C0</v>
      </c>
      <c r="D798" t="s">
        <v>113</v>
      </c>
      <c r="E798">
        <v>5</v>
      </c>
      <c r="H798">
        <v>163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"06:14:18.508"</f>
        <v>06:14:18.508</v>
      </c>
      <c r="T798" t="str">
        <f>"06:14:18.108"</f>
        <v>06:14:18.108</v>
      </c>
      <c r="U798" t="str">
        <f t="shared" si="37"/>
        <v>A7E2E0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617</v>
      </c>
      <c r="AJ798">
        <v>39.096780000000003</v>
      </c>
      <c r="AK798" t="s">
        <v>618</v>
      </c>
      <c r="AL798">
        <v>-87.482091999999994</v>
      </c>
      <c r="AM798">
        <v>100</v>
      </c>
      <c r="AN798">
        <v>2800</v>
      </c>
      <c r="AO798" t="s">
        <v>118</v>
      </c>
      <c r="AP798">
        <v>-49</v>
      </c>
      <c r="AQ798">
        <v>-143</v>
      </c>
      <c r="AR798">
        <v>128</v>
      </c>
      <c r="AZ798">
        <v>4552</v>
      </c>
      <c r="BA798">
        <v>1</v>
      </c>
      <c r="BB798" t="str">
        <f t="shared" si="38"/>
        <v xml:space="preserve">N607SR  </v>
      </c>
      <c r="BC798">
        <v>1</v>
      </c>
      <c r="BE798">
        <v>0</v>
      </c>
      <c r="BF798">
        <v>0</v>
      </c>
      <c r="BG798">
        <v>0</v>
      </c>
      <c r="BH798">
        <v>2575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"06:14:18.514"</f>
        <v>06:14:18.514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6</v>
      </c>
      <c r="CP798" t="s">
        <v>119</v>
      </c>
      <c r="CQ798">
        <v>517</v>
      </c>
      <c r="CR798">
        <v>1</v>
      </c>
      <c r="CW798">
        <v>2478069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"08/29/2020 06:14:15.719"</f>
        <v>08/29/2020 06:14:15.719</v>
      </c>
      <c r="C799" t="str">
        <f t="shared" si="36"/>
        <v>FFDFD3C0</v>
      </c>
      <c r="D799" t="s">
        <v>121</v>
      </c>
      <c r="E799">
        <v>13</v>
      </c>
      <c r="F799">
        <v>1013</v>
      </c>
      <c r="G799" t="s">
        <v>122</v>
      </c>
      <c r="J799" t="s">
        <v>123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"06:14:18.961"</f>
        <v>06:14:18.961</v>
      </c>
      <c r="T799" t="str">
        <f>"06:14:18.561"</f>
        <v>06:14:18.561</v>
      </c>
      <c r="U799" t="str">
        <f t="shared" si="37"/>
        <v>A7E2E0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619</v>
      </c>
      <c r="AJ799">
        <v>39.096544000000002</v>
      </c>
      <c r="AK799" t="s">
        <v>620</v>
      </c>
      <c r="AL799">
        <v>-87.482220999999996</v>
      </c>
      <c r="AM799">
        <v>100</v>
      </c>
      <c r="AN799">
        <v>2800</v>
      </c>
      <c r="AO799" t="s">
        <v>118</v>
      </c>
      <c r="AP799">
        <v>-50</v>
      </c>
      <c r="AQ799">
        <v>-143</v>
      </c>
      <c r="AR799">
        <v>128</v>
      </c>
      <c r="AZ799">
        <v>4552</v>
      </c>
      <c r="BA799">
        <v>1</v>
      </c>
      <c r="BB799" t="str">
        <f t="shared" si="38"/>
        <v xml:space="preserve">N607SR  </v>
      </c>
      <c r="BC799">
        <v>1</v>
      </c>
      <c r="BE799">
        <v>0</v>
      </c>
      <c r="BF799">
        <v>0</v>
      </c>
      <c r="BG799">
        <v>0</v>
      </c>
      <c r="BH799">
        <v>2575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"06:14:18.965"</f>
        <v>06:14:18.965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177</v>
      </c>
      <c r="CR799">
        <v>2</v>
      </c>
      <c r="CW799">
        <v>1625131</v>
      </c>
      <c r="CY799">
        <v>1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"08/29/2020 06:14:15.719"</f>
        <v>08/29/2020 06:14:15.719</v>
      </c>
      <c r="C800" t="str">
        <f t="shared" si="36"/>
        <v>FFDFD3C0</v>
      </c>
      <c r="D800" t="s">
        <v>121</v>
      </c>
      <c r="E800">
        <v>11</v>
      </c>
      <c r="F800">
        <v>1011</v>
      </c>
      <c r="G800" t="s">
        <v>125</v>
      </c>
      <c r="J800" t="s">
        <v>123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"06:14:18.961"</f>
        <v>06:14:18.961</v>
      </c>
      <c r="T800" t="str">
        <f>"06:14:18.561"</f>
        <v>06:14:18.561</v>
      </c>
      <c r="U800" t="str">
        <f t="shared" si="37"/>
        <v>A7E2E0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619</v>
      </c>
      <c r="AJ800">
        <v>39.096544000000002</v>
      </c>
      <c r="AK800" t="s">
        <v>620</v>
      </c>
      <c r="AL800">
        <v>-87.482220999999996</v>
      </c>
      <c r="AM800">
        <v>100</v>
      </c>
      <c r="AN800">
        <v>2800</v>
      </c>
      <c r="AO800" t="s">
        <v>118</v>
      </c>
      <c r="AP800">
        <v>-50</v>
      </c>
      <c r="AQ800">
        <v>-143</v>
      </c>
      <c r="AR800">
        <v>128</v>
      </c>
      <c r="AZ800">
        <v>4552</v>
      </c>
      <c r="BA800">
        <v>1</v>
      </c>
      <c r="BB800" t="str">
        <f t="shared" si="38"/>
        <v xml:space="preserve">N607SR  </v>
      </c>
      <c r="BC800">
        <v>1</v>
      </c>
      <c r="BE800">
        <v>0</v>
      </c>
      <c r="BF800">
        <v>0</v>
      </c>
      <c r="BG800">
        <v>0</v>
      </c>
      <c r="BH800">
        <v>2575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"06:14:18.965"</f>
        <v>06:14:18.965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6</v>
      </c>
      <c r="CP800" t="s">
        <v>119</v>
      </c>
      <c r="CQ800">
        <v>177</v>
      </c>
      <c r="CR800">
        <v>2</v>
      </c>
      <c r="CW800">
        <v>1625131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"08/29/2020 06:14:15.719"</f>
        <v>08/29/2020 06:14:15.719</v>
      </c>
      <c r="C801" t="str">
        <f t="shared" si="36"/>
        <v>FFDFD3C0</v>
      </c>
      <c r="D801" t="s">
        <v>121</v>
      </c>
      <c r="E801">
        <v>10</v>
      </c>
      <c r="F801">
        <v>1010</v>
      </c>
      <c r="G801" t="s">
        <v>114</v>
      </c>
      <c r="J801" t="s">
        <v>123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"06:14:18.961"</f>
        <v>06:14:18.961</v>
      </c>
      <c r="T801" t="str">
        <f>"06:14:18.561"</f>
        <v>06:14:18.561</v>
      </c>
      <c r="U801" t="str">
        <f t="shared" si="37"/>
        <v>A7E2E0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619</v>
      </c>
      <c r="AJ801">
        <v>39.096544000000002</v>
      </c>
      <c r="AK801" t="s">
        <v>620</v>
      </c>
      <c r="AL801">
        <v>-87.482220999999996</v>
      </c>
      <c r="AM801">
        <v>100</v>
      </c>
      <c r="AN801">
        <v>2800</v>
      </c>
      <c r="AO801" t="s">
        <v>118</v>
      </c>
      <c r="AP801">
        <v>-50</v>
      </c>
      <c r="AQ801">
        <v>-143</v>
      </c>
      <c r="AR801">
        <v>128</v>
      </c>
      <c r="AZ801">
        <v>4552</v>
      </c>
      <c r="BA801">
        <v>1</v>
      </c>
      <c r="BB801" t="str">
        <f t="shared" si="38"/>
        <v xml:space="preserve">N607SR  </v>
      </c>
      <c r="BC801">
        <v>1</v>
      </c>
      <c r="BE801">
        <v>0</v>
      </c>
      <c r="BF801">
        <v>0</v>
      </c>
      <c r="BG801">
        <v>0</v>
      </c>
      <c r="BH801">
        <v>2575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"06:14:18.965"</f>
        <v>06:14:18.965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177</v>
      </c>
      <c r="CR801">
        <v>2</v>
      </c>
      <c r="CW801">
        <v>1625131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"08/29/2020 06:14:16.215"</f>
        <v>08/29/2020 06:14:16.215</v>
      </c>
      <c r="C802" t="str">
        <f t="shared" si="36"/>
        <v>FFDFD3C0</v>
      </c>
      <c r="D802" t="s">
        <v>128</v>
      </c>
      <c r="E802">
        <v>5</v>
      </c>
      <c r="H802">
        <v>241</v>
      </c>
      <c r="I802" t="s">
        <v>129</v>
      </c>
      <c r="J802" t="s">
        <v>130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"06:14:19.406"</f>
        <v>06:14:19.406</v>
      </c>
      <c r="U802" t="str">
        <f t="shared" si="37"/>
        <v>A7E2E0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621</v>
      </c>
      <c r="AJ802">
        <v>39.096200000000003</v>
      </c>
      <c r="AK802" t="s">
        <v>622</v>
      </c>
      <c r="AL802">
        <v>-87.482371000000001</v>
      </c>
      <c r="AM802">
        <v>100</v>
      </c>
      <c r="AN802">
        <v>2800</v>
      </c>
      <c r="AO802" t="s">
        <v>118</v>
      </c>
      <c r="AP802">
        <v>-53</v>
      </c>
      <c r="AQ802">
        <v>-143</v>
      </c>
      <c r="AR802">
        <v>128</v>
      </c>
      <c r="AZ802">
        <v>4552</v>
      </c>
      <c r="BA802">
        <v>1</v>
      </c>
      <c r="BB802" t="str">
        <f t="shared" si="38"/>
        <v xml:space="preserve">N607SR  </v>
      </c>
      <c r="BC802">
        <v>1</v>
      </c>
      <c r="BE802">
        <v>0</v>
      </c>
      <c r="BF802">
        <v>0</v>
      </c>
      <c r="BG802">
        <v>0</v>
      </c>
      <c r="BH802">
        <v>2575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"06:14:19.409"</f>
        <v>06:14:19.409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6</v>
      </c>
      <c r="CP802" t="s">
        <v>119</v>
      </c>
      <c r="CQ802">
        <v>457</v>
      </c>
      <c r="CR802">
        <v>0</v>
      </c>
      <c r="CW802">
        <v>15513266</v>
      </c>
      <c r="CY802">
        <v>1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"08/29/2020 06:14:16.215"</f>
        <v>08/29/2020 06:14:16.215</v>
      </c>
      <c r="C803" t="str">
        <f t="shared" si="36"/>
        <v>FFDFD3C0</v>
      </c>
      <c r="D803" t="s">
        <v>113</v>
      </c>
      <c r="E803">
        <v>5</v>
      </c>
      <c r="H803">
        <v>163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"06:14:19.406"</f>
        <v>06:14:19.406</v>
      </c>
      <c r="U803" t="str">
        <f t="shared" si="37"/>
        <v>A7E2E0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621</v>
      </c>
      <c r="AJ803">
        <v>39.096200000000003</v>
      </c>
      <c r="AK803" t="s">
        <v>622</v>
      </c>
      <c r="AL803">
        <v>-87.482371000000001</v>
      </c>
      <c r="AM803">
        <v>100</v>
      </c>
      <c r="AN803">
        <v>2800</v>
      </c>
      <c r="AO803" t="s">
        <v>118</v>
      </c>
      <c r="AP803">
        <v>-53</v>
      </c>
      <c r="AQ803">
        <v>-143</v>
      </c>
      <c r="AR803">
        <v>128</v>
      </c>
      <c r="AZ803">
        <v>4552</v>
      </c>
      <c r="BA803">
        <v>1</v>
      </c>
      <c r="BB803" t="str">
        <f t="shared" si="38"/>
        <v xml:space="preserve">N607SR  </v>
      </c>
      <c r="BC803">
        <v>1</v>
      </c>
      <c r="BE803">
        <v>0</v>
      </c>
      <c r="BF803">
        <v>0</v>
      </c>
      <c r="BG803">
        <v>0</v>
      </c>
      <c r="BH803">
        <v>2575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"06:14:19.409"</f>
        <v>06:14:19.409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6</v>
      </c>
      <c r="CP803" t="s">
        <v>119</v>
      </c>
      <c r="CQ803">
        <v>457</v>
      </c>
      <c r="CR803">
        <v>0</v>
      </c>
      <c r="CW803">
        <v>15513266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"08/29/2020 06:14:16.682"</f>
        <v>08/29/2020 06:14:16.682</v>
      </c>
      <c r="C804" t="str">
        <f t="shared" si="36"/>
        <v>FFDFD3C0</v>
      </c>
      <c r="D804" t="s">
        <v>121</v>
      </c>
      <c r="E804">
        <v>13</v>
      </c>
      <c r="F804">
        <v>1013</v>
      </c>
      <c r="G804" t="s">
        <v>122</v>
      </c>
      <c r="J804" t="s">
        <v>123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"06:14:19.867"</f>
        <v>06:14:19.867</v>
      </c>
      <c r="U804" t="str">
        <f t="shared" si="37"/>
        <v>A7E2E0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623</v>
      </c>
      <c r="AJ804">
        <v>39.095922000000002</v>
      </c>
      <c r="AK804" t="s">
        <v>624</v>
      </c>
      <c r="AL804">
        <v>-87.482478999999998</v>
      </c>
      <c r="AM804">
        <v>100</v>
      </c>
      <c r="AN804">
        <v>2800</v>
      </c>
      <c r="AO804" t="s">
        <v>118</v>
      </c>
      <c r="AP804">
        <v>-54</v>
      </c>
      <c r="AQ804">
        <v>-143</v>
      </c>
      <c r="AR804">
        <v>64</v>
      </c>
      <c r="AZ804">
        <v>4552</v>
      </c>
      <c r="BA804">
        <v>1</v>
      </c>
      <c r="BB804" t="str">
        <f t="shared" si="38"/>
        <v xml:space="preserve">N607SR  </v>
      </c>
      <c r="BC804">
        <v>1</v>
      </c>
      <c r="BE804">
        <v>0</v>
      </c>
      <c r="BF804">
        <v>0</v>
      </c>
      <c r="BG804">
        <v>0</v>
      </c>
      <c r="BH804">
        <v>2575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"06:14:19.874"</f>
        <v>06:14:19.874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6</v>
      </c>
      <c r="CP804" t="s">
        <v>119</v>
      </c>
      <c r="CQ804">
        <v>457</v>
      </c>
      <c r="CR804">
        <v>0</v>
      </c>
      <c r="CW804">
        <v>15513280</v>
      </c>
      <c r="CY804">
        <v>1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"08/29/2020 06:14:16.682"</f>
        <v>08/29/2020 06:14:16.682</v>
      </c>
      <c r="C805" t="str">
        <f t="shared" si="36"/>
        <v>FFDFD3C0</v>
      </c>
      <c r="D805" t="s">
        <v>121</v>
      </c>
      <c r="E805">
        <v>11</v>
      </c>
      <c r="F805">
        <v>1011</v>
      </c>
      <c r="G805" t="s">
        <v>125</v>
      </c>
      <c r="J805" t="s">
        <v>123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"06:14:19.867"</f>
        <v>06:14:19.867</v>
      </c>
      <c r="U805" t="str">
        <f t="shared" si="37"/>
        <v>A7E2E0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623</v>
      </c>
      <c r="AJ805">
        <v>39.095922000000002</v>
      </c>
      <c r="AK805" t="s">
        <v>624</v>
      </c>
      <c r="AL805">
        <v>-87.482478999999998</v>
      </c>
      <c r="AM805">
        <v>100</v>
      </c>
      <c r="AN805">
        <v>2800</v>
      </c>
      <c r="AO805" t="s">
        <v>118</v>
      </c>
      <c r="AP805">
        <v>-54</v>
      </c>
      <c r="AQ805">
        <v>-143</v>
      </c>
      <c r="AR805">
        <v>64</v>
      </c>
      <c r="AZ805">
        <v>4552</v>
      </c>
      <c r="BA805">
        <v>1</v>
      </c>
      <c r="BB805" t="str">
        <f t="shared" si="38"/>
        <v xml:space="preserve">N607SR  </v>
      </c>
      <c r="BC805">
        <v>1</v>
      </c>
      <c r="BE805">
        <v>0</v>
      </c>
      <c r="BF805">
        <v>0</v>
      </c>
      <c r="BG805">
        <v>0</v>
      </c>
      <c r="BH805">
        <v>2575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"06:14:19.874"</f>
        <v>06:14:19.874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6</v>
      </c>
      <c r="CP805" t="s">
        <v>119</v>
      </c>
      <c r="CQ805">
        <v>457</v>
      </c>
      <c r="CR805">
        <v>0</v>
      </c>
      <c r="CW805">
        <v>15513280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"08/29/2020 06:14:16.682"</f>
        <v>08/29/2020 06:14:16.682</v>
      </c>
      <c r="C806" t="str">
        <f t="shared" si="36"/>
        <v>FFDFD3C0</v>
      </c>
      <c r="D806" t="s">
        <v>121</v>
      </c>
      <c r="E806">
        <v>10</v>
      </c>
      <c r="F806">
        <v>1010</v>
      </c>
      <c r="G806" t="s">
        <v>114</v>
      </c>
      <c r="J806" t="s">
        <v>123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"06:14:19.867"</f>
        <v>06:14:19.867</v>
      </c>
      <c r="U806" t="str">
        <f t="shared" si="37"/>
        <v>A7E2E0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623</v>
      </c>
      <c r="AJ806">
        <v>39.095922000000002</v>
      </c>
      <c r="AK806" t="s">
        <v>624</v>
      </c>
      <c r="AL806">
        <v>-87.482478999999998</v>
      </c>
      <c r="AM806">
        <v>100</v>
      </c>
      <c r="AN806">
        <v>2800</v>
      </c>
      <c r="AO806" t="s">
        <v>118</v>
      </c>
      <c r="AP806">
        <v>-54</v>
      </c>
      <c r="AQ806">
        <v>-143</v>
      </c>
      <c r="AR806">
        <v>64</v>
      </c>
      <c r="AZ806">
        <v>4552</v>
      </c>
      <c r="BA806">
        <v>1</v>
      </c>
      <c r="BB806" t="str">
        <f t="shared" si="38"/>
        <v xml:space="preserve">N607SR  </v>
      </c>
      <c r="BC806">
        <v>1</v>
      </c>
      <c r="BE806">
        <v>0</v>
      </c>
      <c r="BF806">
        <v>0</v>
      </c>
      <c r="BG806">
        <v>0</v>
      </c>
      <c r="BH806">
        <v>2575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"06:14:19.874"</f>
        <v>06:14:19.874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6</v>
      </c>
      <c r="CP806" t="s">
        <v>119</v>
      </c>
      <c r="CQ806">
        <v>457</v>
      </c>
      <c r="CR806">
        <v>0</v>
      </c>
      <c r="CW806">
        <v>15513280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"08/29/2020 06:14:17.228"</f>
        <v>08/29/2020 06:14:17.228</v>
      </c>
      <c r="C807" t="str">
        <f t="shared" si="36"/>
        <v>FFDFD3C0</v>
      </c>
      <c r="D807" t="s">
        <v>128</v>
      </c>
      <c r="E807">
        <v>5</v>
      </c>
      <c r="H807">
        <v>241</v>
      </c>
      <c r="I807" t="s">
        <v>129</v>
      </c>
      <c r="J807" t="s">
        <v>130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"06:14:20.422"</f>
        <v>06:14:20.422</v>
      </c>
      <c r="U807" t="str">
        <f t="shared" si="37"/>
        <v>A7E2E0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625</v>
      </c>
      <c r="AJ807">
        <v>39.095556999999999</v>
      </c>
      <c r="AK807" t="s">
        <v>626</v>
      </c>
      <c r="AL807">
        <v>-87.482736000000003</v>
      </c>
      <c r="AM807">
        <v>100</v>
      </c>
      <c r="AN807">
        <v>2800</v>
      </c>
      <c r="AO807" t="s">
        <v>118</v>
      </c>
      <c r="AP807">
        <v>-55</v>
      </c>
      <c r="AQ807">
        <v>-142</v>
      </c>
      <c r="AR807">
        <v>64</v>
      </c>
      <c r="AZ807">
        <v>4552</v>
      </c>
      <c r="BA807">
        <v>1</v>
      </c>
      <c r="BB807" t="str">
        <f t="shared" si="38"/>
        <v xml:space="preserve">N607SR  </v>
      </c>
      <c r="BC807">
        <v>1</v>
      </c>
      <c r="BE807">
        <v>0</v>
      </c>
      <c r="BF807">
        <v>0</v>
      </c>
      <c r="BG807">
        <v>0</v>
      </c>
      <c r="BH807">
        <v>2575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"06:14:20.425"</f>
        <v>06:14:20.425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5</v>
      </c>
      <c r="CP807" t="s">
        <v>119</v>
      </c>
      <c r="CQ807">
        <v>465</v>
      </c>
      <c r="CR807">
        <v>0</v>
      </c>
      <c r="CW807">
        <v>4717058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"08/29/2020 06:14:17.228"</f>
        <v>08/29/2020 06:14:17.228</v>
      </c>
      <c r="C808" t="str">
        <f t="shared" si="36"/>
        <v>FFDFD3C0</v>
      </c>
      <c r="D808" t="s">
        <v>113</v>
      </c>
      <c r="E808">
        <v>5</v>
      </c>
      <c r="H808">
        <v>163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"06:14:20.422"</f>
        <v>06:14:20.422</v>
      </c>
      <c r="U808" t="str">
        <f t="shared" si="37"/>
        <v>A7E2E0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625</v>
      </c>
      <c r="AJ808">
        <v>39.095556999999999</v>
      </c>
      <c r="AK808" t="s">
        <v>626</v>
      </c>
      <c r="AL808">
        <v>-87.482736000000003</v>
      </c>
      <c r="AM808">
        <v>100</v>
      </c>
      <c r="AN808">
        <v>2800</v>
      </c>
      <c r="AO808" t="s">
        <v>118</v>
      </c>
      <c r="AP808">
        <v>-55</v>
      </c>
      <c r="AQ808">
        <v>-142</v>
      </c>
      <c r="AR808">
        <v>64</v>
      </c>
      <c r="AZ808">
        <v>4552</v>
      </c>
      <c r="BA808">
        <v>1</v>
      </c>
      <c r="BB808" t="str">
        <f t="shared" si="38"/>
        <v xml:space="preserve">N607SR  </v>
      </c>
      <c r="BC808">
        <v>1</v>
      </c>
      <c r="BE808">
        <v>0</v>
      </c>
      <c r="BF808">
        <v>0</v>
      </c>
      <c r="BG808">
        <v>0</v>
      </c>
      <c r="BH808">
        <v>2575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"06:14:20.425"</f>
        <v>06:14:20.425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5</v>
      </c>
      <c r="CP808" t="s">
        <v>119</v>
      </c>
      <c r="CQ808">
        <v>465</v>
      </c>
      <c r="CR808">
        <v>0</v>
      </c>
      <c r="CW808">
        <v>4717058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"08/29/2020 06:14:17.695"</f>
        <v>08/29/2020 06:14:17.695</v>
      </c>
      <c r="C809" t="str">
        <f t="shared" si="36"/>
        <v>FFDFD3C0</v>
      </c>
      <c r="D809" t="s">
        <v>121</v>
      </c>
      <c r="E809">
        <v>13</v>
      </c>
      <c r="F809">
        <v>1013</v>
      </c>
      <c r="G809" t="s">
        <v>122</v>
      </c>
      <c r="J809" t="s">
        <v>123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"06:14:20.891"</f>
        <v>06:14:20.891</v>
      </c>
      <c r="T809" t="str">
        <f>"06:14:20.491"</f>
        <v>06:14:20.491</v>
      </c>
      <c r="U809" t="str">
        <f t="shared" si="37"/>
        <v>A7E2E0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627</v>
      </c>
      <c r="AJ809">
        <v>39.095278</v>
      </c>
      <c r="AK809" t="s">
        <v>628</v>
      </c>
      <c r="AL809">
        <v>-87.482843000000003</v>
      </c>
      <c r="AM809">
        <v>100</v>
      </c>
      <c r="AN809">
        <v>2800</v>
      </c>
      <c r="AO809" t="s">
        <v>118</v>
      </c>
      <c r="AP809">
        <v>-55</v>
      </c>
      <c r="AQ809">
        <v>-142</v>
      </c>
      <c r="AR809">
        <v>64</v>
      </c>
      <c r="AZ809">
        <v>4552</v>
      </c>
      <c r="BA809">
        <v>1</v>
      </c>
      <c r="BB809" t="str">
        <f t="shared" si="38"/>
        <v xml:space="preserve">N607SR  </v>
      </c>
      <c r="BC809">
        <v>1</v>
      </c>
      <c r="BE809">
        <v>0</v>
      </c>
      <c r="BF809">
        <v>0</v>
      </c>
      <c r="BG809">
        <v>0</v>
      </c>
      <c r="BH809">
        <v>2575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"06:14:20.898"</f>
        <v>06:14:20.898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6</v>
      </c>
      <c r="CP809" t="s">
        <v>119</v>
      </c>
      <c r="CQ809">
        <v>457</v>
      </c>
      <c r="CR809">
        <v>0</v>
      </c>
      <c r="CW809">
        <v>15513305</v>
      </c>
      <c r="CY809">
        <v>1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"08/29/2020 06:14:17.695"</f>
        <v>08/29/2020 06:14:17.695</v>
      </c>
      <c r="C810" t="str">
        <f t="shared" si="36"/>
        <v>FFDFD3C0</v>
      </c>
      <c r="D810" t="s">
        <v>121</v>
      </c>
      <c r="E810">
        <v>11</v>
      </c>
      <c r="F810">
        <v>1011</v>
      </c>
      <c r="G810" t="s">
        <v>125</v>
      </c>
      <c r="J810" t="s">
        <v>123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"06:14:20.891"</f>
        <v>06:14:20.891</v>
      </c>
      <c r="T810" t="str">
        <f>"06:14:20.491"</f>
        <v>06:14:20.491</v>
      </c>
      <c r="U810" t="str">
        <f t="shared" si="37"/>
        <v>A7E2E0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627</v>
      </c>
      <c r="AJ810">
        <v>39.095278</v>
      </c>
      <c r="AK810" t="s">
        <v>628</v>
      </c>
      <c r="AL810">
        <v>-87.482843000000003</v>
      </c>
      <c r="AM810">
        <v>100</v>
      </c>
      <c r="AN810">
        <v>2800</v>
      </c>
      <c r="AO810" t="s">
        <v>118</v>
      </c>
      <c r="AP810">
        <v>-55</v>
      </c>
      <c r="AQ810">
        <v>-142</v>
      </c>
      <c r="AR810">
        <v>64</v>
      </c>
      <c r="AZ810">
        <v>4552</v>
      </c>
      <c r="BA810">
        <v>1</v>
      </c>
      <c r="BB810" t="str">
        <f t="shared" si="38"/>
        <v xml:space="preserve">N607SR  </v>
      </c>
      <c r="BC810">
        <v>1</v>
      </c>
      <c r="BE810">
        <v>0</v>
      </c>
      <c r="BF810">
        <v>0</v>
      </c>
      <c r="BG810">
        <v>0</v>
      </c>
      <c r="BH810">
        <v>2575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"06:14:20.898"</f>
        <v>06:14:20.898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6</v>
      </c>
      <c r="CP810" t="s">
        <v>119</v>
      </c>
      <c r="CQ810">
        <v>457</v>
      </c>
      <c r="CR810">
        <v>0</v>
      </c>
      <c r="CW810">
        <v>15513305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"08/29/2020 06:14:17.695"</f>
        <v>08/29/2020 06:14:17.695</v>
      </c>
      <c r="C811" t="str">
        <f t="shared" si="36"/>
        <v>FFDFD3C0</v>
      </c>
      <c r="D811" t="s">
        <v>121</v>
      </c>
      <c r="E811">
        <v>10</v>
      </c>
      <c r="F811">
        <v>1010</v>
      </c>
      <c r="G811" t="s">
        <v>114</v>
      </c>
      <c r="J811" t="s">
        <v>123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"06:14:20.891"</f>
        <v>06:14:20.891</v>
      </c>
      <c r="T811" t="str">
        <f>"06:14:20.491"</f>
        <v>06:14:20.491</v>
      </c>
      <c r="U811" t="str">
        <f t="shared" si="37"/>
        <v>A7E2E0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627</v>
      </c>
      <c r="AJ811">
        <v>39.095278</v>
      </c>
      <c r="AK811" t="s">
        <v>628</v>
      </c>
      <c r="AL811">
        <v>-87.482843000000003</v>
      </c>
      <c r="AM811">
        <v>100</v>
      </c>
      <c r="AN811">
        <v>2800</v>
      </c>
      <c r="AO811" t="s">
        <v>118</v>
      </c>
      <c r="AP811">
        <v>-55</v>
      </c>
      <c r="AQ811">
        <v>-142</v>
      </c>
      <c r="AR811">
        <v>64</v>
      </c>
      <c r="AZ811">
        <v>4552</v>
      </c>
      <c r="BA811">
        <v>1</v>
      </c>
      <c r="BB811" t="str">
        <f t="shared" si="38"/>
        <v xml:space="preserve">N607SR  </v>
      </c>
      <c r="BC811">
        <v>1</v>
      </c>
      <c r="BE811">
        <v>0</v>
      </c>
      <c r="BF811">
        <v>0</v>
      </c>
      <c r="BG811">
        <v>0</v>
      </c>
      <c r="BH811">
        <v>2575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"06:14:20.898"</f>
        <v>06:14:20.898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6</v>
      </c>
      <c r="CP811" t="s">
        <v>119</v>
      </c>
      <c r="CQ811">
        <v>457</v>
      </c>
      <c r="CR811">
        <v>0</v>
      </c>
      <c r="CW811">
        <v>15513305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"08/29/2020 06:14:18.090"</f>
        <v>08/29/2020 06:14:18.090</v>
      </c>
      <c r="C812" t="str">
        <f t="shared" si="36"/>
        <v>FFDFD3C0</v>
      </c>
      <c r="D812" t="s">
        <v>128</v>
      </c>
      <c r="E812">
        <v>5</v>
      </c>
      <c r="H812">
        <v>241</v>
      </c>
      <c r="I812" t="s">
        <v>129</v>
      </c>
      <c r="J812" t="s">
        <v>130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"06:14:21.320"</f>
        <v>06:14:21.320</v>
      </c>
      <c r="T812" t="str">
        <f>"06:14:20.920"</f>
        <v>06:14:20.920</v>
      </c>
      <c r="U812" t="str">
        <f t="shared" si="37"/>
        <v>A7E2E0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629</v>
      </c>
      <c r="AJ812">
        <v>39.094934000000002</v>
      </c>
      <c r="AK812" t="s">
        <v>630</v>
      </c>
      <c r="AL812">
        <v>-87.482994000000005</v>
      </c>
      <c r="AM812">
        <v>100</v>
      </c>
      <c r="AN812">
        <v>2800</v>
      </c>
      <c r="AO812" t="s">
        <v>118</v>
      </c>
      <c r="AP812">
        <v>-56</v>
      </c>
      <c r="AQ812">
        <v>-142</v>
      </c>
      <c r="AR812">
        <v>64</v>
      </c>
      <c r="AZ812">
        <v>4552</v>
      </c>
      <c r="BA812">
        <v>1</v>
      </c>
      <c r="BB812" t="str">
        <f t="shared" si="38"/>
        <v xml:space="preserve">N607SR  </v>
      </c>
      <c r="BC812">
        <v>1</v>
      </c>
      <c r="BE812">
        <v>0</v>
      </c>
      <c r="BF812">
        <v>0</v>
      </c>
      <c r="BG812">
        <v>0</v>
      </c>
      <c r="BH812">
        <v>2575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"06:14:21.321"</f>
        <v>06:14:21.321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6</v>
      </c>
      <c r="CP812" t="s">
        <v>119</v>
      </c>
      <c r="CQ812">
        <v>517</v>
      </c>
      <c r="CR812">
        <v>1</v>
      </c>
      <c r="CW812">
        <v>2478146</v>
      </c>
      <c r="CY812">
        <v>1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"08/29/2020 06:14:18.090"</f>
        <v>08/29/2020 06:14:18.090</v>
      </c>
      <c r="C813" t="str">
        <f t="shared" si="36"/>
        <v>FFDFD3C0</v>
      </c>
      <c r="D813" t="s">
        <v>113</v>
      </c>
      <c r="E813">
        <v>5</v>
      </c>
      <c r="H813">
        <v>163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"06:14:21.320"</f>
        <v>06:14:21.320</v>
      </c>
      <c r="T813" t="str">
        <f>"06:14:20.920"</f>
        <v>06:14:20.920</v>
      </c>
      <c r="U813" t="str">
        <f t="shared" si="37"/>
        <v>A7E2E0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629</v>
      </c>
      <c r="AJ813">
        <v>39.094934000000002</v>
      </c>
      <c r="AK813" t="s">
        <v>630</v>
      </c>
      <c r="AL813">
        <v>-87.482994000000005</v>
      </c>
      <c r="AM813">
        <v>100</v>
      </c>
      <c r="AN813">
        <v>2800</v>
      </c>
      <c r="AO813" t="s">
        <v>118</v>
      </c>
      <c r="AP813">
        <v>-56</v>
      </c>
      <c r="AQ813">
        <v>-142</v>
      </c>
      <c r="AR813">
        <v>64</v>
      </c>
      <c r="AZ813">
        <v>4552</v>
      </c>
      <c r="BA813">
        <v>1</v>
      </c>
      <c r="BB813" t="str">
        <f t="shared" si="38"/>
        <v xml:space="preserve">N607SR  </v>
      </c>
      <c r="BC813">
        <v>1</v>
      </c>
      <c r="BE813">
        <v>0</v>
      </c>
      <c r="BF813">
        <v>0</v>
      </c>
      <c r="BG813">
        <v>0</v>
      </c>
      <c r="BH813">
        <v>2575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"06:14:21.321"</f>
        <v>06:14:21.321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6</v>
      </c>
      <c r="CP813" t="s">
        <v>119</v>
      </c>
      <c r="CQ813">
        <v>517</v>
      </c>
      <c r="CR813">
        <v>1</v>
      </c>
      <c r="CW813">
        <v>2478146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"08/29/2020 06:14:18.507"</f>
        <v>08/29/2020 06:14:18.507</v>
      </c>
      <c r="C814" t="str">
        <f t="shared" si="36"/>
        <v>FFDFD3C0</v>
      </c>
      <c r="D814" t="s">
        <v>121</v>
      </c>
      <c r="E814">
        <v>13</v>
      </c>
      <c r="F814">
        <v>1013</v>
      </c>
      <c r="G814" t="s">
        <v>122</v>
      </c>
      <c r="J814" t="s">
        <v>123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"06:14:21.719"</f>
        <v>06:14:21.719</v>
      </c>
      <c r="T814" t="str">
        <f>"06:14:21.419"</f>
        <v>06:14:21.419</v>
      </c>
      <c r="U814" t="str">
        <f t="shared" si="37"/>
        <v>A7E2E0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631</v>
      </c>
      <c r="AJ814">
        <v>39.094656000000001</v>
      </c>
      <c r="AK814" t="s">
        <v>632</v>
      </c>
      <c r="AL814">
        <v>-87.483165</v>
      </c>
      <c r="AM814">
        <v>100</v>
      </c>
      <c r="AN814">
        <v>2800</v>
      </c>
      <c r="AO814" t="s">
        <v>118</v>
      </c>
      <c r="AP814">
        <v>-57</v>
      </c>
      <c r="AQ814">
        <v>-142</v>
      </c>
      <c r="AR814">
        <v>64</v>
      </c>
      <c r="AZ814">
        <v>4552</v>
      </c>
      <c r="BA814">
        <v>1</v>
      </c>
      <c r="BB814" t="str">
        <f t="shared" si="38"/>
        <v xml:space="preserve">N607SR  </v>
      </c>
      <c r="BC814">
        <v>1</v>
      </c>
      <c r="BE814">
        <v>0</v>
      </c>
      <c r="BF814">
        <v>0</v>
      </c>
      <c r="BG814">
        <v>0</v>
      </c>
      <c r="BH814">
        <v>2575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"06:14:21.725"</f>
        <v>06:14:21.725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6</v>
      </c>
      <c r="CP814" t="s">
        <v>119</v>
      </c>
      <c r="CQ814">
        <v>457</v>
      </c>
      <c r="CR814">
        <v>0</v>
      </c>
      <c r="CW814">
        <v>15513326</v>
      </c>
      <c r="CY814">
        <v>1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"08/29/2020 06:14:18.507"</f>
        <v>08/29/2020 06:14:18.507</v>
      </c>
      <c r="C815" t="str">
        <f t="shared" si="36"/>
        <v>FFDFD3C0</v>
      </c>
      <c r="D815" t="s">
        <v>121</v>
      </c>
      <c r="E815">
        <v>11</v>
      </c>
      <c r="F815">
        <v>1011</v>
      </c>
      <c r="G815" t="s">
        <v>125</v>
      </c>
      <c r="J815" t="s">
        <v>123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"06:14:21.719"</f>
        <v>06:14:21.719</v>
      </c>
      <c r="T815" t="str">
        <f>"06:14:21.419"</f>
        <v>06:14:21.419</v>
      </c>
      <c r="U815" t="str">
        <f t="shared" si="37"/>
        <v>A7E2E0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631</v>
      </c>
      <c r="AJ815">
        <v>39.094656000000001</v>
      </c>
      <c r="AK815" t="s">
        <v>632</v>
      </c>
      <c r="AL815">
        <v>-87.483165</v>
      </c>
      <c r="AM815">
        <v>100</v>
      </c>
      <c r="AN815">
        <v>2800</v>
      </c>
      <c r="AO815" t="s">
        <v>118</v>
      </c>
      <c r="AP815">
        <v>-57</v>
      </c>
      <c r="AQ815">
        <v>-142</v>
      </c>
      <c r="AR815">
        <v>64</v>
      </c>
      <c r="AZ815">
        <v>4552</v>
      </c>
      <c r="BA815">
        <v>1</v>
      </c>
      <c r="BB815" t="str">
        <f t="shared" si="38"/>
        <v xml:space="preserve">N607SR  </v>
      </c>
      <c r="BC815">
        <v>1</v>
      </c>
      <c r="BE815">
        <v>0</v>
      </c>
      <c r="BF815">
        <v>0</v>
      </c>
      <c r="BG815">
        <v>0</v>
      </c>
      <c r="BH815">
        <v>2575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"06:14:21.725"</f>
        <v>06:14:21.725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6</v>
      </c>
      <c r="CP815" t="s">
        <v>119</v>
      </c>
      <c r="CQ815">
        <v>457</v>
      </c>
      <c r="CR815">
        <v>0</v>
      </c>
      <c r="CW815">
        <v>15513326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"08/29/2020 06:14:18.507"</f>
        <v>08/29/2020 06:14:18.507</v>
      </c>
      <c r="C816" t="str">
        <f t="shared" si="36"/>
        <v>FFDFD3C0</v>
      </c>
      <c r="D816" t="s">
        <v>121</v>
      </c>
      <c r="E816">
        <v>10</v>
      </c>
      <c r="F816">
        <v>1010</v>
      </c>
      <c r="G816" t="s">
        <v>114</v>
      </c>
      <c r="J816" t="s">
        <v>123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"06:14:21.719"</f>
        <v>06:14:21.719</v>
      </c>
      <c r="T816" t="str">
        <f>"06:14:21.419"</f>
        <v>06:14:21.419</v>
      </c>
      <c r="U816" t="str">
        <f t="shared" si="37"/>
        <v>A7E2E0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631</v>
      </c>
      <c r="AJ816">
        <v>39.094656000000001</v>
      </c>
      <c r="AK816" t="s">
        <v>632</v>
      </c>
      <c r="AL816">
        <v>-87.483165</v>
      </c>
      <c r="AM816">
        <v>100</v>
      </c>
      <c r="AN816">
        <v>2800</v>
      </c>
      <c r="AO816" t="s">
        <v>118</v>
      </c>
      <c r="AP816">
        <v>-57</v>
      </c>
      <c r="AQ816">
        <v>-142</v>
      </c>
      <c r="AR816">
        <v>64</v>
      </c>
      <c r="AZ816">
        <v>4552</v>
      </c>
      <c r="BA816">
        <v>1</v>
      </c>
      <c r="BB816" t="str">
        <f t="shared" si="38"/>
        <v xml:space="preserve">N607SR  </v>
      </c>
      <c r="BC816">
        <v>1</v>
      </c>
      <c r="BE816">
        <v>0</v>
      </c>
      <c r="BF816">
        <v>0</v>
      </c>
      <c r="BG816">
        <v>0</v>
      </c>
      <c r="BH816">
        <v>2575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"06:14:21.725"</f>
        <v>06:14:21.725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6</v>
      </c>
      <c r="CP816" t="s">
        <v>119</v>
      </c>
      <c r="CQ816">
        <v>457</v>
      </c>
      <c r="CR816">
        <v>0</v>
      </c>
      <c r="CW816">
        <v>15513326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"08/29/2020 06:14:18.962"</f>
        <v>08/29/2020 06:14:18.962</v>
      </c>
      <c r="C817" t="str">
        <f t="shared" si="36"/>
        <v>FFDFD3C0</v>
      </c>
      <c r="D817" t="s">
        <v>113</v>
      </c>
      <c r="E817">
        <v>5</v>
      </c>
      <c r="H817">
        <v>163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"06:14:22.219"</f>
        <v>06:14:22.219</v>
      </c>
      <c r="T817" t="str">
        <f>"06:14:21.819"</f>
        <v>06:14:21.819</v>
      </c>
      <c r="U817" t="str">
        <f t="shared" si="37"/>
        <v>A7E2E0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633</v>
      </c>
      <c r="AJ817">
        <v>39.094334000000003</v>
      </c>
      <c r="AK817" t="s">
        <v>634</v>
      </c>
      <c r="AL817">
        <v>-87.483337000000006</v>
      </c>
      <c r="AM817">
        <v>100</v>
      </c>
      <c r="AN817">
        <v>2800</v>
      </c>
      <c r="AO817" t="s">
        <v>118</v>
      </c>
      <c r="AP817">
        <v>-58</v>
      </c>
      <c r="AQ817">
        <v>-142</v>
      </c>
      <c r="AR817">
        <v>64</v>
      </c>
      <c r="AZ817">
        <v>4552</v>
      </c>
      <c r="BA817">
        <v>1</v>
      </c>
      <c r="BB817" t="str">
        <f t="shared" si="38"/>
        <v xml:space="preserve">N607SR  </v>
      </c>
      <c r="BC817">
        <v>1</v>
      </c>
      <c r="BE817">
        <v>0</v>
      </c>
      <c r="BF817">
        <v>0</v>
      </c>
      <c r="BG817">
        <v>0</v>
      </c>
      <c r="BH817">
        <v>2575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"06:14:22.220"</f>
        <v>06:14:22.220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6</v>
      </c>
      <c r="CP817" t="s">
        <v>119</v>
      </c>
      <c r="CQ817">
        <v>457</v>
      </c>
      <c r="CR817">
        <v>0</v>
      </c>
      <c r="CW817">
        <v>15513344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"08/29/2020 06:14:18.962"</f>
        <v>08/29/2020 06:14:18.962</v>
      </c>
      <c r="C818" t="str">
        <f t="shared" si="36"/>
        <v>FFDFD3C0</v>
      </c>
      <c r="D818" t="s">
        <v>128</v>
      </c>
      <c r="E818">
        <v>5</v>
      </c>
      <c r="H818">
        <v>241</v>
      </c>
      <c r="I818" t="s">
        <v>129</v>
      </c>
      <c r="J818" t="s">
        <v>130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"06:14:22.219"</f>
        <v>06:14:22.219</v>
      </c>
      <c r="T818" t="str">
        <f>"06:14:21.819"</f>
        <v>06:14:21.819</v>
      </c>
      <c r="U818" t="str">
        <f t="shared" si="37"/>
        <v>A7E2E0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633</v>
      </c>
      <c r="AJ818">
        <v>39.094334000000003</v>
      </c>
      <c r="AK818" t="s">
        <v>634</v>
      </c>
      <c r="AL818">
        <v>-87.483337000000006</v>
      </c>
      <c r="AM818">
        <v>100</v>
      </c>
      <c r="AN818">
        <v>2800</v>
      </c>
      <c r="AO818" t="s">
        <v>118</v>
      </c>
      <c r="AP818">
        <v>-58</v>
      </c>
      <c r="AQ818">
        <v>-142</v>
      </c>
      <c r="AR818">
        <v>64</v>
      </c>
      <c r="AZ818">
        <v>4552</v>
      </c>
      <c r="BA818">
        <v>1</v>
      </c>
      <c r="BB818" t="str">
        <f t="shared" si="38"/>
        <v xml:space="preserve">N607SR  </v>
      </c>
      <c r="BC818">
        <v>1</v>
      </c>
      <c r="BE818">
        <v>0</v>
      </c>
      <c r="BF818">
        <v>0</v>
      </c>
      <c r="BG818">
        <v>0</v>
      </c>
      <c r="BH818">
        <v>2575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"06:14:22.220"</f>
        <v>06:14:22.220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6</v>
      </c>
      <c r="CP818" t="s">
        <v>119</v>
      </c>
      <c r="CQ818">
        <v>457</v>
      </c>
      <c r="CR818">
        <v>0</v>
      </c>
      <c r="CW818">
        <v>15513344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"08/29/2020 06:14:19.521"</f>
        <v>08/29/2020 06:14:19.521</v>
      </c>
      <c r="C819" t="str">
        <f t="shared" si="36"/>
        <v>FFDFD3C0</v>
      </c>
      <c r="D819" t="s">
        <v>121</v>
      </c>
      <c r="E819">
        <v>13</v>
      </c>
      <c r="F819">
        <v>1013</v>
      </c>
      <c r="G819" t="s">
        <v>122</v>
      </c>
      <c r="J819" t="s">
        <v>123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"06:14:22.750"</f>
        <v>06:14:22.750</v>
      </c>
      <c r="U819" t="str">
        <f t="shared" si="37"/>
        <v>A7E2E0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635</v>
      </c>
      <c r="AJ819">
        <v>39.094033000000003</v>
      </c>
      <c r="AK819" t="s">
        <v>636</v>
      </c>
      <c r="AL819">
        <v>-87.483530000000002</v>
      </c>
      <c r="AM819">
        <v>100</v>
      </c>
      <c r="AN819">
        <v>2800</v>
      </c>
      <c r="AO819" t="s">
        <v>118</v>
      </c>
      <c r="AP819">
        <v>-61</v>
      </c>
      <c r="AQ819">
        <v>-142</v>
      </c>
      <c r="AR819">
        <v>64</v>
      </c>
      <c r="AZ819">
        <v>4552</v>
      </c>
      <c r="BA819">
        <v>1</v>
      </c>
      <c r="BB819" t="str">
        <f t="shared" si="38"/>
        <v xml:space="preserve">N607SR  </v>
      </c>
      <c r="BC819">
        <v>1</v>
      </c>
      <c r="BE819">
        <v>0</v>
      </c>
      <c r="BF819">
        <v>0</v>
      </c>
      <c r="BG819">
        <v>0</v>
      </c>
      <c r="BH819">
        <v>2575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"06:14:22.756"</f>
        <v>06:14:22.756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6</v>
      </c>
      <c r="CP819" t="s">
        <v>119</v>
      </c>
      <c r="CQ819">
        <v>457</v>
      </c>
      <c r="CR819">
        <v>0</v>
      </c>
      <c r="CW819">
        <v>15513358</v>
      </c>
      <c r="CY819">
        <v>1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"08/29/2020 06:14:19.521"</f>
        <v>08/29/2020 06:14:19.521</v>
      </c>
      <c r="C820" t="str">
        <f t="shared" si="36"/>
        <v>FFDFD3C0</v>
      </c>
      <c r="D820" t="s">
        <v>121</v>
      </c>
      <c r="E820">
        <v>11</v>
      </c>
      <c r="F820">
        <v>1011</v>
      </c>
      <c r="G820" t="s">
        <v>125</v>
      </c>
      <c r="J820" t="s">
        <v>123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"06:14:22.750"</f>
        <v>06:14:22.750</v>
      </c>
      <c r="U820" t="str">
        <f t="shared" si="37"/>
        <v>A7E2E0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635</v>
      </c>
      <c r="AJ820">
        <v>39.094033000000003</v>
      </c>
      <c r="AK820" t="s">
        <v>636</v>
      </c>
      <c r="AL820">
        <v>-87.483530000000002</v>
      </c>
      <c r="AM820">
        <v>100</v>
      </c>
      <c r="AN820">
        <v>2800</v>
      </c>
      <c r="AO820" t="s">
        <v>118</v>
      </c>
      <c r="AP820">
        <v>-61</v>
      </c>
      <c r="AQ820">
        <v>-142</v>
      </c>
      <c r="AR820">
        <v>64</v>
      </c>
      <c r="AZ820">
        <v>4552</v>
      </c>
      <c r="BA820">
        <v>1</v>
      </c>
      <c r="BB820" t="str">
        <f t="shared" si="38"/>
        <v xml:space="preserve">N607SR  </v>
      </c>
      <c r="BC820">
        <v>1</v>
      </c>
      <c r="BE820">
        <v>0</v>
      </c>
      <c r="BF820">
        <v>0</v>
      </c>
      <c r="BG820">
        <v>0</v>
      </c>
      <c r="BH820">
        <v>2575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"06:14:22.756"</f>
        <v>06:14:22.756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6</v>
      </c>
      <c r="CP820" t="s">
        <v>119</v>
      </c>
      <c r="CQ820">
        <v>457</v>
      </c>
      <c r="CR820">
        <v>0</v>
      </c>
      <c r="CW820">
        <v>15513358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"08/29/2020 06:14:19.521"</f>
        <v>08/29/2020 06:14:19.521</v>
      </c>
      <c r="C821" t="str">
        <f t="shared" si="36"/>
        <v>FFDFD3C0</v>
      </c>
      <c r="D821" t="s">
        <v>121</v>
      </c>
      <c r="E821">
        <v>10</v>
      </c>
      <c r="F821">
        <v>1010</v>
      </c>
      <c r="G821" t="s">
        <v>114</v>
      </c>
      <c r="J821" t="s">
        <v>123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"06:14:22.750"</f>
        <v>06:14:22.750</v>
      </c>
      <c r="U821" t="str">
        <f t="shared" si="37"/>
        <v>A7E2E0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635</v>
      </c>
      <c r="AJ821">
        <v>39.094033000000003</v>
      </c>
      <c r="AK821" t="s">
        <v>636</v>
      </c>
      <c r="AL821">
        <v>-87.483530000000002</v>
      </c>
      <c r="AM821">
        <v>100</v>
      </c>
      <c r="AN821">
        <v>2800</v>
      </c>
      <c r="AO821" t="s">
        <v>118</v>
      </c>
      <c r="AP821">
        <v>-61</v>
      </c>
      <c r="AQ821">
        <v>-142</v>
      </c>
      <c r="AR821">
        <v>64</v>
      </c>
      <c r="AZ821">
        <v>4552</v>
      </c>
      <c r="BA821">
        <v>1</v>
      </c>
      <c r="BB821" t="str">
        <f t="shared" si="38"/>
        <v xml:space="preserve">N607SR  </v>
      </c>
      <c r="BC821">
        <v>1</v>
      </c>
      <c r="BE821">
        <v>0</v>
      </c>
      <c r="BF821">
        <v>0</v>
      </c>
      <c r="BG821">
        <v>0</v>
      </c>
      <c r="BH821">
        <v>2575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"06:14:22.756"</f>
        <v>06:14:22.756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6</v>
      </c>
      <c r="CP821" t="s">
        <v>119</v>
      </c>
      <c r="CQ821">
        <v>457</v>
      </c>
      <c r="CR821">
        <v>0</v>
      </c>
      <c r="CW821">
        <v>15513358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"08/29/2020 06:14:20.069"</f>
        <v>08/29/2020 06:14:20.069</v>
      </c>
      <c r="C822" t="str">
        <f t="shared" si="36"/>
        <v>FFDFD3C0</v>
      </c>
      <c r="D822" t="s">
        <v>128</v>
      </c>
      <c r="E822">
        <v>5</v>
      </c>
      <c r="H822">
        <v>241</v>
      </c>
      <c r="I822" t="s">
        <v>129</v>
      </c>
      <c r="J822" t="s">
        <v>130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"06:14:23.289"</f>
        <v>06:14:23.289</v>
      </c>
      <c r="T822" t="str">
        <f>"06:14:22.789"</f>
        <v>06:14:22.789</v>
      </c>
      <c r="U822" t="str">
        <f t="shared" si="37"/>
        <v>A7E2E0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637</v>
      </c>
      <c r="AJ822">
        <v>39.093690000000002</v>
      </c>
      <c r="AK822" t="s">
        <v>638</v>
      </c>
      <c r="AL822">
        <v>-87.483701999999994</v>
      </c>
      <c r="AM822">
        <v>100</v>
      </c>
      <c r="AN822">
        <v>2800</v>
      </c>
      <c r="AO822" t="s">
        <v>118</v>
      </c>
      <c r="AP822">
        <v>-61</v>
      </c>
      <c r="AQ822">
        <v>-142</v>
      </c>
      <c r="AR822">
        <v>64</v>
      </c>
      <c r="AZ822">
        <v>4552</v>
      </c>
      <c r="BA822">
        <v>1</v>
      </c>
      <c r="BB822" t="str">
        <f t="shared" si="38"/>
        <v xml:space="preserve">N607SR  </v>
      </c>
      <c r="BC822">
        <v>1</v>
      </c>
      <c r="BE822">
        <v>0</v>
      </c>
      <c r="BF822">
        <v>0</v>
      </c>
      <c r="BG822">
        <v>0</v>
      </c>
      <c r="BH822">
        <v>2575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"06:14:23.297"</f>
        <v>06:14:23.297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6</v>
      </c>
      <c r="CP822" t="s">
        <v>119</v>
      </c>
      <c r="CQ822">
        <v>457</v>
      </c>
      <c r="CR822">
        <v>0</v>
      </c>
      <c r="CW822">
        <v>15513375</v>
      </c>
      <c r="CY822">
        <v>1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"08/29/2020 06:14:20.069"</f>
        <v>08/29/2020 06:14:20.069</v>
      </c>
      <c r="C823" t="str">
        <f t="shared" si="36"/>
        <v>FFDFD3C0</v>
      </c>
      <c r="D823" t="s">
        <v>113</v>
      </c>
      <c r="E823">
        <v>5</v>
      </c>
      <c r="H823">
        <v>163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"06:14:23.289"</f>
        <v>06:14:23.289</v>
      </c>
      <c r="T823" t="str">
        <f>"06:14:22.789"</f>
        <v>06:14:22.789</v>
      </c>
      <c r="U823" t="str">
        <f t="shared" si="37"/>
        <v>A7E2E0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637</v>
      </c>
      <c r="AJ823">
        <v>39.093690000000002</v>
      </c>
      <c r="AK823" t="s">
        <v>638</v>
      </c>
      <c r="AL823">
        <v>-87.483701999999994</v>
      </c>
      <c r="AM823">
        <v>100</v>
      </c>
      <c r="AN823">
        <v>2800</v>
      </c>
      <c r="AO823" t="s">
        <v>118</v>
      </c>
      <c r="AP823">
        <v>-61</v>
      </c>
      <c r="AQ823">
        <v>-142</v>
      </c>
      <c r="AR823">
        <v>64</v>
      </c>
      <c r="AZ823">
        <v>4552</v>
      </c>
      <c r="BA823">
        <v>1</v>
      </c>
      <c r="BB823" t="str">
        <f t="shared" si="38"/>
        <v xml:space="preserve">N607SR  </v>
      </c>
      <c r="BC823">
        <v>1</v>
      </c>
      <c r="BE823">
        <v>0</v>
      </c>
      <c r="BF823">
        <v>0</v>
      </c>
      <c r="BG823">
        <v>0</v>
      </c>
      <c r="BH823">
        <v>2575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"06:14:23.297"</f>
        <v>06:14:23.297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6</v>
      </c>
      <c r="CP823" t="s">
        <v>119</v>
      </c>
      <c r="CQ823">
        <v>457</v>
      </c>
      <c r="CR823">
        <v>0</v>
      </c>
      <c r="CW823">
        <v>15513375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"08/29/2020 06:14:20.635"</f>
        <v>08/29/2020 06:14:20.635</v>
      </c>
      <c r="C824" t="str">
        <f t="shared" si="36"/>
        <v>FFDFD3C0</v>
      </c>
      <c r="D824" t="s">
        <v>121</v>
      </c>
      <c r="E824">
        <v>13</v>
      </c>
      <c r="F824">
        <v>1013</v>
      </c>
      <c r="G824" t="s">
        <v>122</v>
      </c>
      <c r="J824" t="s">
        <v>123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"06:14:23.844"</f>
        <v>06:14:23.844</v>
      </c>
      <c r="T824" t="str">
        <f>"06:14:23.344"</f>
        <v>06:14:23.344</v>
      </c>
      <c r="U824" t="str">
        <f t="shared" si="37"/>
        <v>A7E2E0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639</v>
      </c>
      <c r="AJ824">
        <v>39.093304000000003</v>
      </c>
      <c r="AK824" t="s">
        <v>640</v>
      </c>
      <c r="AL824">
        <v>-87.483937999999995</v>
      </c>
      <c r="AM824">
        <v>100</v>
      </c>
      <c r="AN824">
        <v>2800</v>
      </c>
      <c r="AO824" t="s">
        <v>118</v>
      </c>
      <c r="AP824">
        <v>-62</v>
      </c>
      <c r="AQ824">
        <v>-141</v>
      </c>
      <c r="AR824">
        <v>64</v>
      </c>
      <c r="AZ824">
        <v>4552</v>
      </c>
      <c r="BA824">
        <v>1</v>
      </c>
      <c r="BB824" t="str">
        <f t="shared" si="38"/>
        <v xml:space="preserve">N607SR  </v>
      </c>
      <c r="BC824">
        <v>1</v>
      </c>
      <c r="BE824">
        <v>0</v>
      </c>
      <c r="BF824">
        <v>0</v>
      </c>
      <c r="BG824">
        <v>0</v>
      </c>
      <c r="BH824">
        <v>2575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"06:14:23.844"</f>
        <v>06:14:23.844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6</v>
      </c>
      <c r="CP824" t="s">
        <v>119</v>
      </c>
      <c r="CQ824">
        <v>457</v>
      </c>
      <c r="CR824">
        <v>0</v>
      </c>
      <c r="CW824">
        <v>15513395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"08/29/2020 06:14:20.635"</f>
        <v>08/29/2020 06:14:20.635</v>
      </c>
      <c r="C825" t="str">
        <f t="shared" si="36"/>
        <v>FFDFD3C0</v>
      </c>
      <c r="D825" t="s">
        <v>121</v>
      </c>
      <c r="E825">
        <v>10</v>
      </c>
      <c r="F825">
        <v>1010</v>
      </c>
      <c r="G825" t="s">
        <v>114</v>
      </c>
      <c r="J825" t="s">
        <v>123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"06:14:23.844"</f>
        <v>06:14:23.844</v>
      </c>
      <c r="T825" t="str">
        <f>"06:14:23.344"</f>
        <v>06:14:23.344</v>
      </c>
      <c r="U825" t="str">
        <f t="shared" si="37"/>
        <v>A7E2E0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639</v>
      </c>
      <c r="AJ825">
        <v>39.093304000000003</v>
      </c>
      <c r="AK825" t="s">
        <v>640</v>
      </c>
      <c r="AL825">
        <v>-87.483937999999995</v>
      </c>
      <c r="AM825">
        <v>100</v>
      </c>
      <c r="AN825">
        <v>2800</v>
      </c>
      <c r="AO825" t="s">
        <v>118</v>
      </c>
      <c r="AP825">
        <v>-62</v>
      </c>
      <c r="AQ825">
        <v>-141</v>
      </c>
      <c r="AR825">
        <v>64</v>
      </c>
      <c r="AZ825">
        <v>4552</v>
      </c>
      <c r="BA825">
        <v>1</v>
      </c>
      <c r="BB825" t="str">
        <f t="shared" si="38"/>
        <v xml:space="preserve">N607SR  </v>
      </c>
      <c r="BC825">
        <v>1</v>
      </c>
      <c r="BE825">
        <v>0</v>
      </c>
      <c r="BF825">
        <v>0</v>
      </c>
      <c r="BG825">
        <v>0</v>
      </c>
      <c r="BH825">
        <v>2575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"06:14:23.844"</f>
        <v>06:14:23.844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6</v>
      </c>
      <c r="CP825" t="s">
        <v>119</v>
      </c>
      <c r="CQ825">
        <v>457</v>
      </c>
      <c r="CR825">
        <v>0</v>
      </c>
      <c r="CW825">
        <v>15513395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"08/29/2020 06:14:20.635"</f>
        <v>08/29/2020 06:14:20.635</v>
      </c>
      <c r="C826" t="str">
        <f t="shared" si="36"/>
        <v>FFDFD3C0</v>
      </c>
      <c r="D826" t="s">
        <v>121</v>
      </c>
      <c r="E826">
        <v>11</v>
      </c>
      <c r="F826">
        <v>1011</v>
      </c>
      <c r="G826" t="s">
        <v>125</v>
      </c>
      <c r="J826" t="s">
        <v>123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"06:14:23.844"</f>
        <v>06:14:23.844</v>
      </c>
      <c r="T826" t="str">
        <f>"06:14:23.344"</f>
        <v>06:14:23.344</v>
      </c>
      <c r="U826" t="str">
        <f t="shared" si="37"/>
        <v>A7E2E0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639</v>
      </c>
      <c r="AJ826">
        <v>39.093304000000003</v>
      </c>
      <c r="AK826" t="s">
        <v>640</v>
      </c>
      <c r="AL826">
        <v>-87.483937999999995</v>
      </c>
      <c r="AM826">
        <v>100</v>
      </c>
      <c r="AN826">
        <v>2800</v>
      </c>
      <c r="AO826" t="s">
        <v>118</v>
      </c>
      <c r="AP826">
        <v>-62</v>
      </c>
      <c r="AQ826">
        <v>-141</v>
      </c>
      <c r="AR826">
        <v>64</v>
      </c>
      <c r="AZ826">
        <v>4552</v>
      </c>
      <c r="BA826">
        <v>1</v>
      </c>
      <c r="BB826" t="str">
        <f t="shared" si="38"/>
        <v xml:space="preserve">N607SR  </v>
      </c>
      <c r="BC826">
        <v>1</v>
      </c>
      <c r="BE826">
        <v>0</v>
      </c>
      <c r="BF826">
        <v>0</v>
      </c>
      <c r="BG826">
        <v>0</v>
      </c>
      <c r="BH826">
        <v>2575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"06:14:23.844"</f>
        <v>06:14:23.844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6</v>
      </c>
      <c r="CP826" t="s">
        <v>119</v>
      </c>
      <c r="CQ826">
        <v>457</v>
      </c>
      <c r="CR826">
        <v>0</v>
      </c>
      <c r="CW826">
        <v>15513395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"08/29/2020 06:14:21.135"</f>
        <v>08/29/2020 06:14:21.135</v>
      </c>
      <c r="C827" t="str">
        <f t="shared" si="36"/>
        <v>FFDFD3C0</v>
      </c>
      <c r="D827" t="s">
        <v>128</v>
      </c>
      <c r="E827">
        <v>5</v>
      </c>
      <c r="H827">
        <v>241</v>
      </c>
      <c r="I827" t="s">
        <v>129</v>
      </c>
      <c r="J827" t="s">
        <v>130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"06:14:24.336"</f>
        <v>06:14:24.336</v>
      </c>
      <c r="T827" t="str">
        <f>"06:14:23.936"</f>
        <v>06:14:23.936</v>
      </c>
      <c r="U827" t="str">
        <f t="shared" si="37"/>
        <v>A7E2E0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641</v>
      </c>
      <c r="AJ827">
        <v>39.092981999999999</v>
      </c>
      <c r="AK827" t="s">
        <v>642</v>
      </c>
      <c r="AL827">
        <v>-87.484131000000005</v>
      </c>
      <c r="AM827">
        <v>100</v>
      </c>
      <c r="AN827">
        <v>2800</v>
      </c>
      <c r="AO827" t="s">
        <v>118</v>
      </c>
      <c r="AP827">
        <v>-64</v>
      </c>
      <c r="AQ827">
        <v>-141</v>
      </c>
      <c r="AR827">
        <v>64</v>
      </c>
      <c r="AZ827">
        <v>4552</v>
      </c>
      <c r="BA827">
        <v>1</v>
      </c>
      <c r="BB827" t="str">
        <f t="shared" si="38"/>
        <v xml:space="preserve">N607SR  </v>
      </c>
      <c r="BC827">
        <v>1</v>
      </c>
      <c r="BE827">
        <v>0</v>
      </c>
      <c r="BF827">
        <v>0</v>
      </c>
      <c r="BG827">
        <v>0</v>
      </c>
      <c r="BH827">
        <v>2575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"06:14:24.344"</f>
        <v>06:14:24.344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457</v>
      </c>
      <c r="CR827">
        <v>0</v>
      </c>
      <c r="CW827">
        <v>15513408</v>
      </c>
      <c r="CY827">
        <v>1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"08/29/2020 06:14:21.135"</f>
        <v>08/29/2020 06:14:21.135</v>
      </c>
      <c r="C828" t="str">
        <f t="shared" si="36"/>
        <v>FFDFD3C0</v>
      </c>
      <c r="D828" t="s">
        <v>113</v>
      </c>
      <c r="E828">
        <v>5</v>
      </c>
      <c r="H828">
        <v>163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"06:14:24.336"</f>
        <v>06:14:24.336</v>
      </c>
      <c r="T828" t="str">
        <f>"06:14:23.936"</f>
        <v>06:14:23.936</v>
      </c>
      <c r="U828" t="str">
        <f t="shared" si="37"/>
        <v>A7E2E0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641</v>
      </c>
      <c r="AJ828">
        <v>39.092981999999999</v>
      </c>
      <c r="AK828" t="s">
        <v>642</v>
      </c>
      <c r="AL828">
        <v>-87.484131000000005</v>
      </c>
      <c r="AM828">
        <v>100</v>
      </c>
      <c r="AN828">
        <v>2800</v>
      </c>
      <c r="AO828" t="s">
        <v>118</v>
      </c>
      <c r="AP828">
        <v>-64</v>
      </c>
      <c r="AQ828">
        <v>-141</v>
      </c>
      <c r="AR828">
        <v>64</v>
      </c>
      <c r="AZ828">
        <v>4552</v>
      </c>
      <c r="BA828">
        <v>1</v>
      </c>
      <c r="BB828" t="str">
        <f t="shared" si="38"/>
        <v xml:space="preserve">N607SR  </v>
      </c>
      <c r="BC828">
        <v>1</v>
      </c>
      <c r="BE828">
        <v>0</v>
      </c>
      <c r="BF828">
        <v>0</v>
      </c>
      <c r="BG828">
        <v>0</v>
      </c>
      <c r="BH828">
        <v>2575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"06:14:24.344"</f>
        <v>06:14:24.344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457</v>
      </c>
      <c r="CR828">
        <v>0</v>
      </c>
      <c r="CW828">
        <v>15513408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"08/29/2020 06:14:21.699"</f>
        <v>08/29/2020 06:14:21.699</v>
      </c>
      <c r="C829" t="str">
        <f t="shared" si="36"/>
        <v>FFDFD3C0</v>
      </c>
      <c r="D829" t="s">
        <v>121</v>
      </c>
      <c r="E829">
        <v>13</v>
      </c>
      <c r="F829">
        <v>1013</v>
      </c>
      <c r="G829" t="s">
        <v>122</v>
      </c>
      <c r="J829" t="s">
        <v>123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"06:14:24.906"</f>
        <v>06:14:24.906</v>
      </c>
      <c r="T829" t="str">
        <f>"06:14:24.406"</f>
        <v>06:14:24.406</v>
      </c>
      <c r="U829" t="str">
        <f t="shared" si="37"/>
        <v>A7E2E0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643</v>
      </c>
      <c r="AJ829">
        <v>39.092553000000002</v>
      </c>
      <c r="AK829" t="s">
        <v>644</v>
      </c>
      <c r="AL829">
        <v>-87.484367000000006</v>
      </c>
      <c r="AM829">
        <v>100</v>
      </c>
      <c r="AN829">
        <v>2800</v>
      </c>
      <c r="AO829" t="s">
        <v>118</v>
      </c>
      <c r="AP829">
        <v>-64</v>
      </c>
      <c r="AQ829">
        <v>-141</v>
      </c>
      <c r="AR829">
        <v>64</v>
      </c>
      <c r="AZ829">
        <v>4552</v>
      </c>
      <c r="BA829">
        <v>1</v>
      </c>
      <c r="BB829" t="str">
        <f t="shared" si="38"/>
        <v xml:space="preserve">N607SR  </v>
      </c>
      <c r="BC829">
        <v>1</v>
      </c>
      <c r="BE829">
        <v>0</v>
      </c>
      <c r="BF829">
        <v>0</v>
      </c>
      <c r="BG829">
        <v>0</v>
      </c>
      <c r="BH829">
        <v>2575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"06:14:24.907"</f>
        <v>06:14:24.907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6</v>
      </c>
      <c r="CP829" t="s">
        <v>119</v>
      </c>
      <c r="CQ829">
        <v>177</v>
      </c>
      <c r="CR829">
        <v>2</v>
      </c>
      <c r="CW829">
        <v>1626106</v>
      </c>
      <c r="CY829">
        <v>1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"08/29/2020 06:14:21.699"</f>
        <v>08/29/2020 06:14:21.699</v>
      </c>
      <c r="C830" t="str">
        <f t="shared" si="36"/>
        <v>FFDFD3C0</v>
      </c>
      <c r="D830" t="s">
        <v>121</v>
      </c>
      <c r="E830">
        <v>10</v>
      </c>
      <c r="F830">
        <v>1010</v>
      </c>
      <c r="G830" t="s">
        <v>114</v>
      </c>
      <c r="J830" t="s">
        <v>123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"06:14:24.906"</f>
        <v>06:14:24.906</v>
      </c>
      <c r="T830" t="str">
        <f>"06:14:24.406"</f>
        <v>06:14:24.406</v>
      </c>
      <c r="U830" t="str">
        <f t="shared" si="37"/>
        <v>A7E2E0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643</v>
      </c>
      <c r="AJ830">
        <v>39.092553000000002</v>
      </c>
      <c r="AK830" t="s">
        <v>644</v>
      </c>
      <c r="AL830">
        <v>-87.484367000000006</v>
      </c>
      <c r="AM830">
        <v>100</v>
      </c>
      <c r="AN830">
        <v>2800</v>
      </c>
      <c r="AO830" t="s">
        <v>118</v>
      </c>
      <c r="AP830">
        <v>-64</v>
      </c>
      <c r="AQ830">
        <v>-141</v>
      </c>
      <c r="AR830">
        <v>64</v>
      </c>
      <c r="AZ830">
        <v>4552</v>
      </c>
      <c r="BA830">
        <v>1</v>
      </c>
      <c r="BB830" t="str">
        <f t="shared" si="38"/>
        <v xml:space="preserve">N607SR  </v>
      </c>
      <c r="BC830">
        <v>1</v>
      </c>
      <c r="BE830">
        <v>0</v>
      </c>
      <c r="BF830">
        <v>0</v>
      </c>
      <c r="BG830">
        <v>0</v>
      </c>
      <c r="BH830">
        <v>2575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"06:14:24.907"</f>
        <v>06:14:24.907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6</v>
      </c>
      <c r="CP830" t="s">
        <v>119</v>
      </c>
      <c r="CQ830">
        <v>177</v>
      </c>
      <c r="CR830">
        <v>2</v>
      </c>
      <c r="CW830">
        <v>1626106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"08/29/2020 06:14:21.699"</f>
        <v>08/29/2020 06:14:21.699</v>
      </c>
      <c r="C831" t="str">
        <f t="shared" si="36"/>
        <v>FFDFD3C0</v>
      </c>
      <c r="D831" t="s">
        <v>121</v>
      </c>
      <c r="E831">
        <v>11</v>
      </c>
      <c r="F831">
        <v>1011</v>
      </c>
      <c r="G831" t="s">
        <v>125</v>
      </c>
      <c r="J831" t="s">
        <v>123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"06:14:24.906"</f>
        <v>06:14:24.906</v>
      </c>
      <c r="T831" t="str">
        <f>"06:14:24.406"</f>
        <v>06:14:24.406</v>
      </c>
      <c r="U831" t="str">
        <f t="shared" si="37"/>
        <v>A7E2E0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643</v>
      </c>
      <c r="AJ831">
        <v>39.092553000000002</v>
      </c>
      <c r="AK831" t="s">
        <v>644</v>
      </c>
      <c r="AL831">
        <v>-87.484367000000006</v>
      </c>
      <c r="AM831">
        <v>100</v>
      </c>
      <c r="AN831">
        <v>2800</v>
      </c>
      <c r="AO831" t="s">
        <v>118</v>
      </c>
      <c r="AP831">
        <v>-64</v>
      </c>
      <c r="AQ831">
        <v>-141</v>
      </c>
      <c r="AR831">
        <v>64</v>
      </c>
      <c r="AZ831">
        <v>4552</v>
      </c>
      <c r="BA831">
        <v>1</v>
      </c>
      <c r="BB831" t="str">
        <f t="shared" si="38"/>
        <v xml:space="preserve">N607SR  </v>
      </c>
      <c r="BC831">
        <v>1</v>
      </c>
      <c r="BE831">
        <v>0</v>
      </c>
      <c r="BF831">
        <v>0</v>
      </c>
      <c r="BG831">
        <v>0</v>
      </c>
      <c r="BH831">
        <v>2575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"06:14:24.907"</f>
        <v>06:14:24.907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6</v>
      </c>
      <c r="CP831" t="s">
        <v>119</v>
      </c>
      <c r="CQ831">
        <v>177</v>
      </c>
      <c r="CR831">
        <v>2</v>
      </c>
      <c r="CW831">
        <v>1626106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"08/29/2020 06:14:22.148"</f>
        <v>08/29/2020 06:14:22.148</v>
      </c>
      <c r="C832" t="str">
        <f t="shared" si="36"/>
        <v>FFDFD3C0</v>
      </c>
      <c r="D832" t="s">
        <v>128</v>
      </c>
      <c r="E832">
        <v>5</v>
      </c>
      <c r="H832">
        <v>241</v>
      </c>
      <c r="I832" t="s">
        <v>129</v>
      </c>
      <c r="J832" t="s">
        <v>130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"06:14:25.367"</f>
        <v>06:14:25.367</v>
      </c>
      <c r="U832" t="str">
        <f t="shared" si="37"/>
        <v>A7E2E0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645</v>
      </c>
      <c r="AJ832">
        <v>39.092337999999998</v>
      </c>
      <c r="AK832" t="s">
        <v>646</v>
      </c>
      <c r="AL832">
        <v>-87.484495999999993</v>
      </c>
      <c r="AM832">
        <v>100</v>
      </c>
      <c r="AN832">
        <v>2800</v>
      </c>
      <c r="AO832" t="s">
        <v>118</v>
      </c>
      <c r="AP832">
        <v>-67</v>
      </c>
      <c r="AQ832">
        <v>-141</v>
      </c>
      <c r="AR832">
        <v>64</v>
      </c>
      <c r="AZ832">
        <v>4552</v>
      </c>
      <c r="BA832">
        <v>1</v>
      </c>
      <c r="BB832" t="str">
        <f t="shared" si="38"/>
        <v xml:space="preserve">N607SR  </v>
      </c>
      <c r="BC832">
        <v>1</v>
      </c>
      <c r="BE832">
        <v>0</v>
      </c>
      <c r="BF832">
        <v>0</v>
      </c>
      <c r="BG832">
        <v>0</v>
      </c>
      <c r="BH832">
        <v>2600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"06:14:25.373"</f>
        <v>06:14:25.373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5</v>
      </c>
      <c r="CP832" t="s">
        <v>119</v>
      </c>
      <c r="CQ832">
        <v>465</v>
      </c>
      <c r="CR832">
        <v>0</v>
      </c>
      <c r="CW832">
        <v>4717230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"08/29/2020 06:14:22.148"</f>
        <v>08/29/2020 06:14:22.148</v>
      </c>
      <c r="C833" t="str">
        <f t="shared" si="36"/>
        <v>FFDFD3C0</v>
      </c>
      <c r="D833" t="s">
        <v>113</v>
      </c>
      <c r="E833">
        <v>5</v>
      </c>
      <c r="H833">
        <v>163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"06:14:25.367"</f>
        <v>06:14:25.367</v>
      </c>
      <c r="U833" t="str">
        <f t="shared" si="37"/>
        <v>A7E2E0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645</v>
      </c>
      <c r="AJ833">
        <v>39.092337999999998</v>
      </c>
      <c r="AK833" t="s">
        <v>646</v>
      </c>
      <c r="AL833">
        <v>-87.484495999999993</v>
      </c>
      <c r="AM833">
        <v>100</v>
      </c>
      <c r="AN833">
        <v>2800</v>
      </c>
      <c r="AO833" t="s">
        <v>118</v>
      </c>
      <c r="AP833">
        <v>-67</v>
      </c>
      <c r="AQ833">
        <v>-141</v>
      </c>
      <c r="AR833">
        <v>64</v>
      </c>
      <c r="AZ833">
        <v>4552</v>
      </c>
      <c r="BA833">
        <v>1</v>
      </c>
      <c r="BB833" t="str">
        <f t="shared" si="38"/>
        <v xml:space="preserve">N607SR  </v>
      </c>
      <c r="BC833">
        <v>1</v>
      </c>
      <c r="BE833">
        <v>0</v>
      </c>
      <c r="BF833">
        <v>0</v>
      </c>
      <c r="BG833">
        <v>0</v>
      </c>
      <c r="BH833">
        <v>2600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"06:14:25.373"</f>
        <v>06:14:25.373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5</v>
      </c>
      <c r="CP833" t="s">
        <v>119</v>
      </c>
      <c r="CQ833">
        <v>465</v>
      </c>
      <c r="CR833">
        <v>0</v>
      </c>
      <c r="CW833">
        <v>4717230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"08/29/2020 06:14:22.561"</f>
        <v>08/29/2020 06:14:22.561</v>
      </c>
      <c r="C834" t="str">
        <f t="shared" ref="C834:C897" si="39">"FFDFD3C0"</f>
        <v>FFDFD3C0</v>
      </c>
      <c r="D834" t="s">
        <v>121</v>
      </c>
      <c r="E834">
        <v>13</v>
      </c>
      <c r="F834">
        <v>1013</v>
      </c>
      <c r="G834" t="s">
        <v>122</v>
      </c>
      <c r="J834" t="s">
        <v>123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"06:14:25.781"</f>
        <v>06:14:25.781</v>
      </c>
      <c r="U834" t="str">
        <f t="shared" ref="U834:U897" si="40">"A7E2E0"</f>
        <v>A7E2E0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647</v>
      </c>
      <c r="AJ834">
        <v>39.092058999999999</v>
      </c>
      <c r="AK834" t="s">
        <v>648</v>
      </c>
      <c r="AL834">
        <v>-87.484667000000002</v>
      </c>
      <c r="AM834">
        <v>100</v>
      </c>
      <c r="AN834">
        <v>2800</v>
      </c>
      <c r="AO834" t="s">
        <v>118</v>
      </c>
      <c r="AP834">
        <v>-67</v>
      </c>
      <c r="AQ834">
        <v>-140</v>
      </c>
      <c r="AR834">
        <v>64</v>
      </c>
      <c r="AZ834">
        <v>4552</v>
      </c>
      <c r="BA834">
        <v>1</v>
      </c>
      <c r="BB834" t="str">
        <f t="shared" ref="BB834:BB897" si="41">"N607SR  "</f>
        <v xml:space="preserve">N607SR  </v>
      </c>
      <c r="BC834">
        <v>1</v>
      </c>
      <c r="BE834">
        <v>0</v>
      </c>
      <c r="BF834">
        <v>0</v>
      </c>
      <c r="BG834">
        <v>0</v>
      </c>
      <c r="BH834">
        <v>2600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"06:14:25.782"</f>
        <v>06:14:25.782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6</v>
      </c>
      <c r="CP834" t="s">
        <v>119</v>
      </c>
      <c r="CQ834">
        <v>457</v>
      </c>
      <c r="CR834">
        <v>0</v>
      </c>
      <c r="CW834">
        <v>15513451</v>
      </c>
      <c r="CY834">
        <v>1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"08/29/2020 06:14:22.561"</f>
        <v>08/29/2020 06:14:22.561</v>
      </c>
      <c r="C835" t="str">
        <f t="shared" si="39"/>
        <v>FFDFD3C0</v>
      </c>
      <c r="D835" t="s">
        <v>121</v>
      </c>
      <c r="E835">
        <v>10</v>
      </c>
      <c r="F835">
        <v>1010</v>
      </c>
      <c r="G835" t="s">
        <v>114</v>
      </c>
      <c r="J835" t="s">
        <v>123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"06:14:25.781"</f>
        <v>06:14:25.781</v>
      </c>
      <c r="U835" t="str">
        <f t="shared" si="40"/>
        <v>A7E2E0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647</v>
      </c>
      <c r="AJ835">
        <v>39.092058999999999</v>
      </c>
      <c r="AK835" t="s">
        <v>648</v>
      </c>
      <c r="AL835">
        <v>-87.484667000000002</v>
      </c>
      <c r="AM835">
        <v>100</v>
      </c>
      <c r="AN835">
        <v>2800</v>
      </c>
      <c r="AO835" t="s">
        <v>118</v>
      </c>
      <c r="AP835">
        <v>-67</v>
      </c>
      <c r="AQ835">
        <v>-140</v>
      </c>
      <c r="AR835">
        <v>64</v>
      </c>
      <c r="AZ835">
        <v>4552</v>
      </c>
      <c r="BA835">
        <v>1</v>
      </c>
      <c r="BB835" t="str">
        <f t="shared" si="41"/>
        <v xml:space="preserve">N607SR  </v>
      </c>
      <c r="BC835">
        <v>1</v>
      </c>
      <c r="BE835">
        <v>0</v>
      </c>
      <c r="BF835">
        <v>0</v>
      </c>
      <c r="BG835">
        <v>0</v>
      </c>
      <c r="BH835">
        <v>2600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"06:14:25.782"</f>
        <v>06:14:25.782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6</v>
      </c>
      <c r="CP835" t="s">
        <v>119</v>
      </c>
      <c r="CQ835">
        <v>457</v>
      </c>
      <c r="CR835">
        <v>0</v>
      </c>
      <c r="CW835">
        <v>15513451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"08/29/2020 06:14:22.561"</f>
        <v>08/29/2020 06:14:22.561</v>
      </c>
      <c r="C836" t="str">
        <f t="shared" si="39"/>
        <v>FFDFD3C0</v>
      </c>
      <c r="D836" t="s">
        <v>121</v>
      </c>
      <c r="E836">
        <v>11</v>
      </c>
      <c r="F836">
        <v>1011</v>
      </c>
      <c r="G836" t="s">
        <v>125</v>
      </c>
      <c r="J836" t="s">
        <v>123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"06:14:25.781"</f>
        <v>06:14:25.781</v>
      </c>
      <c r="U836" t="str">
        <f t="shared" si="40"/>
        <v>A7E2E0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647</v>
      </c>
      <c r="AJ836">
        <v>39.092058999999999</v>
      </c>
      <c r="AK836" t="s">
        <v>648</v>
      </c>
      <c r="AL836">
        <v>-87.484667000000002</v>
      </c>
      <c r="AM836">
        <v>100</v>
      </c>
      <c r="AN836">
        <v>2800</v>
      </c>
      <c r="AO836" t="s">
        <v>118</v>
      </c>
      <c r="AP836">
        <v>-67</v>
      </c>
      <c r="AQ836">
        <v>-140</v>
      </c>
      <c r="AR836">
        <v>64</v>
      </c>
      <c r="AZ836">
        <v>4552</v>
      </c>
      <c r="BA836">
        <v>1</v>
      </c>
      <c r="BB836" t="str">
        <f t="shared" si="41"/>
        <v xml:space="preserve">N607SR  </v>
      </c>
      <c r="BC836">
        <v>1</v>
      </c>
      <c r="BE836">
        <v>0</v>
      </c>
      <c r="BF836">
        <v>0</v>
      </c>
      <c r="BG836">
        <v>0</v>
      </c>
      <c r="BH836">
        <v>2600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"06:14:25.782"</f>
        <v>06:14:25.782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457</v>
      </c>
      <c r="CR836">
        <v>0</v>
      </c>
      <c r="CW836">
        <v>15513451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"08/29/2020 06:14:23.061"</f>
        <v>08/29/2020 06:14:23.061</v>
      </c>
      <c r="C837" t="str">
        <f t="shared" si="39"/>
        <v>FFDFD3C0</v>
      </c>
      <c r="D837" t="s">
        <v>128</v>
      </c>
      <c r="E837">
        <v>5</v>
      </c>
      <c r="H837">
        <v>241</v>
      </c>
      <c r="I837" t="s">
        <v>129</v>
      </c>
      <c r="J837" t="s">
        <v>130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"06:14:26.281"</f>
        <v>06:14:26.281</v>
      </c>
      <c r="U837" t="str">
        <f t="shared" si="40"/>
        <v>A7E2E0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649</v>
      </c>
      <c r="AJ837">
        <v>39.091737000000002</v>
      </c>
      <c r="AK837" t="s">
        <v>650</v>
      </c>
      <c r="AL837">
        <v>-87.484859999999998</v>
      </c>
      <c r="AM837">
        <v>100</v>
      </c>
      <c r="AN837">
        <v>2800</v>
      </c>
      <c r="AO837" t="s">
        <v>118</v>
      </c>
      <c r="AP837">
        <v>-69</v>
      </c>
      <c r="AQ837">
        <v>-140</v>
      </c>
      <c r="AR837">
        <v>64</v>
      </c>
      <c r="AZ837">
        <v>4552</v>
      </c>
      <c r="BA837">
        <v>1</v>
      </c>
      <c r="BB837" t="str">
        <f t="shared" si="41"/>
        <v xml:space="preserve">N607SR  </v>
      </c>
      <c r="BC837">
        <v>1</v>
      </c>
      <c r="BE837">
        <v>0</v>
      </c>
      <c r="BF837">
        <v>0</v>
      </c>
      <c r="BG837">
        <v>0</v>
      </c>
      <c r="BH837">
        <v>2600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"06:14:26.282"</f>
        <v>06:14:26.282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457</v>
      </c>
      <c r="CR837">
        <v>0</v>
      </c>
      <c r="CW837">
        <v>15513465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"08/29/2020 06:14:23.061"</f>
        <v>08/29/2020 06:14:23.061</v>
      </c>
      <c r="C838" t="str">
        <f t="shared" si="39"/>
        <v>FFDFD3C0</v>
      </c>
      <c r="D838" t="s">
        <v>113</v>
      </c>
      <c r="E838">
        <v>5</v>
      </c>
      <c r="H838">
        <v>163</v>
      </c>
      <c r="I838" t="s">
        <v>114</v>
      </c>
      <c r="J838" t="s">
        <v>115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"06:14:26.281"</f>
        <v>06:14:26.281</v>
      </c>
      <c r="U838" t="str">
        <f t="shared" si="40"/>
        <v>A7E2E0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649</v>
      </c>
      <c r="AJ838">
        <v>39.091737000000002</v>
      </c>
      <c r="AK838" t="s">
        <v>650</v>
      </c>
      <c r="AL838">
        <v>-87.484859999999998</v>
      </c>
      <c r="AM838">
        <v>100</v>
      </c>
      <c r="AN838">
        <v>2800</v>
      </c>
      <c r="AO838" t="s">
        <v>118</v>
      </c>
      <c r="AP838">
        <v>-69</v>
      </c>
      <c r="AQ838">
        <v>-140</v>
      </c>
      <c r="AR838">
        <v>64</v>
      </c>
      <c r="AZ838">
        <v>4552</v>
      </c>
      <c r="BA838">
        <v>1</v>
      </c>
      <c r="BB838" t="str">
        <f t="shared" si="41"/>
        <v xml:space="preserve">N607SR  </v>
      </c>
      <c r="BC838">
        <v>1</v>
      </c>
      <c r="BE838">
        <v>0</v>
      </c>
      <c r="BF838">
        <v>0</v>
      </c>
      <c r="BG838">
        <v>0</v>
      </c>
      <c r="BH838">
        <v>2600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"06:14:26.282"</f>
        <v>06:14:26.282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457</v>
      </c>
      <c r="CR838">
        <v>0</v>
      </c>
      <c r="CW838">
        <v>15513465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"08/29/2020 06:14:23.574"</f>
        <v>08/29/2020 06:14:23.574</v>
      </c>
      <c r="C839" t="str">
        <f t="shared" si="39"/>
        <v>FFDFD3C0</v>
      </c>
      <c r="D839" t="s">
        <v>121</v>
      </c>
      <c r="E839">
        <v>13</v>
      </c>
      <c r="F839">
        <v>1013</v>
      </c>
      <c r="G839" t="s">
        <v>122</v>
      </c>
      <c r="J839" t="s">
        <v>123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"06:14:26.766"</f>
        <v>06:14:26.766</v>
      </c>
      <c r="T839" t="str">
        <f>"06:14:26.366"</f>
        <v>06:14:26.366</v>
      </c>
      <c r="U839" t="str">
        <f t="shared" si="40"/>
        <v>A7E2E0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651</v>
      </c>
      <c r="AJ839">
        <v>39.091414999999998</v>
      </c>
      <c r="AK839" t="s">
        <v>652</v>
      </c>
      <c r="AL839">
        <v>-87.485095999999999</v>
      </c>
      <c r="AM839">
        <v>100</v>
      </c>
      <c r="AN839">
        <v>2800</v>
      </c>
      <c r="AO839" t="s">
        <v>118</v>
      </c>
      <c r="AP839">
        <v>-69</v>
      </c>
      <c r="AQ839">
        <v>-140</v>
      </c>
      <c r="AR839">
        <v>64</v>
      </c>
      <c r="AZ839">
        <v>4552</v>
      </c>
      <c r="BA839">
        <v>1</v>
      </c>
      <c r="BB839" t="str">
        <f t="shared" si="41"/>
        <v xml:space="preserve">N607SR  </v>
      </c>
      <c r="BC839">
        <v>1</v>
      </c>
      <c r="BE839">
        <v>0</v>
      </c>
      <c r="BF839">
        <v>0</v>
      </c>
      <c r="BG839">
        <v>0</v>
      </c>
      <c r="BH839">
        <v>2600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"06:14:26.772"</f>
        <v>06:14:26.772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457</v>
      </c>
      <c r="CR839">
        <v>0</v>
      </c>
      <c r="CW839">
        <v>15513478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"08/29/2020 06:14:23.574"</f>
        <v>08/29/2020 06:14:23.574</v>
      </c>
      <c r="C840" t="str">
        <f t="shared" si="39"/>
        <v>FFDFD3C0</v>
      </c>
      <c r="D840" t="s">
        <v>121</v>
      </c>
      <c r="E840">
        <v>10</v>
      </c>
      <c r="F840">
        <v>1010</v>
      </c>
      <c r="G840" t="s">
        <v>114</v>
      </c>
      <c r="J840" t="s">
        <v>123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"06:14:26.766"</f>
        <v>06:14:26.766</v>
      </c>
      <c r="T840" t="str">
        <f>"06:14:26.366"</f>
        <v>06:14:26.366</v>
      </c>
      <c r="U840" t="str">
        <f t="shared" si="40"/>
        <v>A7E2E0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651</v>
      </c>
      <c r="AJ840">
        <v>39.091414999999998</v>
      </c>
      <c r="AK840" t="s">
        <v>652</v>
      </c>
      <c r="AL840">
        <v>-87.485095999999999</v>
      </c>
      <c r="AM840">
        <v>100</v>
      </c>
      <c r="AN840">
        <v>2800</v>
      </c>
      <c r="AO840" t="s">
        <v>118</v>
      </c>
      <c r="AP840">
        <v>-69</v>
      </c>
      <c r="AQ840">
        <v>-140</v>
      </c>
      <c r="AR840">
        <v>64</v>
      </c>
      <c r="AZ840">
        <v>4552</v>
      </c>
      <c r="BA840">
        <v>1</v>
      </c>
      <c r="BB840" t="str">
        <f t="shared" si="41"/>
        <v xml:space="preserve">N607SR  </v>
      </c>
      <c r="BC840">
        <v>1</v>
      </c>
      <c r="BE840">
        <v>0</v>
      </c>
      <c r="BF840">
        <v>0</v>
      </c>
      <c r="BG840">
        <v>0</v>
      </c>
      <c r="BH840">
        <v>2600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"06:14:26.772"</f>
        <v>06:14:26.772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457</v>
      </c>
      <c r="CR840">
        <v>0</v>
      </c>
      <c r="CW840">
        <v>15513478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"08/29/2020 06:14:23.574"</f>
        <v>08/29/2020 06:14:23.574</v>
      </c>
      <c r="C841" t="str">
        <f t="shared" si="39"/>
        <v>FFDFD3C0</v>
      </c>
      <c r="D841" t="s">
        <v>121</v>
      </c>
      <c r="E841">
        <v>11</v>
      </c>
      <c r="F841">
        <v>1011</v>
      </c>
      <c r="G841" t="s">
        <v>125</v>
      </c>
      <c r="J841" t="s">
        <v>123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"06:14:26.766"</f>
        <v>06:14:26.766</v>
      </c>
      <c r="T841" t="str">
        <f>"06:14:26.366"</f>
        <v>06:14:26.366</v>
      </c>
      <c r="U841" t="str">
        <f t="shared" si="40"/>
        <v>A7E2E0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651</v>
      </c>
      <c r="AJ841">
        <v>39.091414999999998</v>
      </c>
      <c r="AK841" t="s">
        <v>652</v>
      </c>
      <c r="AL841">
        <v>-87.485095999999999</v>
      </c>
      <c r="AM841">
        <v>100</v>
      </c>
      <c r="AN841">
        <v>2800</v>
      </c>
      <c r="AO841" t="s">
        <v>118</v>
      </c>
      <c r="AP841">
        <v>-69</v>
      </c>
      <c r="AQ841">
        <v>-140</v>
      </c>
      <c r="AR841">
        <v>64</v>
      </c>
      <c r="AZ841">
        <v>4552</v>
      </c>
      <c r="BA841">
        <v>1</v>
      </c>
      <c r="BB841" t="str">
        <f t="shared" si="41"/>
        <v xml:space="preserve">N607SR  </v>
      </c>
      <c r="BC841">
        <v>1</v>
      </c>
      <c r="BE841">
        <v>0</v>
      </c>
      <c r="BF841">
        <v>0</v>
      </c>
      <c r="BG841">
        <v>0</v>
      </c>
      <c r="BH841">
        <v>2600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"06:14:26.772"</f>
        <v>06:14:26.772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457</v>
      </c>
      <c r="CR841">
        <v>0</v>
      </c>
      <c r="CW841">
        <v>15513478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"08/29/2020 06:14:23.973"</f>
        <v>08/29/2020 06:14:23.973</v>
      </c>
      <c r="C842" t="str">
        <f t="shared" si="39"/>
        <v>FFDFD3C0</v>
      </c>
      <c r="D842" t="s">
        <v>128</v>
      </c>
      <c r="E842">
        <v>5</v>
      </c>
      <c r="H842">
        <v>241</v>
      </c>
      <c r="I842" t="s">
        <v>129</v>
      </c>
      <c r="J842" t="s">
        <v>130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"06:14:27.180"</f>
        <v>06:14:27.180</v>
      </c>
      <c r="T842" t="str">
        <f>"06:14:26.780"</f>
        <v>06:14:26.780</v>
      </c>
      <c r="U842" t="str">
        <f t="shared" si="40"/>
        <v>A7E2E0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653</v>
      </c>
      <c r="AJ842">
        <v>39.091135999999999</v>
      </c>
      <c r="AK842" t="s">
        <v>654</v>
      </c>
      <c r="AL842">
        <v>-87.485268000000005</v>
      </c>
      <c r="AM842">
        <v>100</v>
      </c>
      <c r="AN842">
        <v>2800</v>
      </c>
      <c r="AO842" t="s">
        <v>118</v>
      </c>
      <c r="AP842">
        <v>-70</v>
      </c>
      <c r="AQ842">
        <v>-140</v>
      </c>
      <c r="AR842">
        <v>64</v>
      </c>
      <c r="AZ842">
        <v>4552</v>
      </c>
      <c r="BA842">
        <v>1</v>
      </c>
      <c r="BB842" t="str">
        <f t="shared" si="41"/>
        <v xml:space="preserve">N607SR  </v>
      </c>
      <c r="BC842">
        <v>1</v>
      </c>
      <c r="BE842">
        <v>0</v>
      </c>
      <c r="BF842">
        <v>0</v>
      </c>
      <c r="BG842">
        <v>0</v>
      </c>
      <c r="BH842">
        <v>2600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"06:14:27.186"</f>
        <v>06:14:27.186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457</v>
      </c>
      <c r="CR842">
        <v>0</v>
      </c>
      <c r="CW842">
        <v>15513487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"08/29/2020 06:14:23.973"</f>
        <v>08/29/2020 06:14:23.973</v>
      </c>
      <c r="C843" t="str">
        <f t="shared" si="39"/>
        <v>FFDFD3C0</v>
      </c>
      <c r="D843" t="s">
        <v>113</v>
      </c>
      <c r="E843">
        <v>5</v>
      </c>
      <c r="H843">
        <v>163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"06:14:27.180"</f>
        <v>06:14:27.180</v>
      </c>
      <c r="T843" t="str">
        <f>"06:14:26.780"</f>
        <v>06:14:26.780</v>
      </c>
      <c r="U843" t="str">
        <f t="shared" si="40"/>
        <v>A7E2E0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653</v>
      </c>
      <c r="AJ843">
        <v>39.091135999999999</v>
      </c>
      <c r="AK843" t="s">
        <v>654</v>
      </c>
      <c r="AL843">
        <v>-87.485268000000005</v>
      </c>
      <c r="AM843">
        <v>100</v>
      </c>
      <c r="AN843">
        <v>2800</v>
      </c>
      <c r="AO843" t="s">
        <v>118</v>
      </c>
      <c r="AP843">
        <v>-70</v>
      </c>
      <c r="AQ843">
        <v>-140</v>
      </c>
      <c r="AR843">
        <v>64</v>
      </c>
      <c r="AZ843">
        <v>4552</v>
      </c>
      <c r="BA843">
        <v>1</v>
      </c>
      <c r="BB843" t="str">
        <f t="shared" si="41"/>
        <v xml:space="preserve">N607SR  </v>
      </c>
      <c r="BC843">
        <v>1</v>
      </c>
      <c r="BE843">
        <v>0</v>
      </c>
      <c r="BF843">
        <v>0</v>
      </c>
      <c r="BG843">
        <v>0</v>
      </c>
      <c r="BH843">
        <v>2600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"06:14:27.186"</f>
        <v>06:14:27.186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457</v>
      </c>
      <c r="CR843">
        <v>0</v>
      </c>
      <c r="CW843">
        <v>15513487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"08/29/2020 06:14:24.454"</f>
        <v>08/29/2020 06:14:24.454</v>
      </c>
      <c r="C844" t="str">
        <f t="shared" si="39"/>
        <v>FFDFD3C0</v>
      </c>
      <c r="D844" t="s">
        <v>121</v>
      </c>
      <c r="E844">
        <v>11</v>
      </c>
      <c r="F844">
        <v>1011</v>
      </c>
      <c r="G844" t="s">
        <v>125</v>
      </c>
      <c r="J844" t="s">
        <v>123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"06:14:27.664"</f>
        <v>06:14:27.664</v>
      </c>
      <c r="T844" t="str">
        <f>"06:14:27.264"</f>
        <v>06:14:27.264</v>
      </c>
      <c r="U844" t="str">
        <f t="shared" si="40"/>
        <v>A7E2E0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655</v>
      </c>
      <c r="AJ844">
        <v>39.090836000000003</v>
      </c>
      <c r="AK844" t="s">
        <v>656</v>
      </c>
      <c r="AL844">
        <v>-87.485483000000002</v>
      </c>
      <c r="AM844">
        <v>100</v>
      </c>
      <c r="AN844">
        <v>2800</v>
      </c>
      <c r="AO844" t="s">
        <v>118</v>
      </c>
      <c r="AP844">
        <v>-70</v>
      </c>
      <c r="AQ844">
        <v>-140</v>
      </c>
      <c r="AR844">
        <v>64</v>
      </c>
      <c r="AZ844">
        <v>4552</v>
      </c>
      <c r="BA844">
        <v>1</v>
      </c>
      <c r="BB844" t="str">
        <f t="shared" si="41"/>
        <v xml:space="preserve">N607SR  </v>
      </c>
      <c r="BC844">
        <v>1</v>
      </c>
      <c r="BE844">
        <v>0</v>
      </c>
      <c r="BF844">
        <v>0</v>
      </c>
      <c r="BG844">
        <v>0</v>
      </c>
      <c r="BH844">
        <v>2600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"06:14:27.666"</f>
        <v>06:14:27.666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457</v>
      </c>
      <c r="CR844">
        <v>0</v>
      </c>
      <c r="CW844">
        <v>15513500</v>
      </c>
      <c r="CY844">
        <v>1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"08/29/2020 06:14:24.454"</f>
        <v>08/29/2020 06:14:24.454</v>
      </c>
      <c r="C845" t="str">
        <f t="shared" si="39"/>
        <v>FFDFD3C0</v>
      </c>
      <c r="D845" t="s">
        <v>121</v>
      </c>
      <c r="E845">
        <v>10</v>
      </c>
      <c r="F845">
        <v>1010</v>
      </c>
      <c r="G845" t="s">
        <v>114</v>
      </c>
      <c r="J845" t="s">
        <v>123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"06:14:27.664"</f>
        <v>06:14:27.664</v>
      </c>
      <c r="T845" t="str">
        <f>"06:14:27.264"</f>
        <v>06:14:27.264</v>
      </c>
      <c r="U845" t="str">
        <f t="shared" si="40"/>
        <v>A7E2E0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655</v>
      </c>
      <c r="AJ845">
        <v>39.090836000000003</v>
      </c>
      <c r="AK845" t="s">
        <v>656</v>
      </c>
      <c r="AL845">
        <v>-87.485483000000002</v>
      </c>
      <c r="AM845">
        <v>100</v>
      </c>
      <c r="AN845">
        <v>2800</v>
      </c>
      <c r="AO845" t="s">
        <v>118</v>
      </c>
      <c r="AP845">
        <v>-70</v>
      </c>
      <c r="AQ845">
        <v>-140</v>
      </c>
      <c r="AR845">
        <v>64</v>
      </c>
      <c r="AZ845">
        <v>4552</v>
      </c>
      <c r="BA845">
        <v>1</v>
      </c>
      <c r="BB845" t="str">
        <f t="shared" si="41"/>
        <v xml:space="preserve">N607SR  </v>
      </c>
      <c r="BC845">
        <v>1</v>
      </c>
      <c r="BE845">
        <v>0</v>
      </c>
      <c r="BF845">
        <v>0</v>
      </c>
      <c r="BG845">
        <v>0</v>
      </c>
      <c r="BH845">
        <v>2600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"06:14:27.666"</f>
        <v>06:14:27.666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457</v>
      </c>
      <c r="CR845">
        <v>0</v>
      </c>
      <c r="CW845">
        <v>15513500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"08/29/2020 06:14:24.454"</f>
        <v>08/29/2020 06:14:24.454</v>
      </c>
      <c r="C846" t="str">
        <f t="shared" si="39"/>
        <v>FFDFD3C0</v>
      </c>
      <c r="D846" t="s">
        <v>121</v>
      </c>
      <c r="E846">
        <v>13</v>
      </c>
      <c r="F846">
        <v>1013</v>
      </c>
      <c r="G846" t="s">
        <v>122</v>
      </c>
      <c r="J846" t="s">
        <v>123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"06:14:27.664"</f>
        <v>06:14:27.664</v>
      </c>
      <c r="T846" t="str">
        <f>"06:14:27.264"</f>
        <v>06:14:27.264</v>
      </c>
      <c r="U846" t="str">
        <f t="shared" si="40"/>
        <v>A7E2E0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655</v>
      </c>
      <c r="AJ846">
        <v>39.090836000000003</v>
      </c>
      <c r="AK846" t="s">
        <v>656</v>
      </c>
      <c r="AL846">
        <v>-87.485483000000002</v>
      </c>
      <c r="AM846">
        <v>100</v>
      </c>
      <c r="AN846">
        <v>2800</v>
      </c>
      <c r="AO846" t="s">
        <v>118</v>
      </c>
      <c r="AP846">
        <v>-70</v>
      </c>
      <c r="AQ846">
        <v>-140</v>
      </c>
      <c r="AR846">
        <v>64</v>
      </c>
      <c r="AZ846">
        <v>4552</v>
      </c>
      <c r="BA846">
        <v>1</v>
      </c>
      <c r="BB846" t="str">
        <f t="shared" si="41"/>
        <v xml:space="preserve">N607SR  </v>
      </c>
      <c r="BC846">
        <v>1</v>
      </c>
      <c r="BE846">
        <v>0</v>
      </c>
      <c r="BF846">
        <v>0</v>
      </c>
      <c r="BG846">
        <v>0</v>
      </c>
      <c r="BH846">
        <v>2600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"06:14:27.666"</f>
        <v>06:14:27.666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457</v>
      </c>
      <c r="CR846">
        <v>0</v>
      </c>
      <c r="CW846">
        <v>15513500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"08/29/2020 06:14:24.833"</f>
        <v>08/29/2020 06:14:24.833</v>
      </c>
      <c r="C847" t="str">
        <f t="shared" si="39"/>
        <v>FFDFD3C0</v>
      </c>
      <c r="D847" t="s">
        <v>128</v>
      </c>
      <c r="E847">
        <v>5</v>
      </c>
      <c r="H847">
        <v>241</v>
      </c>
      <c r="I847" t="s">
        <v>129</v>
      </c>
      <c r="J847" t="s">
        <v>130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"06:14:28.063"</f>
        <v>06:14:28.063</v>
      </c>
      <c r="T847" t="str">
        <f>"06:14:27.763"</f>
        <v>06:14:27.763</v>
      </c>
      <c r="U847" t="str">
        <f t="shared" si="40"/>
        <v>A7E2E0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657</v>
      </c>
      <c r="AJ847">
        <v>39.090556999999997</v>
      </c>
      <c r="AK847" t="s">
        <v>658</v>
      </c>
      <c r="AL847">
        <v>-87.485653999999997</v>
      </c>
      <c r="AM847">
        <v>100</v>
      </c>
      <c r="AN847">
        <v>2800</v>
      </c>
      <c r="AO847" t="s">
        <v>118</v>
      </c>
      <c r="AP847">
        <v>-72</v>
      </c>
      <c r="AQ847">
        <v>-139</v>
      </c>
      <c r="AR847">
        <v>64</v>
      </c>
      <c r="AZ847">
        <v>4552</v>
      </c>
      <c r="BA847">
        <v>1</v>
      </c>
      <c r="BB847" t="str">
        <f t="shared" si="41"/>
        <v xml:space="preserve">N607SR  </v>
      </c>
      <c r="BC847">
        <v>1</v>
      </c>
      <c r="BE847">
        <v>0</v>
      </c>
      <c r="BF847">
        <v>0</v>
      </c>
      <c r="BG847">
        <v>0</v>
      </c>
      <c r="BH847">
        <v>2600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"06:14:28.068"</f>
        <v>06:14:28.068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457</v>
      </c>
      <c r="CR847">
        <v>0</v>
      </c>
      <c r="CW847">
        <v>15513511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"08/29/2020 06:14:24.833"</f>
        <v>08/29/2020 06:14:24.833</v>
      </c>
      <c r="C848" t="str">
        <f t="shared" si="39"/>
        <v>FFDFD3C0</v>
      </c>
      <c r="D848" t="s">
        <v>113</v>
      </c>
      <c r="E848">
        <v>5</v>
      </c>
      <c r="H848">
        <v>163</v>
      </c>
      <c r="I848" t="s">
        <v>114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"06:14:28.063"</f>
        <v>06:14:28.063</v>
      </c>
      <c r="T848" t="str">
        <f>"06:14:27.763"</f>
        <v>06:14:27.763</v>
      </c>
      <c r="U848" t="str">
        <f t="shared" si="40"/>
        <v>A7E2E0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657</v>
      </c>
      <c r="AJ848">
        <v>39.090556999999997</v>
      </c>
      <c r="AK848" t="s">
        <v>658</v>
      </c>
      <c r="AL848">
        <v>-87.485653999999997</v>
      </c>
      <c r="AM848">
        <v>100</v>
      </c>
      <c r="AN848">
        <v>2800</v>
      </c>
      <c r="AO848" t="s">
        <v>118</v>
      </c>
      <c r="AP848">
        <v>-72</v>
      </c>
      <c r="AQ848">
        <v>-139</v>
      </c>
      <c r="AR848">
        <v>64</v>
      </c>
      <c r="AZ848">
        <v>4552</v>
      </c>
      <c r="BA848">
        <v>1</v>
      </c>
      <c r="BB848" t="str">
        <f t="shared" si="41"/>
        <v xml:space="preserve">N607SR  </v>
      </c>
      <c r="BC848">
        <v>1</v>
      </c>
      <c r="BE848">
        <v>0</v>
      </c>
      <c r="BF848">
        <v>0</v>
      </c>
      <c r="BG848">
        <v>0</v>
      </c>
      <c r="BH848">
        <v>2600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"06:14:28.068"</f>
        <v>06:14:28.068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6</v>
      </c>
      <c r="CP848" t="s">
        <v>119</v>
      </c>
      <c r="CQ848">
        <v>457</v>
      </c>
      <c r="CR848">
        <v>0</v>
      </c>
      <c r="CW848">
        <v>15513511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"08/29/2020 06:14:25.397"</f>
        <v>08/29/2020 06:14:25.397</v>
      </c>
      <c r="C849" t="str">
        <f t="shared" si="39"/>
        <v>FFDFD3C0</v>
      </c>
      <c r="D849" t="s">
        <v>121</v>
      </c>
      <c r="E849">
        <v>10</v>
      </c>
      <c r="F849">
        <v>1010</v>
      </c>
      <c r="G849" t="s">
        <v>114</v>
      </c>
      <c r="J849" t="s">
        <v>123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"06:14:28.641"</f>
        <v>06:14:28.641</v>
      </c>
      <c r="T849" t="str">
        <f>"06:14:28.141"</f>
        <v>06:14:28.141</v>
      </c>
      <c r="U849" t="str">
        <f t="shared" si="40"/>
        <v>A7E2E0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659</v>
      </c>
      <c r="AJ849">
        <v>39.090192000000002</v>
      </c>
      <c r="AK849" t="s">
        <v>660</v>
      </c>
      <c r="AL849">
        <v>-87.485889999999998</v>
      </c>
      <c r="AM849">
        <v>100</v>
      </c>
      <c r="AN849">
        <v>2800</v>
      </c>
      <c r="AO849" t="s">
        <v>118</v>
      </c>
      <c r="AP849">
        <v>-72</v>
      </c>
      <c r="AQ849">
        <v>-139</v>
      </c>
      <c r="AR849">
        <v>64</v>
      </c>
      <c r="AZ849">
        <v>4552</v>
      </c>
      <c r="BA849">
        <v>1</v>
      </c>
      <c r="BB849" t="str">
        <f t="shared" si="41"/>
        <v xml:space="preserve">N607SR  </v>
      </c>
      <c r="BC849">
        <v>1</v>
      </c>
      <c r="BE849">
        <v>0</v>
      </c>
      <c r="BF849">
        <v>0</v>
      </c>
      <c r="BG849">
        <v>0</v>
      </c>
      <c r="BH849">
        <v>2600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"06:14:28.643"</f>
        <v>06:14:28.643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6</v>
      </c>
      <c r="CP849" t="s">
        <v>119</v>
      </c>
      <c r="CQ849">
        <v>457</v>
      </c>
      <c r="CR849">
        <v>0</v>
      </c>
      <c r="CW849">
        <v>15513525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"08/29/2020 06:14:25.397"</f>
        <v>08/29/2020 06:14:25.397</v>
      </c>
      <c r="C850" t="str">
        <f t="shared" si="39"/>
        <v>FFDFD3C0</v>
      </c>
      <c r="D850" t="s">
        <v>121</v>
      </c>
      <c r="E850">
        <v>13</v>
      </c>
      <c r="F850">
        <v>1013</v>
      </c>
      <c r="G850" t="s">
        <v>122</v>
      </c>
      <c r="J850" t="s">
        <v>123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"06:14:28.641"</f>
        <v>06:14:28.641</v>
      </c>
      <c r="T850" t="str">
        <f>"06:14:28.141"</f>
        <v>06:14:28.141</v>
      </c>
      <c r="U850" t="str">
        <f t="shared" si="40"/>
        <v>A7E2E0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659</v>
      </c>
      <c r="AJ850">
        <v>39.090192000000002</v>
      </c>
      <c r="AK850" t="s">
        <v>660</v>
      </c>
      <c r="AL850">
        <v>-87.485889999999998</v>
      </c>
      <c r="AM850">
        <v>100</v>
      </c>
      <c r="AN850">
        <v>2800</v>
      </c>
      <c r="AO850" t="s">
        <v>118</v>
      </c>
      <c r="AP850">
        <v>-72</v>
      </c>
      <c r="AQ850">
        <v>-139</v>
      </c>
      <c r="AR850">
        <v>64</v>
      </c>
      <c r="AZ850">
        <v>4552</v>
      </c>
      <c r="BA850">
        <v>1</v>
      </c>
      <c r="BB850" t="str">
        <f t="shared" si="41"/>
        <v xml:space="preserve">N607SR  </v>
      </c>
      <c r="BC850">
        <v>1</v>
      </c>
      <c r="BE850">
        <v>0</v>
      </c>
      <c r="BF850">
        <v>0</v>
      </c>
      <c r="BG850">
        <v>0</v>
      </c>
      <c r="BH850">
        <v>2600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"06:14:28.643"</f>
        <v>06:14:28.643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6</v>
      </c>
      <c r="CP850" t="s">
        <v>119</v>
      </c>
      <c r="CQ850">
        <v>457</v>
      </c>
      <c r="CR850">
        <v>0</v>
      </c>
      <c r="CW850">
        <v>15513525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"08/29/2020 06:14:25.397"</f>
        <v>08/29/2020 06:14:25.397</v>
      </c>
      <c r="C851" t="str">
        <f t="shared" si="39"/>
        <v>FFDFD3C0</v>
      </c>
      <c r="D851" t="s">
        <v>121</v>
      </c>
      <c r="E851">
        <v>11</v>
      </c>
      <c r="F851">
        <v>1011</v>
      </c>
      <c r="G851" t="s">
        <v>125</v>
      </c>
      <c r="J851" t="s">
        <v>123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"06:14:28.641"</f>
        <v>06:14:28.641</v>
      </c>
      <c r="T851" t="str">
        <f>"06:14:28.141"</f>
        <v>06:14:28.141</v>
      </c>
      <c r="U851" t="str">
        <f t="shared" si="40"/>
        <v>A7E2E0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659</v>
      </c>
      <c r="AJ851">
        <v>39.090192000000002</v>
      </c>
      <c r="AK851" t="s">
        <v>660</v>
      </c>
      <c r="AL851">
        <v>-87.485889999999998</v>
      </c>
      <c r="AM851">
        <v>100</v>
      </c>
      <c r="AN851">
        <v>2800</v>
      </c>
      <c r="AO851" t="s">
        <v>118</v>
      </c>
      <c r="AP851">
        <v>-72</v>
      </c>
      <c r="AQ851">
        <v>-139</v>
      </c>
      <c r="AR851">
        <v>64</v>
      </c>
      <c r="AZ851">
        <v>4552</v>
      </c>
      <c r="BA851">
        <v>1</v>
      </c>
      <c r="BB851" t="str">
        <f t="shared" si="41"/>
        <v xml:space="preserve">N607SR  </v>
      </c>
      <c r="BC851">
        <v>1</v>
      </c>
      <c r="BE851">
        <v>0</v>
      </c>
      <c r="BF851">
        <v>0</v>
      </c>
      <c r="BG851">
        <v>0</v>
      </c>
      <c r="BH851">
        <v>2600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"06:14:28.643"</f>
        <v>06:14:28.643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6</v>
      </c>
      <c r="CP851" t="s">
        <v>119</v>
      </c>
      <c r="CQ851">
        <v>457</v>
      </c>
      <c r="CR851">
        <v>0</v>
      </c>
      <c r="CW851">
        <v>15513525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"08/29/2020 06:14:25.846"</f>
        <v>08/29/2020 06:14:25.846</v>
      </c>
      <c r="C852" t="str">
        <f t="shared" si="39"/>
        <v>FFDFD3C0</v>
      </c>
      <c r="D852" t="s">
        <v>128</v>
      </c>
      <c r="E852">
        <v>5</v>
      </c>
      <c r="H852">
        <v>241</v>
      </c>
      <c r="I852" t="s">
        <v>129</v>
      </c>
      <c r="J852" t="s">
        <v>130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"06:14:29.094"</f>
        <v>06:14:29.094</v>
      </c>
      <c r="U852" t="str">
        <f t="shared" si="40"/>
        <v>A7E2E0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661</v>
      </c>
      <c r="AJ852">
        <v>39.089913000000003</v>
      </c>
      <c r="AK852" t="s">
        <v>662</v>
      </c>
      <c r="AL852">
        <v>-87.486084000000005</v>
      </c>
      <c r="AM852">
        <v>100</v>
      </c>
      <c r="AN852">
        <v>2800</v>
      </c>
      <c r="AO852" t="s">
        <v>118</v>
      </c>
      <c r="AP852">
        <v>-74</v>
      </c>
      <c r="AQ852">
        <v>-139</v>
      </c>
      <c r="AR852">
        <v>64</v>
      </c>
      <c r="AZ852">
        <v>4552</v>
      </c>
      <c r="BA852">
        <v>1</v>
      </c>
      <c r="BB852" t="str">
        <f t="shared" si="41"/>
        <v xml:space="preserve">N607SR  </v>
      </c>
      <c r="BC852">
        <v>1</v>
      </c>
      <c r="BE852">
        <v>0</v>
      </c>
      <c r="BF852">
        <v>0</v>
      </c>
      <c r="BG852">
        <v>0</v>
      </c>
      <c r="BH852">
        <v>2600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"06:14:29.097"</f>
        <v>06:14:29.097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6</v>
      </c>
      <c r="CP852" t="s">
        <v>119</v>
      </c>
      <c r="CQ852">
        <v>465</v>
      </c>
      <c r="CR852">
        <v>0</v>
      </c>
      <c r="CW852">
        <v>4717361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"08/29/2020 06:14:25.846"</f>
        <v>08/29/2020 06:14:25.846</v>
      </c>
      <c r="C853" t="str">
        <f t="shared" si="39"/>
        <v>FFDFD3C0</v>
      </c>
      <c r="D853" t="s">
        <v>113</v>
      </c>
      <c r="E853">
        <v>5</v>
      </c>
      <c r="H853">
        <v>163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"06:14:29.094"</f>
        <v>06:14:29.094</v>
      </c>
      <c r="U853" t="str">
        <f t="shared" si="40"/>
        <v>A7E2E0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661</v>
      </c>
      <c r="AJ853">
        <v>39.089913000000003</v>
      </c>
      <c r="AK853" t="s">
        <v>662</v>
      </c>
      <c r="AL853">
        <v>-87.486084000000005</v>
      </c>
      <c r="AM853">
        <v>100</v>
      </c>
      <c r="AN853">
        <v>2800</v>
      </c>
      <c r="AO853" t="s">
        <v>118</v>
      </c>
      <c r="AP853">
        <v>-74</v>
      </c>
      <c r="AQ853">
        <v>-139</v>
      </c>
      <c r="AR853">
        <v>64</v>
      </c>
      <c r="AZ853">
        <v>4552</v>
      </c>
      <c r="BA853">
        <v>1</v>
      </c>
      <c r="BB853" t="str">
        <f t="shared" si="41"/>
        <v xml:space="preserve">N607SR  </v>
      </c>
      <c r="BC853">
        <v>1</v>
      </c>
      <c r="BE853">
        <v>0</v>
      </c>
      <c r="BF853">
        <v>0</v>
      </c>
      <c r="BG853">
        <v>0</v>
      </c>
      <c r="BH853">
        <v>2600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"06:14:29.097"</f>
        <v>06:14:29.097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6</v>
      </c>
      <c r="CP853" t="s">
        <v>119</v>
      </c>
      <c r="CQ853">
        <v>465</v>
      </c>
      <c r="CR853">
        <v>0</v>
      </c>
      <c r="CW853">
        <v>4717361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"08/29/2020 06:14:26.482"</f>
        <v>08/29/2020 06:14:26.482</v>
      </c>
      <c r="C854" t="str">
        <f t="shared" si="39"/>
        <v>FFDFD3C0</v>
      </c>
      <c r="D854" t="s">
        <v>121</v>
      </c>
      <c r="E854">
        <v>11</v>
      </c>
      <c r="F854">
        <v>1011</v>
      </c>
      <c r="G854" t="s">
        <v>125</v>
      </c>
      <c r="J854" t="s">
        <v>123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"06:14:29.688"</f>
        <v>06:14:29.688</v>
      </c>
      <c r="U854" t="str">
        <f t="shared" si="40"/>
        <v>A7E2E0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663</v>
      </c>
      <c r="AJ854">
        <v>39.089548999999998</v>
      </c>
      <c r="AK854" t="s">
        <v>664</v>
      </c>
      <c r="AL854">
        <v>-87.486320000000006</v>
      </c>
      <c r="AM854">
        <v>100</v>
      </c>
      <c r="AN854">
        <v>2800</v>
      </c>
      <c r="AO854" t="s">
        <v>118</v>
      </c>
      <c r="AP854">
        <v>-75</v>
      </c>
      <c r="AQ854">
        <v>-139</v>
      </c>
      <c r="AR854">
        <v>64</v>
      </c>
      <c r="AZ854">
        <v>4552</v>
      </c>
      <c r="BA854">
        <v>1</v>
      </c>
      <c r="BB854" t="str">
        <f t="shared" si="41"/>
        <v xml:space="preserve">N607SR  </v>
      </c>
      <c r="BC854">
        <v>1</v>
      </c>
      <c r="BE854">
        <v>0</v>
      </c>
      <c r="BF854">
        <v>0</v>
      </c>
      <c r="BG854">
        <v>0</v>
      </c>
      <c r="BH854">
        <v>2600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"06:14:29.688"</f>
        <v>06:14:29.688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6</v>
      </c>
      <c r="CP854" t="s">
        <v>119</v>
      </c>
      <c r="CQ854">
        <v>457</v>
      </c>
      <c r="CR854">
        <v>0</v>
      </c>
      <c r="CW854">
        <v>15513553</v>
      </c>
      <c r="CY854">
        <v>1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"08/29/2020 06:14:26.482"</f>
        <v>08/29/2020 06:14:26.482</v>
      </c>
      <c r="C855" t="str">
        <f t="shared" si="39"/>
        <v>FFDFD3C0</v>
      </c>
      <c r="D855" t="s">
        <v>121</v>
      </c>
      <c r="E855">
        <v>10</v>
      </c>
      <c r="F855">
        <v>1010</v>
      </c>
      <c r="G855" t="s">
        <v>114</v>
      </c>
      <c r="J855" t="s">
        <v>123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"06:14:29.688"</f>
        <v>06:14:29.688</v>
      </c>
      <c r="U855" t="str">
        <f t="shared" si="40"/>
        <v>A7E2E0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663</v>
      </c>
      <c r="AJ855">
        <v>39.089548999999998</v>
      </c>
      <c r="AK855" t="s">
        <v>664</v>
      </c>
      <c r="AL855">
        <v>-87.486320000000006</v>
      </c>
      <c r="AM855">
        <v>100</v>
      </c>
      <c r="AN855">
        <v>2800</v>
      </c>
      <c r="AO855" t="s">
        <v>118</v>
      </c>
      <c r="AP855">
        <v>-75</v>
      </c>
      <c r="AQ855">
        <v>-139</v>
      </c>
      <c r="AR855">
        <v>64</v>
      </c>
      <c r="AZ855">
        <v>4552</v>
      </c>
      <c r="BA855">
        <v>1</v>
      </c>
      <c r="BB855" t="str">
        <f t="shared" si="41"/>
        <v xml:space="preserve">N607SR  </v>
      </c>
      <c r="BC855">
        <v>1</v>
      </c>
      <c r="BE855">
        <v>0</v>
      </c>
      <c r="BF855">
        <v>0</v>
      </c>
      <c r="BG855">
        <v>0</v>
      </c>
      <c r="BH855">
        <v>2600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"06:14:29.688"</f>
        <v>06:14:29.688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6</v>
      </c>
      <c r="CP855" t="s">
        <v>119</v>
      </c>
      <c r="CQ855">
        <v>457</v>
      </c>
      <c r="CR855">
        <v>0</v>
      </c>
      <c r="CW855">
        <v>15513553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"08/29/2020 06:14:26.482"</f>
        <v>08/29/2020 06:14:26.482</v>
      </c>
      <c r="C856" t="str">
        <f t="shared" si="39"/>
        <v>FFDFD3C0</v>
      </c>
      <c r="D856" t="s">
        <v>121</v>
      </c>
      <c r="E856">
        <v>13</v>
      </c>
      <c r="F856">
        <v>1013</v>
      </c>
      <c r="G856" t="s">
        <v>122</v>
      </c>
      <c r="J856" t="s">
        <v>123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"06:14:29.688"</f>
        <v>06:14:29.688</v>
      </c>
      <c r="U856" t="str">
        <f t="shared" si="40"/>
        <v>A7E2E0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663</v>
      </c>
      <c r="AJ856">
        <v>39.089548999999998</v>
      </c>
      <c r="AK856" t="s">
        <v>664</v>
      </c>
      <c r="AL856">
        <v>-87.486320000000006</v>
      </c>
      <c r="AM856">
        <v>100</v>
      </c>
      <c r="AN856">
        <v>2800</v>
      </c>
      <c r="AO856" t="s">
        <v>118</v>
      </c>
      <c r="AP856">
        <v>-75</v>
      </c>
      <c r="AQ856">
        <v>-139</v>
      </c>
      <c r="AR856">
        <v>64</v>
      </c>
      <c r="AZ856">
        <v>4552</v>
      </c>
      <c r="BA856">
        <v>1</v>
      </c>
      <c r="BB856" t="str">
        <f t="shared" si="41"/>
        <v xml:space="preserve">N607SR  </v>
      </c>
      <c r="BC856">
        <v>1</v>
      </c>
      <c r="BE856">
        <v>0</v>
      </c>
      <c r="BF856">
        <v>0</v>
      </c>
      <c r="BG856">
        <v>0</v>
      </c>
      <c r="BH856">
        <v>2600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"06:14:29.688"</f>
        <v>06:14:29.688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6</v>
      </c>
      <c r="CP856" t="s">
        <v>119</v>
      </c>
      <c r="CQ856">
        <v>457</v>
      </c>
      <c r="CR856">
        <v>0</v>
      </c>
      <c r="CW856">
        <v>15513553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"08/29/2020 06:14:27.061"</f>
        <v>08/29/2020 06:14:27.061</v>
      </c>
      <c r="C857" t="str">
        <f t="shared" si="39"/>
        <v>FFDFD3C0</v>
      </c>
      <c r="D857" t="s">
        <v>128</v>
      </c>
      <c r="E857">
        <v>5</v>
      </c>
      <c r="H857">
        <v>241</v>
      </c>
      <c r="I857" t="s">
        <v>129</v>
      </c>
      <c r="J857" t="s">
        <v>130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"06:14:30.250"</f>
        <v>06:14:30.250</v>
      </c>
      <c r="T857" t="str">
        <f>"06:14:29.750"</f>
        <v>06:14:29.750</v>
      </c>
      <c r="U857" t="str">
        <f t="shared" si="40"/>
        <v>A7E2E0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665</v>
      </c>
      <c r="AJ857">
        <v>39.089162000000002</v>
      </c>
      <c r="AK857" t="s">
        <v>666</v>
      </c>
      <c r="AL857">
        <v>-87.486641000000006</v>
      </c>
      <c r="AM857">
        <v>100</v>
      </c>
      <c r="AN857">
        <v>2800</v>
      </c>
      <c r="AO857" t="s">
        <v>118</v>
      </c>
      <c r="AP857">
        <v>-75</v>
      </c>
      <c r="AQ857">
        <v>-139</v>
      </c>
      <c r="AR857">
        <v>64</v>
      </c>
      <c r="AZ857">
        <v>4552</v>
      </c>
      <c r="BA857">
        <v>1</v>
      </c>
      <c r="BB857" t="str">
        <f t="shared" si="41"/>
        <v xml:space="preserve">N607SR  </v>
      </c>
      <c r="BC857">
        <v>1</v>
      </c>
      <c r="BE857">
        <v>0</v>
      </c>
      <c r="BF857">
        <v>0</v>
      </c>
      <c r="BG857">
        <v>0</v>
      </c>
      <c r="BH857">
        <v>2600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"06:14:30.253"</f>
        <v>06:14:30.253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6</v>
      </c>
      <c r="CP857" t="s">
        <v>119</v>
      </c>
      <c r="CQ857">
        <v>457</v>
      </c>
      <c r="CR857">
        <v>0</v>
      </c>
      <c r="CW857">
        <v>15513571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"08/29/2020 06:14:27.061"</f>
        <v>08/29/2020 06:14:27.061</v>
      </c>
      <c r="C858" t="str">
        <f t="shared" si="39"/>
        <v>FFDFD3C0</v>
      </c>
      <c r="D858" t="s">
        <v>113</v>
      </c>
      <c r="E858">
        <v>5</v>
      </c>
      <c r="H858">
        <v>163</v>
      </c>
      <c r="I858" t="s">
        <v>114</v>
      </c>
      <c r="J858" t="s">
        <v>115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"06:14:30.250"</f>
        <v>06:14:30.250</v>
      </c>
      <c r="T858" t="str">
        <f>"06:14:29.750"</f>
        <v>06:14:29.750</v>
      </c>
      <c r="U858" t="str">
        <f t="shared" si="40"/>
        <v>A7E2E0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665</v>
      </c>
      <c r="AJ858">
        <v>39.089162000000002</v>
      </c>
      <c r="AK858" t="s">
        <v>666</v>
      </c>
      <c r="AL858">
        <v>-87.486641000000006</v>
      </c>
      <c r="AM858">
        <v>100</v>
      </c>
      <c r="AN858">
        <v>2800</v>
      </c>
      <c r="AO858" t="s">
        <v>118</v>
      </c>
      <c r="AP858">
        <v>-75</v>
      </c>
      <c r="AQ858">
        <v>-139</v>
      </c>
      <c r="AR858">
        <v>64</v>
      </c>
      <c r="AZ858">
        <v>4552</v>
      </c>
      <c r="BA858">
        <v>1</v>
      </c>
      <c r="BB858" t="str">
        <f t="shared" si="41"/>
        <v xml:space="preserve">N607SR  </v>
      </c>
      <c r="BC858">
        <v>1</v>
      </c>
      <c r="BE858">
        <v>0</v>
      </c>
      <c r="BF858">
        <v>0</v>
      </c>
      <c r="BG858">
        <v>0</v>
      </c>
      <c r="BH858">
        <v>2600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"06:14:30.253"</f>
        <v>06:14:30.253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6</v>
      </c>
      <c r="CP858" t="s">
        <v>119</v>
      </c>
      <c r="CQ858">
        <v>457</v>
      </c>
      <c r="CR858">
        <v>0</v>
      </c>
      <c r="CW858">
        <v>15513571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"08/29/2020 06:14:27.445"</f>
        <v>08/29/2020 06:14:27.445</v>
      </c>
      <c r="C859" t="str">
        <f t="shared" si="39"/>
        <v>FFDFD3C0</v>
      </c>
      <c r="D859" t="s">
        <v>121</v>
      </c>
      <c r="E859">
        <v>11</v>
      </c>
      <c r="F859">
        <v>1011</v>
      </c>
      <c r="G859" t="s">
        <v>125</v>
      </c>
      <c r="J859" t="s">
        <v>123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"06:14:30.664"</f>
        <v>06:14:30.664</v>
      </c>
      <c r="U859" t="str">
        <f t="shared" si="40"/>
        <v>A7E2E0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667</v>
      </c>
      <c r="AJ859">
        <v>39.088883000000003</v>
      </c>
      <c r="AK859" t="s">
        <v>668</v>
      </c>
      <c r="AL859">
        <v>-87.486812999999998</v>
      </c>
      <c r="AM859">
        <v>100</v>
      </c>
      <c r="AN859">
        <v>2800</v>
      </c>
      <c r="AO859" t="s">
        <v>118</v>
      </c>
      <c r="AP859">
        <v>-77</v>
      </c>
      <c r="AQ859">
        <v>-138</v>
      </c>
      <c r="AR859">
        <v>64</v>
      </c>
      <c r="AZ859">
        <v>4552</v>
      </c>
      <c r="BA859">
        <v>1</v>
      </c>
      <c r="BB859" t="str">
        <f t="shared" si="41"/>
        <v xml:space="preserve">N607SR  </v>
      </c>
      <c r="BC859">
        <v>1</v>
      </c>
      <c r="BE859">
        <v>0</v>
      </c>
      <c r="BF859">
        <v>0</v>
      </c>
      <c r="BG859">
        <v>0</v>
      </c>
      <c r="BH859">
        <v>2600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"06:14:30.665"</f>
        <v>06:14:30.665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6</v>
      </c>
      <c r="CP859" t="s">
        <v>119</v>
      </c>
      <c r="CQ859">
        <v>457</v>
      </c>
      <c r="CR859">
        <v>0</v>
      </c>
      <c r="CW859">
        <v>15513584</v>
      </c>
      <c r="CY859">
        <v>1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"08/29/2020 06:14:27.445"</f>
        <v>08/29/2020 06:14:27.445</v>
      </c>
      <c r="C860" t="str">
        <f t="shared" si="39"/>
        <v>FFDFD3C0</v>
      </c>
      <c r="D860" t="s">
        <v>121</v>
      </c>
      <c r="E860">
        <v>10</v>
      </c>
      <c r="F860">
        <v>1010</v>
      </c>
      <c r="G860" t="s">
        <v>114</v>
      </c>
      <c r="J860" t="s">
        <v>123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"06:14:30.664"</f>
        <v>06:14:30.664</v>
      </c>
      <c r="U860" t="str">
        <f t="shared" si="40"/>
        <v>A7E2E0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667</v>
      </c>
      <c r="AJ860">
        <v>39.088883000000003</v>
      </c>
      <c r="AK860" t="s">
        <v>668</v>
      </c>
      <c r="AL860">
        <v>-87.486812999999998</v>
      </c>
      <c r="AM860">
        <v>100</v>
      </c>
      <c r="AN860">
        <v>2800</v>
      </c>
      <c r="AO860" t="s">
        <v>118</v>
      </c>
      <c r="AP860">
        <v>-77</v>
      </c>
      <c r="AQ860">
        <v>-138</v>
      </c>
      <c r="AR860">
        <v>64</v>
      </c>
      <c r="AZ860">
        <v>4552</v>
      </c>
      <c r="BA860">
        <v>1</v>
      </c>
      <c r="BB860" t="str">
        <f t="shared" si="41"/>
        <v xml:space="preserve">N607SR  </v>
      </c>
      <c r="BC860">
        <v>1</v>
      </c>
      <c r="BE860">
        <v>0</v>
      </c>
      <c r="BF860">
        <v>0</v>
      </c>
      <c r="BG860">
        <v>0</v>
      </c>
      <c r="BH860">
        <v>2600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"06:14:30.665"</f>
        <v>06:14:30.665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6</v>
      </c>
      <c r="CP860" t="s">
        <v>119</v>
      </c>
      <c r="CQ860">
        <v>457</v>
      </c>
      <c r="CR860">
        <v>0</v>
      </c>
      <c r="CW860">
        <v>15513584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"08/29/2020 06:14:27.445"</f>
        <v>08/29/2020 06:14:27.445</v>
      </c>
      <c r="C861" t="str">
        <f t="shared" si="39"/>
        <v>FFDFD3C0</v>
      </c>
      <c r="D861" t="s">
        <v>121</v>
      </c>
      <c r="E861">
        <v>13</v>
      </c>
      <c r="F861">
        <v>1013</v>
      </c>
      <c r="G861" t="s">
        <v>122</v>
      </c>
      <c r="J861" t="s">
        <v>123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"06:14:30.664"</f>
        <v>06:14:30.664</v>
      </c>
      <c r="U861" t="str">
        <f t="shared" si="40"/>
        <v>A7E2E0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667</v>
      </c>
      <c r="AJ861">
        <v>39.088883000000003</v>
      </c>
      <c r="AK861" t="s">
        <v>668</v>
      </c>
      <c r="AL861">
        <v>-87.486812999999998</v>
      </c>
      <c r="AM861">
        <v>100</v>
      </c>
      <c r="AN861">
        <v>2800</v>
      </c>
      <c r="AO861" t="s">
        <v>118</v>
      </c>
      <c r="AP861">
        <v>-77</v>
      </c>
      <c r="AQ861">
        <v>-138</v>
      </c>
      <c r="AR861">
        <v>64</v>
      </c>
      <c r="AZ861">
        <v>4552</v>
      </c>
      <c r="BA861">
        <v>1</v>
      </c>
      <c r="BB861" t="str">
        <f t="shared" si="41"/>
        <v xml:space="preserve">N607SR  </v>
      </c>
      <c r="BC861">
        <v>1</v>
      </c>
      <c r="BE861">
        <v>0</v>
      </c>
      <c r="BF861">
        <v>0</v>
      </c>
      <c r="BG861">
        <v>0</v>
      </c>
      <c r="BH861">
        <v>2600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"06:14:30.665"</f>
        <v>06:14:30.665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6</v>
      </c>
      <c r="CP861" t="s">
        <v>119</v>
      </c>
      <c r="CQ861">
        <v>457</v>
      </c>
      <c r="CR861">
        <v>0</v>
      </c>
      <c r="CW861">
        <v>15513584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"08/29/2020 06:14:28.024"</f>
        <v>08/29/2020 06:14:28.024</v>
      </c>
      <c r="C862" t="str">
        <f t="shared" si="39"/>
        <v>FFDFD3C0</v>
      </c>
      <c r="D862" t="s">
        <v>128</v>
      </c>
      <c r="E862">
        <v>5</v>
      </c>
      <c r="H862">
        <v>241</v>
      </c>
      <c r="I862" t="s">
        <v>129</v>
      </c>
      <c r="J862" t="s">
        <v>130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"06:14:31.250"</f>
        <v>06:14:31.250</v>
      </c>
      <c r="U862" t="str">
        <f t="shared" si="40"/>
        <v>A7E2E0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669</v>
      </c>
      <c r="AJ862">
        <v>39.088518999999998</v>
      </c>
      <c r="AK862" t="s">
        <v>670</v>
      </c>
      <c r="AL862">
        <v>-87.487071</v>
      </c>
      <c r="AM862">
        <v>100</v>
      </c>
      <c r="AN862">
        <v>2800</v>
      </c>
      <c r="AO862" t="s">
        <v>118</v>
      </c>
      <c r="AP862">
        <v>-78</v>
      </c>
      <c r="AQ862">
        <v>-138</v>
      </c>
      <c r="AR862">
        <v>0</v>
      </c>
      <c r="AZ862">
        <v>4552</v>
      </c>
      <c r="BA862">
        <v>1</v>
      </c>
      <c r="BB862" t="str">
        <f t="shared" si="41"/>
        <v xml:space="preserve">N607SR  </v>
      </c>
      <c r="BC862">
        <v>1</v>
      </c>
      <c r="BE862">
        <v>0</v>
      </c>
      <c r="BF862">
        <v>0</v>
      </c>
      <c r="BG862">
        <v>0</v>
      </c>
      <c r="BH862">
        <v>2600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"06:14:31.253"</f>
        <v>06:14:31.253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5</v>
      </c>
      <c r="CP862" t="s">
        <v>119</v>
      </c>
      <c r="CQ862">
        <v>465</v>
      </c>
      <c r="CR862">
        <v>0</v>
      </c>
      <c r="CW862">
        <v>4717436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"08/29/2020 06:14:28.024"</f>
        <v>08/29/2020 06:14:28.024</v>
      </c>
      <c r="C863" t="str">
        <f t="shared" si="39"/>
        <v>FFDFD3C0</v>
      </c>
      <c r="D863" t="s">
        <v>113</v>
      </c>
      <c r="E863">
        <v>5</v>
      </c>
      <c r="H863">
        <v>163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"06:14:31.250"</f>
        <v>06:14:31.250</v>
      </c>
      <c r="U863" t="str">
        <f t="shared" si="40"/>
        <v>A7E2E0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669</v>
      </c>
      <c r="AJ863">
        <v>39.088518999999998</v>
      </c>
      <c r="AK863" t="s">
        <v>670</v>
      </c>
      <c r="AL863">
        <v>-87.487071</v>
      </c>
      <c r="AM863">
        <v>100</v>
      </c>
      <c r="AN863">
        <v>2800</v>
      </c>
      <c r="AO863" t="s">
        <v>118</v>
      </c>
      <c r="AP863">
        <v>-78</v>
      </c>
      <c r="AQ863">
        <v>-138</v>
      </c>
      <c r="AR863">
        <v>0</v>
      </c>
      <c r="AZ863">
        <v>4552</v>
      </c>
      <c r="BA863">
        <v>1</v>
      </c>
      <c r="BB863" t="str">
        <f t="shared" si="41"/>
        <v xml:space="preserve">N607SR  </v>
      </c>
      <c r="BC863">
        <v>1</v>
      </c>
      <c r="BE863">
        <v>0</v>
      </c>
      <c r="BF863">
        <v>0</v>
      </c>
      <c r="BG863">
        <v>0</v>
      </c>
      <c r="BH863">
        <v>2600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"06:14:31.253"</f>
        <v>06:14:31.253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5</v>
      </c>
      <c r="CP863" t="s">
        <v>119</v>
      </c>
      <c r="CQ863">
        <v>465</v>
      </c>
      <c r="CR863">
        <v>0</v>
      </c>
      <c r="CW863">
        <v>4717436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"08/29/2020 06:14:28.582"</f>
        <v>08/29/2020 06:14:28.582</v>
      </c>
      <c r="C864" t="str">
        <f t="shared" si="39"/>
        <v>FFDFD3C0</v>
      </c>
      <c r="D864" t="s">
        <v>121</v>
      </c>
      <c r="E864">
        <v>10</v>
      </c>
      <c r="F864">
        <v>1010</v>
      </c>
      <c r="G864" t="s">
        <v>114</v>
      </c>
      <c r="J864" t="s">
        <v>123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"06:14:31.805"</f>
        <v>06:14:31.805</v>
      </c>
      <c r="U864" t="str">
        <f t="shared" si="40"/>
        <v>A7E2E0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671</v>
      </c>
      <c r="AJ864">
        <v>39.088154000000003</v>
      </c>
      <c r="AK864" t="s">
        <v>672</v>
      </c>
      <c r="AL864">
        <v>-87.487370999999996</v>
      </c>
      <c r="AM864">
        <v>100</v>
      </c>
      <c r="AN864">
        <v>2800</v>
      </c>
      <c r="AO864" t="s">
        <v>118</v>
      </c>
      <c r="AP864">
        <v>-79</v>
      </c>
      <c r="AQ864">
        <v>-138</v>
      </c>
      <c r="AR864">
        <v>0</v>
      </c>
      <c r="AZ864">
        <v>4552</v>
      </c>
      <c r="BA864">
        <v>1</v>
      </c>
      <c r="BB864" t="str">
        <f t="shared" si="41"/>
        <v xml:space="preserve">N607SR  </v>
      </c>
      <c r="BC864">
        <v>1</v>
      </c>
      <c r="BE864">
        <v>0</v>
      </c>
      <c r="BF864">
        <v>0</v>
      </c>
      <c r="BG864">
        <v>0</v>
      </c>
      <c r="BH864">
        <v>2600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"06:14:31.812"</f>
        <v>06:14:31.812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457</v>
      </c>
      <c r="CR864">
        <v>0</v>
      </c>
      <c r="CW864">
        <v>15513620</v>
      </c>
      <c r="CY864">
        <v>1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"08/29/2020 06:14:28.582"</f>
        <v>08/29/2020 06:14:28.582</v>
      </c>
      <c r="C865" t="str">
        <f t="shared" si="39"/>
        <v>FFDFD3C0</v>
      </c>
      <c r="D865" t="s">
        <v>121</v>
      </c>
      <c r="E865">
        <v>13</v>
      </c>
      <c r="F865">
        <v>1013</v>
      </c>
      <c r="G865" t="s">
        <v>122</v>
      </c>
      <c r="J865" t="s">
        <v>123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"06:14:31.805"</f>
        <v>06:14:31.805</v>
      </c>
      <c r="U865" t="str">
        <f t="shared" si="40"/>
        <v>A7E2E0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671</v>
      </c>
      <c r="AJ865">
        <v>39.088154000000003</v>
      </c>
      <c r="AK865" t="s">
        <v>672</v>
      </c>
      <c r="AL865">
        <v>-87.487370999999996</v>
      </c>
      <c r="AM865">
        <v>100</v>
      </c>
      <c r="AN865">
        <v>2800</v>
      </c>
      <c r="AO865" t="s">
        <v>118</v>
      </c>
      <c r="AP865">
        <v>-79</v>
      </c>
      <c r="AQ865">
        <v>-138</v>
      </c>
      <c r="AR865">
        <v>0</v>
      </c>
      <c r="AZ865">
        <v>4552</v>
      </c>
      <c r="BA865">
        <v>1</v>
      </c>
      <c r="BB865" t="str">
        <f t="shared" si="41"/>
        <v xml:space="preserve">N607SR  </v>
      </c>
      <c r="BC865">
        <v>1</v>
      </c>
      <c r="BE865">
        <v>0</v>
      </c>
      <c r="BF865">
        <v>0</v>
      </c>
      <c r="BG865">
        <v>0</v>
      </c>
      <c r="BH865">
        <v>2600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"06:14:31.812"</f>
        <v>06:14:31.812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457</v>
      </c>
      <c r="CR865">
        <v>0</v>
      </c>
      <c r="CW865">
        <v>15513620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"08/29/2020 06:14:28.582"</f>
        <v>08/29/2020 06:14:28.582</v>
      </c>
      <c r="C866" t="str">
        <f t="shared" si="39"/>
        <v>FFDFD3C0</v>
      </c>
      <c r="D866" t="s">
        <v>121</v>
      </c>
      <c r="E866">
        <v>11</v>
      </c>
      <c r="F866">
        <v>1011</v>
      </c>
      <c r="G866" t="s">
        <v>125</v>
      </c>
      <c r="J866" t="s">
        <v>123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"06:14:31.805"</f>
        <v>06:14:31.805</v>
      </c>
      <c r="U866" t="str">
        <f t="shared" si="40"/>
        <v>A7E2E0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671</v>
      </c>
      <c r="AJ866">
        <v>39.088154000000003</v>
      </c>
      <c r="AK866" t="s">
        <v>672</v>
      </c>
      <c r="AL866">
        <v>-87.487370999999996</v>
      </c>
      <c r="AM866">
        <v>100</v>
      </c>
      <c r="AN866">
        <v>2800</v>
      </c>
      <c r="AO866" t="s">
        <v>118</v>
      </c>
      <c r="AP866">
        <v>-79</v>
      </c>
      <c r="AQ866">
        <v>-138</v>
      </c>
      <c r="AR866">
        <v>0</v>
      </c>
      <c r="AZ866">
        <v>4552</v>
      </c>
      <c r="BA866">
        <v>1</v>
      </c>
      <c r="BB866" t="str">
        <f t="shared" si="41"/>
        <v xml:space="preserve">N607SR  </v>
      </c>
      <c r="BC866">
        <v>1</v>
      </c>
      <c r="BE866">
        <v>0</v>
      </c>
      <c r="BF866">
        <v>0</v>
      </c>
      <c r="BG866">
        <v>0</v>
      </c>
      <c r="BH866">
        <v>2600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"06:14:31.812"</f>
        <v>06:14:31.812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6</v>
      </c>
      <c r="CP866" t="s">
        <v>119</v>
      </c>
      <c r="CQ866">
        <v>457</v>
      </c>
      <c r="CR866">
        <v>0</v>
      </c>
      <c r="CW866">
        <v>15513620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"08/29/2020 06:14:29.039"</f>
        <v>08/29/2020 06:14:29.039</v>
      </c>
      <c r="C867" t="str">
        <f t="shared" si="39"/>
        <v>FFDFD3C0</v>
      </c>
      <c r="D867" t="s">
        <v>128</v>
      </c>
      <c r="E867">
        <v>5</v>
      </c>
      <c r="H867">
        <v>241</v>
      </c>
      <c r="I867" t="s">
        <v>129</v>
      </c>
      <c r="J867" t="s">
        <v>130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"06:14:32.266"</f>
        <v>06:14:32.266</v>
      </c>
      <c r="T867" t="str">
        <f>"06:14:31.866"</f>
        <v>06:14:31.866</v>
      </c>
      <c r="U867" t="str">
        <f t="shared" si="40"/>
        <v>A7E2E0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673</v>
      </c>
      <c r="AJ867">
        <v>39.087874999999997</v>
      </c>
      <c r="AK867" t="s">
        <v>674</v>
      </c>
      <c r="AL867">
        <v>-87.487543000000002</v>
      </c>
      <c r="AM867">
        <v>100</v>
      </c>
      <c r="AN867">
        <v>2800</v>
      </c>
      <c r="AO867" t="s">
        <v>118</v>
      </c>
      <c r="AP867">
        <v>-79</v>
      </c>
      <c r="AQ867">
        <v>-138</v>
      </c>
      <c r="AR867">
        <v>0</v>
      </c>
      <c r="AZ867">
        <v>4552</v>
      </c>
      <c r="BA867">
        <v>1</v>
      </c>
      <c r="BB867" t="str">
        <f t="shared" si="41"/>
        <v xml:space="preserve">N607SR  </v>
      </c>
      <c r="BC867">
        <v>1</v>
      </c>
      <c r="BE867">
        <v>0</v>
      </c>
      <c r="BF867">
        <v>0</v>
      </c>
      <c r="BG867">
        <v>0</v>
      </c>
      <c r="BH867">
        <v>2600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"06:14:32.270"</f>
        <v>06:14:32.270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6</v>
      </c>
      <c r="CP867" t="s">
        <v>119</v>
      </c>
      <c r="CQ867">
        <v>517</v>
      </c>
      <c r="CR867">
        <v>1</v>
      </c>
      <c r="CW867">
        <v>2478461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"08/29/2020 06:14:29.039"</f>
        <v>08/29/2020 06:14:29.039</v>
      </c>
      <c r="C868" t="str">
        <f t="shared" si="39"/>
        <v>FFDFD3C0</v>
      </c>
      <c r="D868" t="s">
        <v>113</v>
      </c>
      <c r="E868">
        <v>5</v>
      </c>
      <c r="H868">
        <v>163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"06:14:32.266"</f>
        <v>06:14:32.266</v>
      </c>
      <c r="T868" t="str">
        <f>"06:14:31.866"</f>
        <v>06:14:31.866</v>
      </c>
      <c r="U868" t="str">
        <f t="shared" si="40"/>
        <v>A7E2E0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673</v>
      </c>
      <c r="AJ868">
        <v>39.087874999999997</v>
      </c>
      <c r="AK868" t="s">
        <v>674</v>
      </c>
      <c r="AL868">
        <v>-87.487543000000002</v>
      </c>
      <c r="AM868">
        <v>100</v>
      </c>
      <c r="AN868">
        <v>2800</v>
      </c>
      <c r="AO868" t="s">
        <v>118</v>
      </c>
      <c r="AP868">
        <v>-79</v>
      </c>
      <c r="AQ868">
        <v>-138</v>
      </c>
      <c r="AR868">
        <v>0</v>
      </c>
      <c r="AZ868">
        <v>4552</v>
      </c>
      <c r="BA868">
        <v>1</v>
      </c>
      <c r="BB868" t="str">
        <f t="shared" si="41"/>
        <v xml:space="preserve">N607SR  </v>
      </c>
      <c r="BC868">
        <v>1</v>
      </c>
      <c r="BE868">
        <v>0</v>
      </c>
      <c r="BF868">
        <v>0</v>
      </c>
      <c r="BG868">
        <v>0</v>
      </c>
      <c r="BH868">
        <v>2600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"06:14:32.270"</f>
        <v>06:14:32.270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6</v>
      </c>
      <c r="CP868" t="s">
        <v>119</v>
      </c>
      <c r="CQ868">
        <v>517</v>
      </c>
      <c r="CR868">
        <v>1</v>
      </c>
      <c r="CW868">
        <v>2478461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"08/29/2020 06:14:29.493"</f>
        <v>08/29/2020 06:14:29.493</v>
      </c>
      <c r="C869" t="str">
        <f t="shared" si="39"/>
        <v>FFDFD3C0</v>
      </c>
      <c r="D869" t="s">
        <v>121</v>
      </c>
      <c r="E869">
        <v>10</v>
      </c>
      <c r="F869">
        <v>1010</v>
      </c>
      <c r="G869" t="s">
        <v>114</v>
      </c>
      <c r="J869" t="s">
        <v>123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"06:14:32.727"</f>
        <v>06:14:32.727</v>
      </c>
      <c r="T869" t="str">
        <f>"06:14:32.327"</f>
        <v>06:14:32.327</v>
      </c>
      <c r="U869" t="str">
        <f t="shared" si="40"/>
        <v>A7E2E0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675</v>
      </c>
      <c r="AJ869">
        <v>39.087573999999996</v>
      </c>
      <c r="AK869" t="s">
        <v>676</v>
      </c>
      <c r="AL869">
        <v>-87.487779000000003</v>
      </c>
      <c r="AM869">
        <v>100</v>
      </c>
      <c r="AN869">
        <v>2800</v>
      </c>
      <c r="AO869" t="s">
        <v>118</v>
      </c>
      <c r="AP869">
        <v>-79</v>
      </c>
      <c r="AQ869">
        <v>-137</v>
      </c>
      <c r="AR869">
        <v>0</v>
      </c>
      <c r="AZ869">
        <v>4552</v>
      </c>
      <c r="BA869">
        <v>1</v>
      </c>
      <c r="BB869" t="str">
        <f t="shared" si="41"/>
        <v xml:space="preserve">N607SR  </v>
      </c>
      <c r="BC869">
        <v>1</v>
      </c>
      <c r="BE869">
        <v>0</v>
      </c>
      <c r="BF869">
        <v>0</v>
      </c>
      <c r="BG869">
        <v>0</v>
      </c>
      <c r="BH869">
        <v>2600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"06:14:32.728"</f>
        <v>06:14:32.728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6</v>
      </c>
      <c r="CP869" t="s">
        <v>119</v>
      </c>
      <c r="CQ869">
        <v>457</v>
      </c>
      <c r="CR869">
        <v>0</v>
      </c>
      <c r="CW869">
        <v>15513644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"08/29/2020 06:14:29.493"</f>
        <v>08/29/2020 06:14:29.493</v>
      </c>
      <c r="C870" t="str">
        <f t="shared" si="39"/>
        <v>FFDFD3C0</v>
      </c>
      <c r="D870" t="s">
        <v>121</v>
      </c>
      <c r="E870">
        <v>13</v>
      </c>
      <c r="F870">
        <v>1013</v>
      </c>
      <c r="G870" t="s">
        <v>122</v>
      </c>
      <c r="J870" t="s">
        <v>123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"06:14:32.727"</f>
        <v>06:14:32.727</v>
      </c>
      <c r="T870" t="str">
        <f>"06:14:32.327"</f>
        <v>06:14:32.327</v>
      </c>
      <c r="U870" t="str">
        <f t="shared" si="40"/>
        <v>A7E2E0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675</v>
      </c>
      <c r="AJ870">
        <v>39.087573999999996</v>
      </c>
      <c r="AK870" t="s">
        <v>676</v>
      </c>
      <c r="AL870">
        <v>-87.487779000000003</v>
      </c>
      <c r="AM870">
        <v>100</v>
      </c>
      <c r="AN870">
        <v>2800</v>
      </c>
      <c r="AO870" t="s">
        <v>118</v>
      </c>
      <c r="AP870">
        <v>-79</v>
      </c>
      <c r="AQ870">
        <v>-137</v>
      </c>
      <c r="AR870">
        <v>0</v>
      </c>
      <c r="AZ870">
        <v>4552</v>
      </c>
      <c r="BA870">
        <v>1</v>
      </c>
      <c r="BB870" t="str">
        <f t="shared" si="41"/>
        <v xml:space="preserve">N607SR  </v>
      </c>
      <c r="BC870">
        <v>1</v>
      </c>
      <c r="BE870">
        <v>0</v>
      </c>
      <c r="BF870">
        <v>0</v>
      </c>
      <c r="BG870">
        <v>0</v>
      </c>
      <c r="BH870">
        <v>2600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"06:14:32.728"</f>
        <v>06:14:32.728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6</v>
      </c>
      <c r="CP870" t="s">
        <v>119</v>
      </c>
      <c r="CQ870">
        <v>457</v>
      </c>
      <c r="CR870">
        <v>0</v>
      </c>
      <c r="CW870">
        <v>15513644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"08/29/2020 06:14:29.493"</f>
        <v>08/29/2020 06:14:29.493</v>
      </c>
      <c r="C871" t="str">
        <f t="shared" si="39"/>
        <v>FFDFD3C0</v>
      </c>
      <c r="D871" t="s">
        <v>121</v>
      </c>
      <c r="E871">
        <v>11</v>
      </c>
      <c r="F871">
        <v>1011</v>
      </c>
      <c r="G871" t="s">
        <v>125</v>
      </c>
      <c r="J871" t="s">
        <v>123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"06:14:32.727"</f>
        <v>06:14:32.727</v>
      </c>
      <c r="T871" t="str">
        <f>"06:14:32.327"</f>
        <v>06:14:32.327</v>
      </c>
      <c r="U871" t="str">
        <f t="shared" si="40"/>
        <v>A7E2E0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675</v>
      </c>
      <c r="AJ871">
        <v>39.087573999999996</v>
      </c>
      <c r="AK871" t="s">
        <v>676</v>
      </c>
      <c r="AL871">
        <v>-87.487779000000003</v>
      </c>
      <c r="AM871">
        <v>100</v>
      </c>
      <c r="AN871">
        <v>2800</v>
      </c>
      <c r="AO871" t="s">
        <v>118</v>
      </c>
      <c r="AP871">
        <v>-79</v>
      </c>
      <c r="AQ871">
        <v>-137</v>
      </c>
      <c r="AR871">
        <v>0</v>
      </c>
      <c r="AZ871">
        <v>4552</v>
      </c>
      <c r="BA871">
        <v>1</v>
      </c>
      <c r="BB871" t="str">
        <f t="shared" si="41"/>
        <v xml:space="preserve">N607SR  </v>
      </c>
      <c r="BC871">
        <v>1</v>
      </c>
      <c r="BE871">
        <v>0</v>
      </c>
      <c r="BF871">
        <v>0</v>
      </c>
      <c r="BG871">
        <v>0</v>
      </c>
      <c r="BH871">
        <v>2600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"06:14:32.728"</f>
        <v>06:14:32.728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457</v>
      </c>
      <c r="CR871">
        <v>0</v>
      </c>
      <c r="CW871">
        <v>15513644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"08/29/2020 06:14:30.054"</f>
        <v>08/29/2020 06:14:30.054</v>
      </c>
      <c r="C872" t="str">
        <f t="shared" si="39"/>
        <v>FFDFD3C0</v>
      </c>
      <c r="D872" t="s">
        <v>128</v>
      </c>
      <c r="E872">
        <v>5</v>
      </c>
      <c r="H872">
        <v>241</v>
      </c>
      <c r="I872" t="s">
        <v>129</v>
      </c>
      <c r="J872" t="s">
        <v>130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"06:14:33.281"</f>
        <v>06:14:33.281</v>
      </c>
      <c r="T872" t="str">
        <f>"06:14:32.781"</f>
        <v>06:14:32.781</v>
      </c>
      <c r="U872" t="str">
        <f t="shared" si="40"/>
        <v>A7E2E0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677</v>
      </c>
      <c r="AJ872">
        <v>39.087252999999997</v>
      </c>
      <c r="AK872" t="s">
        <v>678</v>
      </c>
      <c r="AL872">
        <v>-87.488035999999994</v>
      </c>
      <c r="AM872">
        <v>100</v>
      </c>
      <c r="AN872">
        <v>2800</v>
      </c>
      <c r="AO872" t="s">
        <v>118</v>
      </c>
      <c r="AP872">
        <v>-80</v>
      </c>
      <c r="AQ872">
        <v>-137</v>
      </c>
      <c r="AR872">
        <v>0</v>
      </c>
      <c r="AZ872">
        <v>4552</v>
      </c>
      <c r="BA872">
        <v>1</v>
      </c>
      <c r="BB872" t="str">
        <f t="shared" si="41"/>
        <v xml:space="preserve">N607SR  </v>
      </c>
      <c r="BC872">
        <v>1</v>
      </c>
      <c r="BE872">
        <v>0</v>
      </c>
      <c r="BF872">
        <v>0</v>
      </c>
      <c r="BG872">
        <v>0</v>
      </c>
      <c r="BH872">
        <v>2600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"06:14:33.283"</f>
        <v>06:14:33.283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6</v>
      </c>
      <c r="CP872" t="s">
        <v>119</v>
      </c>
      <c r="CQ872">
        <v>517</v>
      </c>
      <c r="CR872">
        <v>1</v>
      </c>
      <c r="CW872">
        <v>2478487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"08/29/2020 06:14:30.054"</f>
        <v>08/29/2020 06:14:30.054</v>
      </c>
      <c r="C873" t="str">
        <f t="shared" si="39"/>
        <v>FFDFD3C0</v>
      </c>
      <c r="D873" t="s">
        <v>113</v>
      </c>
      <c r="E873">
        <v>5</v>
      </c>
      <c r="H873">
        <v>163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"06:14:33.281"</f>
        <v>06:14:33.281</v>
      </c>
      <c r="T873" t="str">
        <f>"06:14:32.781"</f>
        <v>06:14:32.781</v>
      </c>
      <c r="U873" t="str">
        <f t="shared" si="40"/>
        <v>A7E2E0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677</v>
      </c>
      <c r="AJ873">
        <v>39.087252999999997</v>
      </c>
      <c r="AK873" t="s">
        <v>678</v>
      </c>
      <c r="AL873">
        <v>-87.488035999999994</v>
      </c>
      <c r="AM873">
        <v>100</v>
      </c>
      <c r="AN873">
        <v>2800</v>
      </c>
      <c r="AO873" t="s">
        <v>118</v>
      </c>
      <c r="AP873">
        <v>-80</v>
      </c>
      <c r="AQ873">
        <v>-137</v>
      </c>
      <c r="AR873">
        <v>0</v>
      </c>
      <c r="AZ873">
        <v>4552</v>
      </c>
      <c r="BA873">
        <v>1</v>
      </c>
      <c r="BB873" t="str">
        <f t="shared" si="41"/>
        <v xml:space="preserve">N607SR  </v>
      </c>
      <c r="BC873">
        <v>1</v>
      </c>
      <c r="BE873">
        <v>0</v>
      </c>
      <c r="BF873">
        <v>0</v>
      </c>
      <c r="BG873">
        <v>0</v>
      </c>
      <c r="BH873">
        <v>2600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"06:14:33.283"</f>
        <v>06:14:33.283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6</v>
      </c>
      <c r="CP873" t="s">
        <v>119</v>
      </c>
      <c r="CQ873">
        <v>517</v>
      </c>
      <c r="CR873">
        <v>1</v>
      </c>
      <c r="CW873">
        <v>2478487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"08/29/2020 06:14:30.540"</f>
        <v>08/29/2020 06:14:30.540</v>
      </c>
      <c r="C874" t="str">
        <f t="shared" si="39"/>
        <v>FFDFD3C0</v>
      </c>
      <c r="D874" t="s">
        <v>121</v>
      </c>
      <c r="E874">
        <v>11</v>
      </c>
      <c r="F874">
        <v>1011</v>
      </c>
      <c r="G874" t="s">
        <v>125</v>
      </c>
      <c r="J874" t="s">
        <v>123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"06:14:33.789"</f>
        <v>06:14:33.789</v>
      </c>
      <c r="T874" t="str">
        <f>"06:14:33.289"</f>
        <v>06:14:33.289</v>
      </c>
      <c r="U874" t="str">
        <f t="shared" si="40"/>
        <v>A7E2E0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679</v>
      </c>
      <c r="AJ874">
        <v>39.086931</v>
      </c>
      <c r="AK874" t="s">
        <v>680</v>
      </c>
      <c r="AL874">
        <v>-87.488251000000005</v>
      </c>
      <c r="AM874">
        <v>100</v>
      </c>
      <c r="AN874">
        <v>2800</v>
      </c>
      <c r="AO874" t="s">
        <v>118</v>
      </c>
      <c r="AP874">
        <v>-81</v>
      </c>
      <c r="AQ874">
        <v>-137</v>
      </c>
      <c r="AR874">
        <v>0</v>
      </c>
      <c r="AZ874">
        <v>4552</v>
      </c>
      <c r="BA874">
        <v>1</v>
      </c>
      <c r="BB874" t="str">
        <f t="shared" si="41"/>
        <v xml:space="preserve">N607SR  </v>
      </c>
      <c r="BC874">
        <v>1</v>
      </c>
      <c r="BE874">
        <v>0</v>
      </c>
      <c r="BF874">
        <v>0</v>
      </c>
      <c r="BG874">
        <v>0</v>
      </c>
      <c r="BH874">
        <v>2600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"06:14:33.796"</f>
        <v>06:14:33.796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6</v>
      </c>
      <c r="CP874" t="s">
        <v>119</v>
      </c>
      <c r="CQ874">
        <v>457</v>
      </c>
      <c r="CR874">
        <v>0</v>
      </c>
      <c r="CW874">
        <v>15513679</v>
      </c>
      <c r="CY874">
        <v>1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"08/29/2020 06:14:30.540"</f>
        <v>08/29/2020 06:14:30.540</v>
      </c>
      <c r="C875" t="str">
        <f t="shared" si="39"/>
        <v>FFDFD3C0</v>
      </c>
      <c r="D875" t="s">
        <v>121</v>
      </c>
      <c r="E875">
        <v>10</v>
      </c>
      <c r="F875">
        <v>1010</v>
      </c>
      <c r="G875" t="s">
        <v>114</v>
      </c>
      <c r="J875" t="s">
        <v>123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"06:14:33.789"</f>
        <v>06:14:33.789</v>
      </c>
      <c r="T875" t="str">
        <f>"06:14:33.289"</f>
        <v>06:14:33.289</v>
      </c>
      <c r="U875" t="str">
        <f t="shared" si="40"/>
        <v>A7E2E0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679</v>
      </c>
      <c r="AJ875">
        <v>39.086931</v>
      </c>
      <c r="AK875" t="s">
        <v>680</v>
      </c>
      <c r="AL875">
        <v>-87.488251000000005</v>
      </c>
      <c r="AM875">
        <v>100</v>
      </c>
      <c r="AN875">
        <v>2800</v>
      </c>
      <c r="AO875" t="s">
        <v>118</v>
      </c>
      <c r="AP875">
        <v>-81</v>
      </c>
      <c r="AQ875">
        <v>-137</v>
      </c>
      <c r="AR875">
        <v>0</v>
      </c>
      <c r="AZ875">
        <v>4552</v>
      </c>
      <c r="BA875">
        <v>1</v>
      </c>
      <c r="BB875" t="str">
        <f t="shared" si="41"/>
        <v xml:space="preserve">N607SR  </v>
      </c>
      <c r="BC875">
        <v>1</v>
      </c>
      <c r="BE875">
        <v>0</v>
      </c>
      <c r="BF875">
        <v>0</v>
      </c>
      <c r="BG875">
        <v>0</v>
      </c>
      <c r="BH875">
        <v>2600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"06:14:33.796"</f>
        <v>06:14:33.796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6</v>
      </c>
      <c r="CP875" t="s">
        <v>119</v>
      </c>
      <c r="CQ875">
        <v>457</v>
      </c>
      <c r="CR875">
        <v>0</v>
      </c>
      <c r="CW875">
        <v>15513679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"08/29/2020 06:14:30.540"</f>
        <v>08/29/2020 06:14:30.540</v>
      </c>
      <c r="C876" t="str">
        <f t="shared" si="39"/>
        <v>FFDFD3C0</v>
      </c>
      <c r="D876" t="s">
        <v>121</v>
      </c>
      <c r="E876">
        <v>13</v>
      </c>
      <c r="F876">
        <v>1013</v>
      </c>
      <c r="G876" t="s">
        <v>122</v>
      </c>
      <c r="J876" t="s">
        <v>123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"06:14:33.789"</f>
        <v>06:14:33.789</v>
      </c>
      <c r="T876" t="str">
        <f>"06:14:33.289"</f>
        <v>06:14:33.289</v>
      </c>
      <c r="U876" t="str">
        <f t="shared" si="40"/>
        <v>A7E2E0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679</v>
      </c>
      <c r="AJ876">
        <v>39.086931</v>
      </c>
      <c r="AK876" t="s">
        <v>680</v>
      </c>
      <c r="AL876">
        <v>-87.488251000000005</v>
      </c>
      <c r="AM876">
        <v>100</v>
      </c>
      <c r="AN876">
        <v>2800</v>
      </c>
      <c r="AO876" t="s">
        <v>118</v>
      </c>
      <c r="AP876">
        <v>-81</v>
      </c>
      <c r="AQ876">
        <v>-137</v>
      </c>
      <c r="AR876">
        <v>0</v>
      </c>
      <c r="AZ876">
        <v>4552</v>
      </c>
      <c r="BA876">
        <v>1</v>
      </c>
      <c r="BB876" t="str">
        <f t="shared" si="41"/>
        <v xml:space="preserve">N607SR  </v>
      </c>
      <c r="BC876">
        <v>1</v>
      </c>
      <c r="BE876">
        <v>0</v>
      </c>
      <c r="BF876">
        <v>0</v>
      </c>
      <c r="BG876">
        <v>0</v>
      </c>
      <c r="BH876">
        <v>2600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"06:14:33.796"</f>
        <v>06:14:33.796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6</v>
      </c>
      <c r="CP876" t="s">
        <v>119</v>
      </c>
      <c r="CQ876">
        <v>457</v>
      </c>
      <c r="CR876">
        <v>0</v>
      </c>
      <c r="CW876">
        <v>15513679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"08/29/2020 06:14:31.067"</f>
        <v>08/29/2020 06:14:31.067</v>
      </c>
      <c r="C877" t="str">
        <f t="shared" si="39"/>
        <v>FFDFD3C0</v>
      </c>
      <c r="D877" t="s">
        <v>128</v>
      </c>
      <c r="E877">
        <v>5</v>
      </c>
      <c r="H877">
        <v>241</v>
      </c>
      <c r="I877" t="s">
        <v>129</v>
      </c>
      <c r="J877" t="s">
        <v>130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"06:14:34.328"</f>
        <v>06:14:34.328</v>
      </c>
      <c r="T877" t="str">
        <f>"06:14:33.828"</f>
        <v>06:14:33.828</v>
      </c>
      <c r="U877" t="str">
        <f t="shared" si="40"/>
        <v>A7E2E0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681</v>
      </c>
      <c r="AJ877">
        <v>39.086565999999998</v>
      </c>
      <c r="AK877" t="s">
        <v>682</v>
      </c>
      <c r="AL877">
        <v>-87.488551000000001</v>
      </c>
      <c r="AM877">
        <v>100</v>
      </c>
      <c r="AN877">
        <v>2800</v>
      </c>
      <c r="AO877" t="s">
        <v>118</v>
      </c>
      <c r="AP877">
        <v>-81</v>
      </c>
      <c r="AQ877">
        <v>-137</v>
      </c>
      <c r="AR877">
        <v>0</v>
      </c>
      <c r="AZ877">
        <v>4552</v>
      </c>
      <c r="BA877">
        <v>1</v>
      </c>
      <c r="BB877" t="str">
        <f t="shared" si="41"/>
        <v xml:space="preserve">N607SR  </v>
      </c>
      <c r="BC877">
        <v>1</v>
      </c>
      <c r="BE877">
        <v>0</v>
      </c>
      <c r="BF877">
        <v>0</v>
      </c>
      <c r="BG877">
        <v>0</v>
      </c>
      <c r="BH877">
        <v>2600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"06:14:34.332"</f>
        <v>06:14:34.332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6</v>
      </c>
      <c r="CP877" t="s">
        <v>119</v>
      </c>
      <c r="CQ877">
        <v>517</v>
      </c>
      <c r="CR877">
        <v>1</v>
      </c>
      <c r="CW877">
        <v>2478517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"08/29/2020 06:14:31.067"</f>
        <v>08/29/2020 06:14:31.067</v>
      </c>
      <c r="C878" t="str">
        <f t="shared" si="39"/>
        <v>FFDFD3C0</v>
      </c>
      <c r="D878" t="s">
        <v>113</v>
      </c>
      <c r="E878">
        <v>5</v>
      </c>
      <c r="H878">
        <v>163</v>
      </c>
      <c r="I878" t="s">
        <v>114</v>
      </c>
      <c r="J878" t="s">
        <v>115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"06:14:34.328"</f>
        <v>06:14:34.328</v>
      </c>
      <c r="T878" t="str">
        <f>"06:14:33.828"</f>
        <v>06:14:33.828</v>
      </c>
      <c r="U878" t="str">
        <f t="shared" si="40"/>
        <v>A7E2E0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681</v>
      </c>
      <c r="AJ878">
        <v>39.086565999999998</v>
      </c>
      <c r="AK878" t="s">
        <v>682</v>
      </c>
      <c r="AL878">
        <v>-87.488551000000001</v>
      </c>
      <c r="AM878">
        <v>100</v>
      </c>
      <c r="AN878">
        <v>2800</v>
      </c>
      <c r="AO878" t="s">
        <v>118</v>
      </c>
      <c r="AP878">
        <v>-81</v>
      </c>
      <c r="AQ878">
        <v>-137</v>
      </c>
      <c r="AR878">
        <v>0</v>
      </c>
      <c r="AZ878">
        <v>4552</v>
      </c>
      <c r="BA878">
        <v>1</v>
      </c>
      <c r="BB878" t="str">
        <f t="shared" si="41"/>
        <v xml:space="preserve">N607SR  </v>
      </c>
      <c r="BC878">
        <v>1</v>
      </c>
      <c r="BE878">
        <v>0</v>
      </c>
      <c r="BF878">
        <v>0</v>
      </c>
      <c r="BG878">
        <v>0</v>
      </c>
      <c r="BH878">
        <v>2600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"06:14:34.332"</f>
        <v>06:14:34.332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6</v>
      </c>
      <c r="CP878" t="s">
        <v>119</v>
      </c>
      <c r="CQ878">
        <v>517</v>
      </c>
      <c r="CR878">
        <v>1</v>
      </c>
      <c r="CW878">
        <v>2478517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"08/29/2020 06:14:31.666"</f>
        <v>08/29/2020 06:14:31.666</v>
      </c>
      <c r="C879" t="str">
        <f t="shared" si="39"/>
        <v>FFDFD3C0</v>
      </c>
      <c r="D879" t="s">
        <v>121</v>
      </c>
      <c r="E879">
        <v>10</v>
      </c>
      <c r="F879">
        <v>1010</v>
      </c>
      <c r="G879" t="s">
        <v>114</v>
      </c>
      <c r="J879" t="s">
        <v>123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"06:14:34.898"</f>
        <v>06:14:34.898</v>
      </c>
      <c r="T879" t="str">
        <f>"06:14:34.398"</f>
        <v>06:14:34.398</v>
      </c>
      <c r="U879" t="str">
        <f t="shared" si="40"/>
        <v>A7E2E0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683</v>
      </c>
      <c r="AJ879">
        <v>39.086157999999998</v>
      </c>
      <c r="AK879" t="s">
        <v>684</v>
      </c>
      <c r="AL879">
        <v>-87.488851999999994</v>
      </c>
      <c r="AM879">
        <v>100</v>
      </c>
      <c r="AN879">
        <v>2800</v>
      </c>
      <c r="AO879" t="s">
        <v>118</v>
      </c>
      <c r="AP879">
        <v>-82</v>
      </c>
      <c r="AQ879">
        <v>-136</v>
      </c>
      <c r="AR879">
        <v>0</v>
      </c>
      <c r="AZ879">
        <v>4552</v>
      </c>
      <c r="BA879">
        <v>1</v>
      </c>
      <c r="BB879" t="str">
        <f t="shared" si="41"/>
        <v xml:space="preserve">N607SR  </v>
      </c>
      <c r="BC879">
        <v>1</v>
      </c>
      <c r="BE879">
        <v>0</v>
      </c>
      <c r="BF879">
        <v>0</v>
      </c>
      <c r="BG879">
        <v>0</v>
      </c>
      <c r="BH879">
        <v>2600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"06:14:34.900"</f>
        <v>06:14:34.900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6</v>
      </c>
      <c r="CP879" t="s">
        <v>119</v>
      </c>
      <c r="CQ879">
        <v>457</v>
      </c>
      <c r="CR879">
        <v>0</v>
      </c>
      <c r="CW879">
        <v>15513705</v>
      </c>
      <c r="CY879">
        <v>1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"08/29/2020 06:14:31.666"</f>
        <v>08/29/2020 06:14:31.666</v>
      </c>
      <c r="C880" t="str">
        <f t="shared" si="39"/>
        <v>FFDFD3C0</v>
      </c>
      <c r="D880" t="s">
        <v>121</v>
      </c>
      <c r="E880">
        <v>13</v>
      </c>
      <c r="F880">
        <v>1013</v>
      </c>
      <c r="G880" t="s">
        <v>122</v>
      </c>
      <c r="J880" t="s">
        <v>123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"06:14:34.898"</f>
        <v>06:14:34.898</v>
      </c>
      <c r="T880" t="str">
        <f>"06:14:34.398"</f>
        <v>06:14:34.398</v>
      </c>
      <c r="U880" t="str">
        <f t="shared" si="40"/>
        <v>A7E2E0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683</v>
      </c>
      <c r="AJ880">
        <v>39.086157999999998</v>
      </c>
      <c r="AK880" t="s">
        <v>684</v>
      </c>
      <c r="AL880">
        <v>-87.488851999999994</v>
      </c>
      <c r="AM880">
        <v>100</v>
      </c>
      <c r="AN880">
        <v>2800</v>
      </c>
      <c r="AO880" t="s">
        <v>118</v>
      </c>
      <c r="AP880">
        <v>-82</v>
      </c>
      <c r="AQ880">
        <v>-136</v>
      </c>
      <c r="AR880">
        <v>0</v>
      </c>
      <c r="AZ880">
        <v>4552</v>
      </c>
      <c r="BA880">
        <v>1</v>
      </c>
      <c r="BB880" t="str">
        <f t="shared" si="41"/>
        <v xml:space="preserve">N607SR  </v>
      </c>
      <c r="BC880">
        <v>1</v>
      </c>
      <c r="BE880">
        <v>0</v>
      </c>
      <c r="BF880">
        <v>0</v>
      </c>
      <c r="BG880">
        <v>0</v>
      </c>
      <c r="BH880">
        <v>2600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"06:14:34.900"</f>
        <v>06:14:34.900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6</v>
      </c>
      <c r="CP880" t="s">
        <v>119</v>
      </c>
      <c r="CQ880">
        <v>457</v>
      </c>
      <c r="CR880">
        <v>0</v>
      </c>
      <c r="CW880">
        <v>15513705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"08/29/2020 06:14:31.666"</f>
        <v>08/29/2020 06:14:31.666</v>
      </c>
      <c r="C881" t="str">
        <f t="shared" si="39"/>
        <v>FFDFD3C0</v>
      </c>
      <c r="D881" t="s">
        <v>121</v>
      </c>
      <c r="E881">
        <v>11</v>
      </c>
      <c r="F881">
        <v>1011</v>
      </c>
      <c r="G881" t="s">
        <v>125</v>
      </c>
      <c r="J881" t="s">
        <v>123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"06:14:34.898"</f>
        <v>06:14:34.898</v>
      </c>
      <c r="T881" t="str">
        <f>"06:14:34.398"</f>
        <v>06:14:34.398</v>
      </c>
      <c r="U881" t="str">
        <f t="shared" si="40"/>
        <v>A7E2E0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683</v>
      </c>
      <c r="AJ881">
        <v>39.086157999999998</v>
      </c>
      <c r="AK881" t="s">
        <v>684</v>
      </c>
      <c r="AL881">
        <v>-87.488851999999994</v>
      </c>
      <c r="AM881">
        <v>100</v>
      </c>
      <c r="AN881">
        <v>2800</v>
      </c>
      <c r="AO881" t="s">
        <v>118</v>
      </c>
      <c r="AP881">
        <v>-82</v>
      </c>
      <c r="AQ881">
        <v>-136</v>
      </c>
      <c r="AR881">
        <v>0</v>
      </c>
      <c r="AZ881">
        <v>4552</v>
      </c>
      <c r="BA881">
        <v>1</v>
      </c>
      <c r="BB881" t="str">
        <f t="shared" si="41"/>
        <v xml:space="preserve">N607SR  </v>
      </c>
      <c r="BC881">
        <v>1</v>
      </c>
      <c r="BE881">
        <v>0</v>
      </c>
      <c r="BF881">
        <v>0</v>
      </c>
      <c r="BG881">
        <v>0</v>
      </c>
      <c r="BH881">
        <v>2600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"06:14:34.900"</f>
        <v>06:14:34.900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6</v>
      </c>
      <c r="CP881" t="s">
        <v>119</v>
      </c>
      <c r="CQ881">
        <v>457</v>
      </c>
      <c r="CR881">
        <v>0</v>
      </c>
      <c r="CW881">
        <v>15513705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"08/29/2020 06:14:32.283"</f>
        <v>08/29/2020 06:14:32.283</v>
      </c>
      <c r="C882" t="str">
        <f t="shared" si="39"/>
        <v>FFDFD3C0</v>
      </c>
      <c r="D882" t="s">
        <v>128</v>
      </c>
      <c r="E882">
        <v>5</v>
      </c>
      <c r="H882">
        <v>241</v>
      </c>
      <c r="I882" t="s">
        <v>129</v>
      </c>
      <c r="J882" t="s">
        <v>130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"06:14:35.484"</f>
        <v>06:14:35.484</v>
      </c>
      <c r="T882" t="str">
        <f>"06:14:34.984"</f>
        <v>06:14:34.984</v>
      </c>
      <c r="U882" t="str">
        <f t="shared" si="40"/>
        <v>A7E2E0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685</v>
      </c>
      <c r="AJ882">
        <v>39.085858000000002</v>
      </c>
      <c r="AK882" t="s">
        <v>686</v>
      </c>
      <c r="AL882">
        <v>-87.489065999999994</v>
      </c>
      <c r="AM882">
        <v>100</v>
      </c>
      <c r="AN882">
        <v>2800</v>
      </c>
      <c r="AO882" t="s">
        <v>118</v>
      </c>
      <c r="AP882">
        <v>-83</v>
      </c>
      <c r="AQ882">
        <v>-136</v>
      </c>
      <c r="AR882">
        <v>0</v>
      </c>
      <c r="AZ882">
        <v>4552</v>
      </c>
      <c r="BA882">
        <v>1</v>
      </c>
      <c r="BB882" t="str">
        <f t="shared" si="41"/>
        <v xml:space="preserve">N607SR  </v>
      </c>
      <c r="BC882">
        <v>1</v>
      </c>
      <c r="BE882">
        <v>0</v>
      </c>
      <c r="BF882">
        <v>0</v>
      </c>
      <c r="BG882">
        <v>0</v>
      </c>
      <c r="BH882">
        <v>2600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"06:14:35.487"</f>
        <v>06:14:35.487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6</v>
      </c>
      <c r="CP882" t="s">
        <v>119</v>
      </c>
      <c r="CQ882">
        <v>517</v>
      </c>
      <c r="CR882">
        <v>1</v>
      </c>
      <c r="CW882">
        <v>2478547</v>
      </c>
      <c r="CY882">
        <v>1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"08/29/2020 06:14:32.283"</f>
        <v>08/29/2020 06:14:32.283</v>
      </c>
      <c r="C883" t="str">
        <f t="shared" si="39"/>
        <v>FFDFD3C0</v>
      </c>
      <c r="D883" t="s">
        <v>113</v>
      </c>
      <c r="E883">
        <v>5</v>
      </c>
      <c r="H883">
        <v>163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"06:14:35.484"</f>
        <v>06:14:35.484</v>
      </c>
      <c r="T883" t="str">
        <f>"06:14:34.984"</f>
        <v>06:14:34.984</v>
      </c>
      <c r="U883" t="str">
        <f t="shared" si="40"/>
        <v>A7E2E0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685</v>
      </c>
      <c r="AJ883">
        <v>39.085858000000002</v>
      </c>
      <c r="AK883" t="s">
        <v>686</v>
      </c>
      <c r="AL883">
        <v>-87.489065999999994</v>
      </c>
      <c r="AM883">
        <v>100</v>
      </c>
      <c r="AN883">
        <v>2800</v>
      </c>
      <c r="AO883" t="s">
        <v>118</v>
      </c>
      <c r="AP883">
        <v>-83</v>
      </c>
      <c r="AQ883">
        <v>-136</v>
      </c>
      <c r="AR883">
        <v>0</v>
      </c>
      <c r="AZ883">
        <v>4552</v>
      </c>
      <c r="BA883">
        <v>1</v>
      </c>
      <c r="BB883" t="str">
        <f t="shared" si="41"/>
        <v xml:space="preserve">N607SR  </v>
      </c>
      <c r="BC883">
        <v>1</v>
      </c>
      <c r="BE883">
        <v>0</v>
      </c>
      <c r="BF883">
        <v>0</v>
      </c>
      <c r="BG883">
        <v>0</v>
      </c>
      <c r="BH883">
        <v>2600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"06:14:35.487"</f>
        <v>06:14:35.487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6</v>
      </c>
      <c r="CP883" t="s">
        <v>119</v>
      </c>
      <c r="CQ883">
        <v>517</v>
      </c>
      <c r="CR883">
        <v>1</v>
      </c>
      <c r="CW883">
        <v>2478547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"08/29/2020 06:14:32.720"</f>
        <v>08/29/2020 06:14:32.720</v>
      </c>
      <c r="C884" t="str">
        <f t="shared" si="39"/>
        <v>FFDFD3C0</v>
      </c>
      <c r="D884" t="s">
        <v>121</v>
      </c>
      <c r="E884">
        <v>11</v>
      </c>
      <c r="F884">
        <v>1011</v>
      </c>
      <c r="G884" t="s">
        <v>125</v>
      </c>
      <c r="J884" t="s">
        <v>123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"06:14:35.953"</f>
        <v>06:14:35.953</v>
      </c>
      <c r="T884" t="str">
        <f>"06:14:35.553"</f>
        <v>06:14:35.553</v>
      </c>
      <c r="U884" t="str">
        <f t="shared" si="40"/>
        <v>A7E2E0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687</v>
      </c>
      <c r="AJ884">
        <v>39.085557000000001</v>
      </c>
      <c r="AK884" t="s">
        <v>688</v>
      </c>
      <c r="AL884">
        <v>-87.489388000000005</v>
      </c>
      <c r="AM884">
        <v>100</v>
      </c>
      <c r="AN884">
        <v>2800</v>
      </c>
      <c r="AO884" t="s">
        <v>118</v>
      </c>
      <c r="AP884">
        <v>-84</v>
      </c>
      <c r="AQ884">
        <v>-136</v>
      </c>
      <c r="AR884">
        <v>0</v>
      </c>
      <c r="AZ884">
        <v>4552</v>
      </c>
      <c r="BA884">
        <v>1</v>
      </c>
      <c r="BB884" t="str">
        <f t="shared" si="41"/>
        <v xml:space="preserve">N607SR  </v>
      </c>
      <c r="BC884">
        <v>1</v>
      </c>
      <c r="BE884">
        <v>0</v>
      </c>
      <c r="BF884">
        <v>0</v>
      </c>
      <c r="BG884">
        <v>0</v>
      </c>
      <c r="BH884">
        <v>2600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"06:14:35.959"</f>
        <v>06:14:35.959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6</v>
      </c>
      <c r="CP884" t="s">
        <v>119</v>
      </c>
      <c r="CQ884">
        <v>177</v>
      </c>
      <c r="CR884">
        <v>2</v>
      </c>
      <c r="CW884">
        <v>1627923</v>
      </c>
      <c r="CY884">
        <v>1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"08/29/2020 06:14:32.720"</f>
        <v>08/29/2020 06:14:32.720</v>
      </c>
      <c r="C885" t="str">
        <f t="shared" si="39"/>
        <v>FFDFD3C0</v>
      </c>
      <c r="D885" t="s">
        <v>121</v>
      </c>
      <c r="E885">
        <v>10</v>
      </c>
      <c r="F885">
        <v>1010</v>
      </c>
      <c r="G885" t="s">
        <v>114</v>
      </c>
      <c r="J885" t="s">
        <v>123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"06:14:35.953"</f>
        <v>06:14:35.953</v>
      </c>
      <c r="U885" t="str">
        <f t="shared" si="40"/>
        <v>A7E2E0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687</v>
      </c>
      <c r="AJ885">
        <v>39.085557000000001</v>
      </c>
      <c r="AK885" t="s">
        <v>688</v>
      </c>
      <c r="AL885">
        <v>-87.489388000000005</v>
      </c>
      <c r="AM885">
        <v>100</v>
      </c>
      <c r="AN885">
        <v>2800</v>
      </c>
      <c r="AO885" t="s">
        <v>118</v>
      </c>
      <c r="AP885">
        <v>-84</v>
      </c>
      <c r="AQ885">
        <v>-136</v>
      </c>
      <c r="AR885">
        <v>0</v>
      </c>
      <c r="AZ885">
        <v>4552</v>
      </c>
      <c r="BA885">
        <v>1</v>
      </c>
      <c r="BB885" t="str">
        <f t="shared" si="41"/>
        <v xml:space="preserve">N607SR  </v>
      </c>
      <c r="BC885">
        <v>1</v>
      </c>
      <c r="BE885">
        <v>0</v>
      </c>
      <c r="BF885">
        <v>0</v>
      </c>
      <c r="BG885">
        <v>0</v>
      </c>
      <c r="BH885">
        <v>2600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"06:14:35.959"</f>
        <v>06:14:35.959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5</v>
      </c>
      <c r="CP885" t="s">
        <v>119</v>
      </c>
      <c r="CQ885">
        <v>465</v>
      </c>
      <c r="CR885">
        <v>0</v>
      </c>
      <c r="CW885">
        <v>4717589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"08/29/2020 06:14:32.720"</f>
        <v>08/29/2020 06:14:32.720</v>
      </c>
      <c r="C886" t="str">
        <f t="shared" si="39"/>
        <v>FFDFD3C0</v>
      </c>
      <c r="D886" t="s">
        <v>121</v>
      </c>
      <c r="E886">
        <v>13</v>
      </c>
      <c r="F886">
        <v>1013</v>
      </c>
      <c r="G886" t="s">
        <v>122</v>
      </c>
      <c r="J886" t="s">
        <v>123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"06:14:35.953"</f>
        <v>06:14:35.953</v>
      </c>
      <c r="U886" t="str">
        <f t="shared" si="40"/>
        <v>A7E2E0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687</v>
      </c>
      <c r="AJ886">
        <v>39.085557000000001</v>
      </c>
      <c r="AK886" t="s">
        <v>688</v>
      </c>
      <c r="AL886">
        <v>-87.489388000000005</v>
      </c>
      <c r="AM886">
        <v>100</v>
      </c>
      <c r="AN886">
        <v>2800</v>
      </c>
      <c r="AO886" t="s">
        <v>118</v>
      </c>
      <c r="AP886">
        <v>-84</v>
      </c>
      <c r="AQ886">
        <v>-136</v>
      </c>
      <c r="AR886">
        <v>0</v>
      </c>
      <c r="AZ886">
        <v>4552</v>
      </c>
      <c r="BA886">
        <v>1</v>
      </c>
      <c r="BB886" t="str">
        <f t="shared" si="41"/>
        <v xml:space="preserve">N607SR  </v>
      </c>
      <c r="BC886">
        <v>1</v>
      </c>
      <c r="BE886">
        <v>0</v>
      </c>
      <c r="BF886">
        <v>0</v>
      </c>
      <c r="BG886">
        <v>0</v>
      </c>
      <c r="BH886">
        <v>2600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"06:14:35.959"</f>
        <v>06:14:35.959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5</v>
      </c>
      <c r="CP886" t="s">
        <v>119</v>
      </c>
      <c r="CQ886">
        <v>465</v>
      </c>
      <c r="CR886">
        <v>0</v>
      </c>
      <c r="CW886">
        <v>4717589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"08/29/2020 06:14:33.195"</f>
        <v>08/29/2020 06:14:33.195</v>
      </c>
      <c r="C887" t="str">
        <f t="shared" si="39"/>
        <v>FFDFD3C0</v>
      </c>
      <c r="D887" t="s">
        <v>128</v>
      </c>
      <c r="E887">
        <v>5</v>
      </c>
      <c r="H887">
        <v>241</v>
      </c>
      <c r="I887" t="s">
        <v>129</v>
      </c>
      <c r="J887" t="s">
        <v>130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"06:14:36.367"</f>
        <v>06:14:36.367</v>
      </c>
      <c r="T887" t="str">
        <f>"06:14:35.967"</f>
        <v>06:14:35.967</v>
      </c>
      <c r="U887" t="str">
        <f t="shared" si="40"/>
        <v>A7E2E0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689</v>
      </c>
      <c r="AJ887">
        <v>39.085279</v>
      </c>
      <c r="AK887" t="s">
        <v>690</v>
      </c>
      <c r="AL887">
        <v>-87.489559999999997</v>
      </c>
      <c r="AM887">
        <v>100</v>
      </c>
      <c r="AN887">
        <v>2800</v>
      </c>
      <c r="AO887" t="s">
        <v>118</v>
      </c>
      <c r="AP887">
        <v>-84</v>
      </c>
      <c r="AQ887">
        <v>-136</v>
      </c>
      <c r="AR887">
        <v>0</v>
      </c>
      <c r="AZ887">
        <v>4552</v>
      </c>
      <c r="BA887">
        <v>1</v>
      </c>
      <c r="BB887" t="str">
        <f t="shared" si="41"/>
        <v xml:space="preserve">N607SR  </v>
      </c>
      <c r="BC887">
        <v>1</v>
      </c>
      <c r="BE887">
        <v>0</v>
      </c>
      <c r="BF887">
        <v>0</v>
      </c>
      <c r="BG887">
        <v>0</v>
      </c>
      <c r="BH887">
        <v>2600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"06:14:36.373"</f>
        <v>06:14:36.373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6</v>
      </c>
      <c r="CP887" t="s">
        <v>119</v>
      </c>
      <c r="CQ887">
        <v>517</v>
      </c>
      <c r="CR887">
        <v>1</v>
      </c>
      <c r="CW887">
        <v>2478574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"08/29/2020 06:14:33.195"</f>
        <v>08/29/2020 06:14:33.195</v>
      </c>
      <c r="C888" t="str">
        <f t="shared" si="39"/>
        <v>FFDFD3C0</v>
      </c>
      <c r="D888" t="s">
        <v>113</v>
      </c>
      <c r="E888">
        <v>5</v>
      </c>
      <c r="H888">
        <v>163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"06:14:36.367"</f>
        <v>06:14:36.367</v>
      </c>
      <c r="T888" t="str">
        <f>"06:14:35.967"</f>
        <v>06:14:35.967</v>
      </c>
      <c r="U888" t="str">
        <f t="shared" si="40"/>
        <v>A7E2E0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689</v>
      </c>
      <c r="AJ888">
        <v>39.085279</v>
      </c>
      <c r="AK888" t="s">
        <v>690</v>
      </c>
      <c r="AL888">
        <v>-87.489559999999997</v>
      </c>
      <c r="AM888">
        <v>100</v>
      </c>
      <c r="AN888">
        <v>2800</v>
      </c>
      <c r="AO888" t="s">
        <v>118</v>
      </c>
      <c r="AP888">
        <v>-84</v>
      </c>
      <c r="AQ888">
        <v>-136</v>
      </c>
      <c r="AR888">
        <v>0</v>
      </c>
      <c r="AZ888">
        <v>4552</v>
      </c>
      <c r="BA888">
        <v>1</v>
      </c>
      <c r="BB888" t="str">
        <f t="shared" si="41"/>
        <v xml:space="preserve">N607SR  </v>
      </c>
      <c r="BC888">
        <v>1</v>
      </c>
      <c r="BE888">
        <v>0</v>
      </c>
      <c r="BF888">
        <v>0</v>
      </c>
      <c r="BG888">
        <v>0</v>
      </c>
      <c r="BH888">
        <v>2600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"06:14:36.373"</f>
        <v>06:14:36.373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6</v>
      </c>
      <c r="CP888" t="s">
        <v>119</v>
      </c>
      <c r="CQ888">
        <v>517</v>
      </c>
      <c r="CR888">
        <v>1</v>
      </c>
      <c r="CW888">
        <v>2478574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"08/29/2020 06:14:33.737"</f>
        <v>08/29/2020 06:14:33.737</v>
      </c>
      <c r="C889" t="str">
        <f t="shared" si="39"/>
        <v>FFDFD3C0</v>
      </c>
      <c r="D889" t="s">
        <v>121</v>
      </c>
      <c r="E889">
        <v>11</v>
      </c>
      <c r="F889">
        <v>1011</v>
      </c>
      <c r="G889" t="s">
        <v>125</v>
      </c>
      <c r="J889" t="s">
        <v>123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"06:14:36.961"</f>
        <v>06:14:36.961</v>
      </c>
      <c r="T889" t="str">
        <f>"06:14:36.461"</f>
        <v>06:14:36.461</v>
      </c>
      <c r="U889" t="str">
        <f t="shared" si="40"/>
        <v>A7E2E0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691</v>
      </c>
      <c r="AJ889">
        <v>39.084913999999998</v>
      </c>
      <c r="AK889" t="s">
        <v>692</v>
      </c>
      <c r="AL889">
        <v>-87.489859999999993</v>
      </c>
      <c r="AM889">
        <v>100</v>
      </c>
      <c r="AN889">
        <v>2800</v>
      </c>
      <c r="AO889" t="s">
        <v>118</v>
      </c>
      <c r="AP889">
        <v>-85</v>
      </c>
      <c r="AQ889">
        <v>-135</v>
      </c>
      <c r="AR889">
        <v>0</v>
      </c>
      <c r="AZ889">
        <v>4552</v>
      </c>
      <c r="BA889">
        <v>1</v>
      </c>
      <c r="BB889" t="str">
        <f t="shared" si="41"/>
        <v xml:space="preserve">N607SR  </v>
      </c>
      <c r="BC889">
        <v>1</v>
      </c>
      <c r="BE889">
        <v>0</v>
      </c>
      <c r="BF889">
        <v>0</v>
      </c>
      <c r="BG889">
        <v>0</v>
      </c>
      <c r="BH889">
        <v>2600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"06:14:36.963"</f>
        <v>06:14:36.963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6</v>
      </c>
      <c r="CP889" t="s">
        <v>119</v>
      </c>
      <c r="CQ889">
        <v>457</v>
      </c>
      <c r="CR889">
        <v>0</v>
      </c>
      <c r="CW889">
        <v>15513769</v>
      </c>
      <c r="CY889">
        <v>1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"08/29/2020 06:14:33.737"</f>
        <v>08/29/2020 06:14:33.737</v>
      </c>
      <c r="C890" t="str">
        <f t="shared" si="39"/>
        <v>FFDFD3C0</v>
      </c>
      <c r="D890" t="s">
        <v>121</v>
      </c>
      <c r="E890">
        <v>10</v>
      </c>
      <c r="F890">
        <v>1010</v>
      </c>
      <c r="G890" t="s">
        <v>114</v>
      </c>
      <c r="J890" t="s">
        <v>123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"06:14:36.961"</f>
        <v>06:14:36.961</v>
      </c>
      <c r="T890" t="str">
        <f>"06:14:36.461"</f>
        <v>06:14:36.461</v>
      </c>
      <c r="U890" t="str">
        <f t="shared" si="40"/>
        <v>A7E2E0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691</v>
      </c>
      <c r="AJ890">
        <v>39.084913999999998</v>
      </c>
      <c r="AK890" t="s">
        <v>692</v>
      </c>
      <c r="AL890">
        <v>-87.489859999999993</v>
      </c>
      <c r="AM890">
        <v>100</v>
      </c>
      <c r="AN890">
        <v>2800</v>
      </c>
      <c r="AO890" t="s">
        <v>118</v>
      </c>
      <c r="AP890">
        <v>-85</v>
      </c>
      <c r="AQ890">
        <v>-135</v>
      </c>
      <c r="AR890">
        <v>0</v>
      </c>
      <c r="AZ890">
        <v>4552</v>
      </c>
      <c r="BA890">
        <v>1</v>
      </c>
      <c r="BB890" t="str">
        <f t="shared" si="41"/>
        <v xml:space="preserve">N607SR  </v>
      </c>
      <c r="BC890">
        <v>1</v>
      </c>
      <c r="BE890">
        <v>0</v>
      </c>
      <c r="BF890">
        <v>0</v>
      </c>
      <c r="BG890">
        <v>0</v>
      </c>
      <c r="BH890">
        <v>2600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"06:14:36.963"</f>
        <v>06:14:36.963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6</v>
      </c>
      <c r="CP890" t="s">
        <v>119</v>
      </c>
      <c r="CQ890">
        <v>457</v>
      </c>
      <c r="CR890">
        <v>0</v>
      </c>
      <c r="CW890">
        <v>15513769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"08/29/2020 06:14:33.737"</f>
        <v>08/29/2020 06:14:33.737</v>
      </c>
      <c r="C891" t="str">
        <f t="shared" si="39"/>
        <v>FFDFD3C0</v>
      </c>
      <c r="D891" t="s">
        <v>121</v>
      </c>
      <c r="E891">
        <v>13</v>
      </c>
      <c r="F891">
        <v>1013</v>
      </c>
      <c r="G891" t="s">
        <v>122</v>
      </c>
      <c r="J891" t="s">
        <v>123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"06:14:36.961"</f>
        <v>06:14:36.961</v>
      </c>
      <c r="T891" t="str">
        <f>"06:14:36.461"</f>
        <v>06:14:36.461</v>
      </c>
      <c r="U891" t="str">
        <f t="shared" si="40"/>
        <v>A7E2E0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691</v>
      </c>
      <c r="AJ891">
        <v>39.084913999999998</v>
      </c>
      <c r="AK891" t="s">
        <v>692</v>
      </c>
      <c r="AL891">
        <v>-87.489859999999993</v>
      </c>
      <c r="AM891">
        <v>100</v>
      </c>
      <c r="AN891">
        <v>2800</v>
      </c>
      <c r="AO891" t="s">
        <v>118</v>
      </c>
      <c r="AP891">
        <v>-85</v>
      </c>
      <c r="AQ891">
        <v>-135</v>
      </c>
      <c r="AR891">
        <v>0</v>
      </c>
      <c r="AZ891">
        <v>4552</v>
      </c>
      <c r="BA891">
        <v>1</v>
      </c>
      <c r="BB891" t="str">
        <f t="shared" si="41"/>
        <v xml:space="preserve">N607SR  </v>
      </c>
      <c r="BC891">
        <v>1</v>
      </c>
      <c r="BE891">
        <v>0</v>
      </c>
      <c r="BF891">
        <v>0</v>
      </c>
      <c r="BG891">
        <v>0</v>
      </c>
      <c r="BH891">
        <v>2600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"06:14:36.963"</f>
        <v>06:14:36.963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6</v>
      </c>
      <c r="CP891" t="s">
        <v>119</v>
      </c>
      <c r="CQ891">
        <v>457</v>
      </c>
      <c r="CR891">
        <v>0</v>
      </c>
      <c r="CW891">
        <v>15513769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"08/29/2020 06:14:34.260"</f>
        <v>08/29/2020 06:14:34.260</v>
      </c>
      <c r="C892" t="str">
        <f t="shared" si="39"/>
        <v>FFDFD3C0</v>
      </c>
      <c r="D892" t="s">
        <v>113</v>
      </c>
      <c r="E892">
        <v>5</v>
      </c>
      <c r="H892">
        <v>163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"06:14:37.492"</f>
        <v>06:14:37.492</v>
      </c>
      <c r="U892" t="str">
        <f t="shared" si="40"/>
        <v>A7E2E0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693</v>
      </c>
      <c r="AJ892">
        <v>39.084612999999997</v>
      </c>
      <c r="AK892" t="s">
        <v>694</v>
      </c>
      <c r="AL892">
        <v>-87.490117999999995</v>
      </c>
      <c r="AM892">
        <v>100</v>
      </c>
      <c r="AN892">
        <v>2800</v>
      </c>
      <c r="AO892" t="s">
        <v>118</v>
      </c>
      <c r="AP892">
        <v>-86</v>
      </c>
      <c r="AQ892">
        <v>-135</v>
      </c>
      <c r="AR892">
        <v>64</v>
      </c>
      <c r="AZ892">
        <v>4552</v>
      </c>
      <c r="BA892">
        <v>1</v>
      </c>
      <c r="BB892" t="str">
        <f t="shared" si="41"/>
        <v xml:space="preserve">N607SR  </v>
      </c>
      <c r="BC892">
        <v>1</v>
      </c>
      <c r="BE892">
        <v>0</v>
      </c>
      <c r="BF892">
        <v>0</v>
      </c>
      <c r="BG892">
        <v>0</v>
      </c>
      <c r="BH892">
        <v>2600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"06:14:37.494"</f>
        <v>06:14:37.494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5</v>
      </c>
      <c r="CP892" t="s">
        <v>119</v>
      </c>
      <c r="CQ892">
        <v>517</v>
      </c>
      <c r="CR892">
        <v>1</v>
      </c>
      <c r="CW892">
        <v>2478605</v>
      </c>
      <c r="CY892">
        <v>1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"08/29/2020 06:14:34.260"</f>
        <v>08/29/2020 06:14:34.260</v>
      </c>
      <c r="C893" t="str">
        <f t="shared" si="39"/>
        <v>FFDFD3C0</v>
      </c>
      <c r="D893" t="s">
        <v>128</v>
      </c>
      <c r="E893">
        <v>5</v>
      </c>
      <c r="H893">
        <v>241</v>
      </c>
      <c r="I893" t="s">
        <v>129</v>
      </c>
      <c r="J893" t="s">
        <v>130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"06:14:37.492"</f>
        <v>06:14:37.492</v>
      </c>
      <c r="U893" t="str">
        <f t="shared" si="40"/>
        <v>A7E2E0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693</v>
      </c>
      <c r="AJ893">
        <v>39.084612999999997</v>
      </c>
      <c r="AK893" t="s">
        <v>694</v>
      </c>
      <c r="AL893">
        <v>-87.490117999999995</v>
      </c>
      <c r="AM893">
        <v>100</v>
      </c>
      <c r="AN893">
        <v>2800</v>
      </c>
      <c r="AO893" t="s">
        <v>118</v>
      </c>
      <c r="AP893">
        <v>-86</v>
      </c>
      <c r="AQ893">
        <v>-135</v>
      </c>
      <c r="AR893">
        <v>64</v>
      </c>
      <c r="AZ893">
        <v>4552</v>
      </c>
      <c r="BA893">
        <v>1</v>
      </c>
      <c r="BB893" t="str">
        <f t="shared" si="41"/>
        <v xml:space="preserve">N607SR  </v>
      </c>
      <c r="BC893">
        <v>1</v>
      </c>
      <c r="BE893">
        <v>0</v>
      </c>
      <c r="BF893">
        <v>0</v>
      </c>
      <c r="BG893">
        <v>0</v>
      </c>
      <c r="BH893">
        <v>2600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"06:14:37.494"</f>
        <v>06:14:37.494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5</v>
      </c>
      <c r="CP893" t="s">
        <v>119</v>
      </c>
      <c r="CQ893">
        <v>517</v>
      </c>
      <c r="CR893">
        <v>1</v>
      </c>
      <c r="CW893">
        <v>2478605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"08/29/2020 06:14:34.700"</f>
        <v>08/29/2020 06:14:34.700</v>
      </c>
      <c r="C894" t="str">
        <f t="shared" si="39"/>
        <v>FFDFD3C0</v>
      </c>
      <c r="D894" t="s">
        <v>121</v>
      </c>
      <c r="E894">
        <v>10</v>
      </c>
      <c r="F894">
        <v>1010</v>
      </c>
      <c r="G894" t="s">
        <v>114</v>
      </c>
      <c r="J894" t="s">
        <v>123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"06:14:37.906"</f>
        <v>06:14:37.906</v>
      </c>
      <c r="T894" t="str">
        <f>"06:14:37.506"</f>
        <v>06:14:37.506</v>
      </c>
      <c r="U894" t="str">
        <f t="shared" si="40"/>
        <v>A7E2E0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695</v>
      </c>
      <c r="AJ894">
        <v>39.084269999999997</v>
      </c>
      <c r="AK894" t="s">
        <v>696</v>
      </c>
      <c r="AL894">
        <v>-87.490396000000004</v>
      </c>
      <c r="AM894">
        <v>100</v>
      </c>
      <c r="AN894">
        <v>2800</v>
      </c>
      <c r="AO894" t="s">
        <v>118</v>
      </c>
      <c r="AP894">
        <v>-86</v>
      </c>
      <c r="AQ894">
        <v>-135</v>
      </c>
      <c r="AR894">
        <v>64</v>
      </c>
      <c r="AZ894">
        <v>4552</v>
      </c>
      <c r="BA894">
        <v>1</v>
      </c>
      <c r="BB894" t="str">
        <f t="shared" si="41"/>
        <v xml:space="preserve">N607SR  </v>
      </c>
      <c r="BC894">
        <v>1</v>
      </c>
      <c r="BE894">
        <v>0</v>
      </c>
      <c r="BF894">
        <v>0</v>
      </c>
      <c r="BG894">
        <v>0</v>
      </c>
      <c r="BH894">
        <v>2600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"06:14:37.913"</f>
        <v>06:14:37.913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6</v>
      </c>
      <c r="CP894" t="s">
        <v>119</v>
      </c>
      <c r="CQ894">
        <v>457</v>
      </c>
      <c r="CR894">
        <v>0</v>
      </c>
      <c r="CW894">
        <v>15513797</v>
      </c>
      <c r="CY894">
        <v>1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"08/29/2020 06:14:34.700"</f>
        <v>08/29/2020 06:14:34.700</v>
      </c>
      <c r="C895" t="str">
        <f t="shared" si="39"/>
        <v>FFDFD3C0</v>
      </c>
      <c r="D895" t="s">
        <v>121</v>
      </c>
      <c r="E895">
        <v>11</v>
      </c>
      <c r="F895">
        <v>1011</v>
      </c>
      <c r="G895" t="s">
        <v>125</v>
      </c>
      <c r="J895" t="s">
        <v>123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"06:14:37.906"</f>
        <v>06:14:37.906</v>
      </c>
      <c r="T895" t="str">
        <f>"06:14:37.506"</f>
        <v>06:14:37.506</v>
      </c>
      <c r="U895" t="str">
        <f t="shared" si="40"/>
        <v>A7E2E0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695</v>
      </c>
      <c r="AJ895">
        <v>39.084269999999997</v>
      </c>
      <c r="AK895" t="s">
        <v>696</v>
      </c>
      <c r="AL895">
        <v>-87.490396000000004</v>
      </c>
      <c r="AM895">
        <v>100</v>
      </c>
      <c r="AN895">
        <v>2800</v>
      </c>
      <c r="AO895" t="s">
        <v>118</v>
      </c>
      <c r="AP895">
        <v>-86</v>
      </c>
      <c r="AQ895">
        <v>-135</v>
      </c>
      <c r="AR895">
        <v>64</v>
      </c>
      <c r="AZ895">
        <v>4552</v>
      </c>
      <c r="BA895">
        <v>1</v>
      </c>
      <c r="BB895" t="str">
        <f t="shared" si="41"/>
        <v xml:space="preserve">N607SR  </v>
      </c>
      <c r="BC895">
        <v>1</v>
      </c>
      <c r="BE895">
        <v>0</v>
      </c>
      <c r="BF895">
        <v>0</v>
      </c>
      <c r="BG895">
        <v>0</v>
      </c>
      <c r="BH895">
        <v>2600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"06:14:37.913"</f>
        <v>06:14:37.913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6</v>
      </c>
      <c r="CP895" t="s">
        <v>119</v>
      </c>
      <c r="CQ895">
        <v>457</v>
      </c>
      <c r="CR895">
        <v>0</v>
      </c>
      <c r="CW895">
        <v>15513797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"08/29/2020 06:14:34.700"</f>
        <v>08/29/2020 06:14:34.700</v>
      </c>
      <c r="C896" t="str">
        <f t="shared" si="39"/>
        <v>FFDFD3C0</v>
      </c>
      <c r="D896" t="s">
        <v>121</v>
      </c>
      <c r="E896">
        <v>13</v>
      </c>
      <c r="F896">
        <v>1013</v>
      </c>
      <c r="G896" t="s">
        <v>122</v>
      </c>
      <c r="J896" t="s">
        <v>123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"06:14:37.906"</f>
        <v>06:14:37.906</v>
      </c>
      <c r="T896" t="str">
        <f>"06:14:37.506"</f>
        <v>06:14:37.506</v>
      </c>
      <c r="U896" t="str">
        <f t="shared" si="40"/>
        <v>A7E2E0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695</v>
      </c>
      <c r="AJ896">
        <v>39.084269999999997</v>
      </c>
      <c r="AK896" t="s">
        <v>696</v>
      </c>
      <c r="AL896">
        <v>-87.490396000000004</v>
      </c>
      <c r="AM896">
        <v>100</v>
      </c>
      <c r="AN896">
        <v>2800</v>
      </c>
      <c r="AO896" t="s">
        <v>118</v>
      </c>
      <c r="AP896">
        <v>-86</v>
      </c>
      <c r="AQ896">
        <v>-135</v>
      </c>
      <c r="AR896">
        <v>64</v>
      </c>
      <c r="AZ896">
        <v>4552</v>
      </c>
      <c r="BA896">
        <v>1</v>
      </c>
      <c r="BB896" t="str">
        <f t="shared" si="41"/>
        <v xml:space="preserve">N607SR  </v>
      </c>
      <c r="BC896">
        <v>1</v>
      </c>
      <c r="BE896">
        <v>0</v>
      </c>
      <c r="BF896">
        <v>0</v>
      </c>
      <c r="BG896">
        <v>0</v>
      </c>
      <c r="BH896">
        <v>2600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"06:14:37.913"</f>
        <v>06:14:37.913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6</v>
      </c>
      <c r="CP896" t="s">
        <v>119</v>
      </c>
      <c r="CQ896">
        <v>457</v>
      </c>
      <c r="CR896">
        <v>0</v>
      </c>
      <c r="CW896">
        <v>15513797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"08/29/2020 06:14:35.174"</f>
        <v>08/29/2020 06:14:35.174</v>
      </c>
      <c r="C897" t="str">
        <f t="shared" si="39"/>
        <v>FFDFD3C0</v>
      </c>
      <c r="D897" t="s">
        <v>128</v>
      </c>
      <c r="E897">
        <v>5</v>
      </c>
      <c r="H897">
        <v>241</v>
      </c>
      <c r="I897" t="s">
        <v>129</v>
      </c>
      <c r="J897" t="s">
        <v>130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"06:14:38.398"</f>
        <v>06:14:38.398</v>
      </c>
      <c r="T897" t="str">
        <f>"06:14:37.998"</f>
        <v>06:14:37.998</v>
      </c>
      <c r="U897" t="str">
        <f t="shared" si="40"/>
        <v>A7E2E0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697</v>
      </c>
      <c r="AJ897">
        <v>39.084012999999999</v>
      </c>
      <c r="AK897" t="s">
        <v>698</v>
      </c>
      <c r="AL897">
        <v>-87.490654000000006</v>
      </c>
      <c r="AM897">
        <v>100</v>
      </c>
      <c r="AN897">
        <v>2800</v>
      </c>
      <c r="AO897" t="s">
        <v>118</v>
      </c>
      <c r="AP897">
        <v>-86</v>
      </c>
      <c r="AQ897">
        <v>-135</v>
      </c>
      <c r="AR897">
        <v>64</v>
      </c>
      <c r="AZ897">
        <v>4552</v>
      </c>
      <c r="BA897">
        <v>1</v>
      </c>
      <c r="BB897" t="str">
        <f t="shared" si="41"/>
        <v xml:space="preserve">N607SR  </v>
      </c>
      <c r="BC897">
        <v>1</v>
      </c>
      <c r="BE897">
        <v>0</v>
      </c>
      <c r="BF897">
        <v>0</v>
      </c>
      <c r="BG897">
        <v>0</v>
      </c>
      <c r="BH897">
        <v>2600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"06:14:38.400"</f>
        <v>06:14:38.400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6</v>
      </c>
      <c r="CP897" t="s">
        <v>119</v>
      </c>
      <c r="CQ897">
        <v>457</v>
      </c>
      <c r="CR897">
        <v>0</v>
      </c>
      <c r="CW897">
        <v>15513815</v>
      </c>
      <c r="CY897">
        <v>1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"08/29/2020 06:14:35.174"</f>
        <v>08/29/2020 06:14:35.174</v>
      </c>
      <c r="C898" t="str">
        <f t="shared" ref="C898:C961" si="42">"FFDFD3C0"</f>
        <v>FFDFD3C0</v>
      </c>
      <c r="D898" t="s">
        <v>113</v>
      </c>
      <c r="E898">
        <v>5</v>
      </c>
      <c r="H898">
        <v>163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"06:14:38.398"</f>
        <v>06:14:38.398</v>
      </c>
      <c r="T898" t="str">
        <f>"06:14:37.998"</f>
        <v>06:14:37.998</v>
      </c>
      <c r="U898" t="str">
        <f t="shared" ref="U898:U961" si="43">"A7E2E0"</f>
        <v>A7E2E0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697</v>
      </c>
      <c r="AJ898">
        <v>39.084012999999999</v>
      </c>
      <c r="AK898" t="s">
        <v>698</v>
      </c>
      <c r="AL898">
        <v>-87.490654000000006</v>
      </c>
      <c r="AM898">
        <v>100</v>
      </c>
      <c r="AN898">
        <v>2800</v>
      </c>
      <c r="AO898" t="s">
        <v>118</v>
      </c>
      <c r="AP898">
        <v>-86</v>
      </c>
      <c r="AQ898">
        <v>-135</v>
      </c>
      <c r="AR898">
        <v>64</v>
      </c>
      <c r="AZ898">
        <v>4552</v>
      </c>
      <c r="BA898">
        <v>1</v>
      </c>
      <c r="BB898" t="str">
        <f t="shared" ref="BB898:BB961" si="44">"N607SR  "</f>
        <v xml:space="preserve">N607SR  </v>
      </c>
      <c r="BC898">
        <v>1</v>
      </c>
      <c r="BE898">
        <v>0</v>
      </c>
      <c r="BF898">
        <v>0</v>
      </c>
      <c r="BG898">
        <v>0</v>
      </c>
      <c r="BH898">
        <v>2600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"06:14:38.400"</f>
        <v>06:14:38.400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6</v>
      </c>
      <c r="CP898" t="s">
        <v>119</v>
      </c>
      <c r="CQ898">
        <v>457</v>
      </c>
      <c r="CR898">
        <v>0</v>
      </c>
      <c r="CW898">
        <v>15513815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"08/29/2020 06:14:35.609"</f>
        <v>08/29/2020 06:14:35.609</v>
      </c>
      <c r="C899" t="str">
        <f t="shared" si="42"/>
        <v>FFDFD3C0</v>
      </c>
      <c r="D899" t="s">
        <v>121</v>
      </c>
      <c r="E899">
        <v>10</v>
      </c>
      <c r="F899">
        <v>1010</v>
      </c>
      <c r="G899" t="s">
        <v>114</v>
      </c>
      <c r="J899" t="s">
        <v>123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"06:14:38.844"</f>
        <v>06:14:38.844</v>
      </c>
      <c r="U899" t="str">
        <f t="shared" si="43"/>
        <v>A7E2E0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699</v>
      </c>
      <c r="AJ899">
        <v>39.083711999999998</v>
      </c>
      <c r="AK899" t="s">
        <v>700</v>
      </c>
      <c r="AL899">
        <v>-87.490847000000002</v>
      </c>
      <c r="AM899">
        <v>100</v>
      </c>
      <c r="AN899">
        <v>2800</v>
      </c>
      <c r="AO899" t="s">
        <v>118</v>
      </c>
      <c r="AP899">
        <v>-87</v>
      </c>
      <c r="AQ899">
        <v>-134</v>
      </c>
      <c r="AR899">
        <v>64</v>
      </c>
      <c r="AZ899">
        <v>4552</v>
      </c>
      <c r="BA899">
        <v>1</v>
      </c>
      <c r="BB899" t="str">
        <f t="shared" si="44"/>
        <v xml:space="preserve">N607SR  </v>
      </c>
      <c r="BC899">
        <v>1</v>
      </c>
      <c r="BE899">
        <v>0</v>
      </c>
      <c r="BF899">
        <v>0</v>
      </c>
      <c r="BG899">
        <v>0</v>
      </c>
      <c r="BH899">
        <v>2600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"06:14:38.849"</f>
        <v>06:14:38.849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1</v>
      </c>
      <c r="CP899" t="s">
        <v>119</v>
      </c>
      <c r="CQ899">
        <v>528</v>
      </c>
      <c r="CR899">
        <v>0</v>
      </c>
      <c r="CW899">
        <v>13094900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"08/29/2020 06:14:35.609"</f>
        <v>08/29/2020 06:14:35.609</v>
      </c>
      <c r="C900" t="str">
        <f t="shared" si="42"/>
        <v>FFDFD3C0</v>
      </c>
      <c r="D900" t="s">
        <v>121</v>
      </c>
      <c r="E900">
        <v>11</v>
      </c>
      <c r="F900">
        <v>1011</v>
      </c>
      <c r="G900" t="s">
        <v>125</v>
      </c>
      <c r="J900" t="s">
        <v>123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"06:14:38.844"</f>
        <v>06:14:38.844</v>
      </c>
      <c r="U900" t="str">
        <f t="shared" si="43"/>
        <v>A7E2E0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699</v>
      </c>
      <c r="AJ900">
        <v>39.083711999999998</v>
      </c>
      <c r="AK900" t="s">
        <v>700</v>
      </c>
      <c r="AL900">
        <v>-87.490847000000002</v>
      </c>
      <c r="AM900">
        <v>100</v>
      </c>
      <c r="AN900">
        <v>2800</v>
      </c>
      <c r="AO900" t="s">
        <v>118</v>
      </c>
      <c r="AP900">
        <v>-87</v>
      </c>
      <c r="AQ900">
        <v>-134</v>
      </c>
      <c r="AR900">
        <v>64</v>
      </c>
      <c r="AZ900">
        <v>4552</v>
      </c>
      <c r="BA900">
        <v>1</v>
      </c>
      <c r="BB900" t="str">
        <f t="shared" si="44"/>
        <v xml:space="preserve">N607SR  </v>
      </c>
      <c r="BC900">
        <v>1</v>
      </c>
      <c r="BE900">
        <v>0</v>
      </c>
      <c r="BF900">
        <v>0</v>
      </c>
      <c r="BG900">
        <v>0</v>
      </c>
      <c r="BH900">
        <v>2600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"06:14:38.849"</f>
        <v>06:14:38.849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1</v>
      </c>
      <c r="CP900" t="s">
        <v>119</v>
      </c>
      <c r="CQ900">
        <v>528</v>
      </c>
      <c r="CR900">
        <v>0</v>
      </c>
      <c r="CW900">
        <v>13094900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"08/29/2020 06:14:35.609"</f>
        <v>08/29/2020 06:14:35.609</v>
      </c>
      <c r="C901" t="str">
        <f t="shared" si="42"/>
        <v>FFDFD3C0</v>
      </c>
      <c r="D901" t="s">
        <v>121</v>
      </c>
      <c r="E901">
        <v>13</v>
      </c>
      <c r="F901">
        <v>1013</v>
      </c>
      <c r="G901" t="s">
        <v>122</v>
      </c>
      <c r="J901" t="s">
        <v>123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"06:14:38.844"</f>
        <v>06:14:38.844</v>
      </c>
      <c r="U901" t="str">
        <f t="shared" si="43"/>
        <v>A7E2E0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699</v>
      </c>
      <c r="AJ901">
        <v>39.083711999999998</v>
      </c>
      <c r="AK901" t="s">
        <v>700</v>
      </c>
      <c r="AL901">
        <v>-87.490847000000002</v>
      </c>
      <c r="AM901">
        <v>100</v>
      </c>
      <c r="AN901">
        <v>2800</v>
      </c>
      <c r="AO901" t="s">
        <v>118</v>
      </c>
      <c r="AP901">
        <v>-87</v>
      </c>
      <c r="AQ901">
        <v>-134</v>
      </c>
      <c r="AR901">
        <v>64</v>
      </c>
      <c r="AZ901">
        <v>4552</v>
      </c>
      <c r="BA901">
        <v>1</v>
      </c>
      <c r="BB901" t="str">
        <f t="shared" si="44"/>
        <v xml:space="preserve">N607SR  </v>
      </c>
      <c r="BC901">
        <v>1</v>
      </c>
      <c r="BE901">
        <v>0</v>
      </c>
      <c r="BF901">
        <v>0</v>
      </c>
      <c r="BG901">
        <v>0</v>
      </c>
      <c r="BH901">
        <v>2600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"06:14:38.849"</f>
        <v>06:14:38.849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1</v>
      </c>
      <c r="CP901" t="s">
        <v>119</v>
      </c>
      <c r="CQ901">
        <v>528</v>
      </c>
      <c r="CR901">
        <v>0</v>
      </c>
      <c r="CW901">
        <v>13094900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"08/29/2020 06:14:36.237"</f>
        <v>08/29/2020 06:14:36.237</v>
      </c>
      <c r="C902" t="str">
        <f t="shared" si="42"/>
        <v>FFDFD3C0</v>
      </c>
      <c r="D902" t="s">
        <v>128</v>
      </c>
      <c r="E902">
        <v>5</v>
      </c>
      <c r="H902">
        <v>241</v>
      </c>
      <c r="I902" t="s">
        <v>129</v>
      </c>
      <c r="J902" t="s">
        <v>130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"06:14:39.430"</f>
        <v>06:14:39.430</v>
      </c>
      <c r="T902" t="str">
        <f>"06:14:38.930"</f>
        <v>06:14:38.930</v>
      </c>
      <c r="U902" t="str">
        <f t="shared" si="43"/>
        <v>A7E2E0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701</v>
      </c>
      <c r="AJ902">
        <v>39.083347000000003</v>
      </c>
      <c r="AK902" t="s">
        <v>702</v>
      </c>
      <c r="AL902">
        <v>-87.491147999999995</v>
      </c>
      <c r="AM902">
        <v>100</v>
      </c>
      <c r="AN902">
        <v>2800</v>
      </c>
      <c r="AO902" t="s">
        <v>118</v>
      </c>
      <c r="AP902">
        <v>-87</v>
      </c>
      <c r="AQ902">
        <v>-134</v>
      </c>
      <c r="AR902">
        <v>64</v>
      </c>
      <c r="AZ902">
        <v>4552</v>
      </c>
      <c r="BA902">
        <v>1</v>
      </c>
      <c r="BB902" t="str">
        <f t="shared" si="44"/>
        <v xml:space="preserve">N607SR  </v>
      </c>
      <c r="BC902">
        <v>1</v>
      </c>
      <c r="BE902">
        <v>0</v>
      </c>
      <c r="BF902">
        <v>0</v>
      </c>
      <c r="BG902">
        <v>0</v>
      </c>
      <c r="BH902">
        <v>2600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"06:14:39.436"</f>
        <v>06:14:39.436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6</v>
      </c>
      <c r="CP902" t="s">
        <v>119</v>
      </c>
      <c r="CQ902">
        <v>465</v>
      </c>
      <c r="CR902">
        <v>0</v>
      </c>
      <c r="CW902">
        <v>4717704</v>
      </c>
      <c r="CY902">
        <v>1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"08/29/2020 06:14:36.237"</f>
        <v>08/29/2020 06:14:36.237</v>
      </c>
      <c r="C903" t="str">
        <f t="shared" si="42"/>
        <v>FFDFD3C0</v>
      </c>
      <c r="D903" t="s">
        <v>113</v>
      </c>
      <c r="E903">
        <v>5</v>
      </c>
      <c r="H903">
        <v>163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"06:14:39.430"</f>
        <v>06:14:39.430</v>
      </c>
      <c r="T903" t="str">
        <f>"06:14:38.930"</f>
        <v>06:14:38.930</v>
      </c>
      <c r="U903" t="str">
        <f t="shared" si="43"/>
        <v>A7E2E0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701</v>
      </c>
      <c r="AJ903">
        <v>39.083347000000003</v>
      </c>
      <c r="AK903" t="s">
        <v>702</v>
      </c>
      <c r="AL903">
        <v>-87.491147999999995</v>
      </c>
      <c r="AM903">
        <v>100</v>
      </c>
      <c r="AN903">
        <v>2800</v>
      </c>
      <c r="AO903" t="s">
        <v>118</v>
      </c>
      <c r="AP903">
        <v>-87</v>
      </c>
      <c r="AQ903">
        <v>-134</v>
      </c>
      <c r="AR903">
        <v>64</v>
      </c>
      <c r="AZ903">
        <v>4552</v>
      </c>
      <c r="BA903">
        <v>1</v>
      </c>
      <c r="BB903" t="str">
        <f t="shared" si="44"/>
        <v xml:space="preserve">N607SR  </v>
      </c>
      <c r="BC903">
        <v>1</v>
      </c>
      <c r="BE903">
        <v>0</v>
      </c>
      <c r="BF903">
        <v>0</v>
      </c>
      <c r="BG903">
        <v>0</v>
      </c>
      <c r="BH903">
        <v>2600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"06:14:39.436"</f>
        <v>06:14:39.436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465</v>
      </c>
      <c r="CR903">
        <v>0</v>
      </c>
      <c r="CW903">
        <v>4717704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"08/29/2020 06:14:36.772"</f>
        <v>08/29/2020 06:14:36.772</v>
      </c>
      <c r="C904" t="str">
        <f t="shared" si="42"/>
        <v>FFDFD3C0</v>
      </c>
      <c r="D904" t="s">
        <v>121</v>
      </c>
      <c r="E904">
        <v>10</v>
      </c>
      <c r="F904">
        <v>1010</v>
      </c>
      <c r="G904" t="s">
        <v>114</v>
      </c>
      <c r="J904" t="s">
        <v>123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"06:14:39.969"</f>
        <v>06:14:39.969</v>
      </c>
      <c r="U904" t="str">
        <f t="shared" si="43"/>
        <v>A7E2E0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703</v>
      </c>
      <c r="AJ904">
        <v>39.083047000000001</v>
      </c>
      <c r="AK904" t="s">
        <v>704</v>
      </c>
      <c r="AL904">
        <v>-87.491405</v>
      </c>
      <c r="AM904">
        <v>100</v>
      </c>
      <c r="AN904">
        <v>2800</v>
      </c>
      <c r="AO904" t="s">
        <v>118</v>
      </c>
      <c r="AP904">
        <v>-88</v>
      </c>
      <c r="AQ904">
        <v>-134</v>
      </c>
      <c r="AR904">
        <v>64</v>
      </c>
      <c r="AZ904">
        <v>4552</v>
      </c>
      <c r="BA904">
        <v>1</v>
      </c>
      <c r="BB904" t="str">
        <f t="shared" si="44"/>
        <v xml:space="preserve">N607SR  </v>
      </c>
      <c r="BC904">
        <v>1</v>
      </c>
      <c r="BE904">
        <v>0</v>
      </c>
      <c r="BF904">
        <v>0</v>
      </c>
      <c r="BG904">
        <v>0</v>
      </c>
      <c r="BH904">
        <v>2600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"06:14:39.973"</f>
        <v>06:14:39.973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457</v>
      </c>
      <c r="CR904">
        <v>0</v>
      </c>
      <c r="CW904">
        <v>15513862</v>
      </c>
      <c r="CY904">
        <v>1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"08/29/2020 06:14:36.772"</f>
        <v>08/29/2020 06:14:36.772</v>
      </c>
      <c r="C905" t="str">
        <f t="shared" si="42"/>
        <v>FFDFD3C0</v>
      </c>
      <c r="D905" t="s">
        <v>121</v>
      </c>
      <c r="E905">
        <v>11</v>
      </c>
      <c r="F905">
        <v>1011</v>
      </c>
      <c r="G905" t="s">
        <v>125</v>
      </c>
      <c r="J905" t="s">
        <v>123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"06:14:39.969"</f>
        <v>06:14:39.969</v>
      </c>
      <c r="U905" t="str">
        <f t="shared" si="43"/>
        <v>A7E2E0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703</v>
      </c>
      <c r="AJ905">
        <v>39.083047000000001</v>
      </c>
      <c r="AK905" t="s">
        <v>704</v>
      </c>
      <c r="AL905">
        <v>-87.491405</v>
      </c>
      <c r="AM905">
        <v>100</v>
      </c>
      <c r="AN905">
        <v>2800</v>
      </c>
      <c r="AO905" t="s">
        <v>118</v>
      </c>
      <c r="AP905">
        <v>-88</v>
      </c>
      <c r="AQ905">
        <v>-134</v>
      </c>
      <c r="AR905">
        <v>64</v>
      </c>
      <c r="AZ905">
        <v>4552</v>
      </c>
      <c r="BA905">
        <v>1</v>
      </c>
      <c r="BB905" t="str">
        <f t="shared" si="44"/>
        <v xml:space="preserve">N607SR  </v>
      </c>
      <c r="BC905">
        <v>1</v>
      </c>
      <c r="BE905">
        <v>0</v>
      </c>
      <c r="BF905">
        <v>0</v>
      </c>
      <c r="BG905">
        <v>0</v>
      </c>
      <c r="BH905">
        <v>2600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"06:14:39.973"</f>
        <v>06:14:39.973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457</v>
      </c>
      <c r="CR905">
        <v>0</v>
      </c>
      <c r="CW905">
        <v>15513862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"08/29/2020 06:14:36.772"</f>
        <v>08/29/2020 06:14:36.772</v>
      </c>
      <c r="C906" t="str">
        <f t="shared" si="42"/>
        <v>FFDFD3C0</v>
      </c>
      <c r="D906" t="s">
        <v>121</v>
      </c>
      <c r="E906">
        <v>13</v>
      </c>
      <c r="F906">
        <v>1013</v>
      </c>
      <c r="G906" t="s">
        <v>122</v>
      </c>
      <c r="J906" t="s">
        <v>123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"06:14:39.969"</f>
        <v>06:14:39.969</v>
      </c>
      <c r="U906" t="str">
        <f t="shared" si="43"/>
        <v>A7E2E0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703</v>
      </c>
      <c r="AJ906">
        <v>39.083047000000001</v>
      </c>
      <c r="AK906" t="s">
        <v>704</v>
      </c>
      <c r="AL906">
        <v>-87.491405</v>
      </c>
      <c r="AM906">
        <v>100</v>
      </c>
      <c r="AN906">
        <v>2800</v>
      </c>
      <c r="AO906" t="s">
        <v>118</v>
      </c>
      <c r="AP906">
        <v>-88</v>
      </c>
      <c r="AQ906">
        <v>-134</v>
      </c>
      <c r="AR906">
        <v>64</v>
      </c>
      <c r="AZ906">
        <v>4552</v>
      </c>
      <c r="BA906">
        <v>1</v>
      </c>
      <c r="BB906" t="str">
        <f t="shared" si="44"/>
        <v xml:space="preserve">N607SR  </v>
      </c>
      <c r="BC906">
        <v>1</v>
      </c>
      <c r="BE906">
        <v>0</v>
      </c>
      <c r="BF906">
        <v>0</v>
      </c>
      <c r="BG906">
        <v>0</v>
      </c>
      <c r="BH906">
        <v>2600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"06:14:39.973"</f>
        <v>06:14:39.973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6</v>
      </c>
      <c r="CP906" t="s">
        <v>119</v>
      </c>
      <c r="CQ906">
        <v>457</v>
      </c>
      <c r="CR906">
        <v>0</v>
      </c>
      <c r="CW906">
        <v>15513862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"08/29/2020 06:14:37.150"</f>
        <v>08/29/2020 06:14:37.150</v>
      </c>
      <c r="C907" t="str">
        <f t="shared" si="42"/>
        <v>FFDFD3C0</v>
      </c>
      <c r="D907" t="s">
        <v>128</v>
      </c>
      <c r="E907">
        <v>5</v>
      </c>
      <c r="H907">
        <v>241</v>
      </c>
      <c r="I907" t="s">
        <v>129</v>
      </c>
      <c r="J907" t="s">
        <v>130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"06:14:40.367"</f>
        <v>06:14:40.367</v>
      </c>
      <c r="U907" t="str">
        <f t="shared" si="43"/>
        <v>A7E2E0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705</v>
      </c>
      <c r="AJ907">
        <v>39.082811</v>
      </c>
      <c r="AK907" t="s">
        <v>706</v>
      </c>
      <c r="AL907">
        <v>-87.491663000000003</v>
      </c>
      <c r="AM907">
        <v>100</v>
      </c>
      <c r="AN907">
        <v>2800</v>
      </c>
      <c r="AO907" t="s">
        <v>118</v>
      </c>
      <c r="AP907">
        <v>-89</v>
      </c>
      <c r="AQ907">
        <v>-134</v>
      </c>
      <c r="AR907">
        <v>64</v>
      </c>
      <c r="AZ907">
        <v>4552</v>
      </c>
      <c r="BA907">
        <v>1</v>
      </c>
      <c r="BB907" t="str">
        <f t="shared" si="44"/>
        <v xml:space="preserve">N607SR  </v>
      </c>
      <c r="BC907">
        <v>1</v>
      </c>
      <c r="BE907">
        <v>0</v>
      </c>
      <c r="BF907">
        <v>0</v>
      </c>
      <c r="BG907">
        <v>0</v>
      </c>
      <c r="BH907">
        <v>2600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"06:14:40.373"</f>
        <v>06:14:40.373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5</v>
      </c>
      <c r="CP907" t="s">
        <v>119</v>
      </c>
      <c r="CQ907">
        <v>517</v>
      </c>
      <c r="CR907">
        <v>1</v>
      </c>
      <c r="CW907">
        <v>2478692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"08/29/2020 06:14:37.150"</f>
        <v>08/29/2020 06:14:37.150</v>
      </c>
      <c r="C908" t="str">
        <f t="shared" si="42"/>
        <v>FFDFD3C0</v>
      </c>
      <c r="D908" t="s">
        <v>113</v>
      </c>
      <c r="E908">
        <v>5</v>
      </c>
      <c r="H908">
        <v>163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"06:14:40.367"</f>
        <v>06:14:40.367</v>
      </c>
      <c r="U908" t="str">
        <f t="shared" si="43"/>
        <v>A7E2E0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705</v>
      </c>
      <c r="AJ908">
        <v>39.082811</v>
      </c>
      <c r="AK908" t="s">
        <v>706</v>
      </c>
      <c r="AL908">
        <v>-87.491663000000003</v>
      </c>
      <c r="AM908">
        <v>100</v>
      </c>
      <c r="AN908">
        <v>2800</v>
      </c>
      <c r="AO908" t="s">
        <v>118</v>
      </c>
      <c r="AP908">
        <v>-89</v>
      </c>
      <c r="AQ908">
        <v>-134</v>
      </c>
      <c r="AR908">
        <v>64</v>
      </c>
      <c r="AZ908">
        <v>4552</v>
      </c>
      <c r="BA908">
        <v>1</v>
      </c>
      <c r="BB908" t="str">
        <f t="shared" si="44"/>
        <v xml:space="preserve">N607SR  </v>
      </c>
      <c r="BC908">
        <v>1</v>
      </c>
      <c r="BE908">
        <v>0</v>
      </c>
      <c r="BF908">
        <v>0</v>
      </c>
      <c r="BG908">
        <v>0</v>
      </c>
      <c r="BH908">
        <v>2600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"06:14:40.373"</f>
        <v>06:14:40.373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5</v>
      </c>
      <c r="CP908" t="s">
        <v>119</v>
      </c>
      <c r="CQ908">
        <v>517</v>
      </c>
      <c r="CR908">
        <v>1</v>
      </c>
      <c r="CW908">
        <v>2478692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"08/29/2020 06:14:37.660"</f>
        <v>08/29/2020 06:14:37.660</v>
      </c>
      <c r="C909" t="str">
        <f t="shared" si="42"/>
        <v>FFDFD3C0</v>
      </c>
      <c r="D909" t="s">
        <v>121</v>
      </c>
      <c r="E909">
        <v>13</v>
      </c>
      <c r="F909">
        <v>1013</v>
      </c>
      <c r="G909" t="s">
        <v>122</v>
      </c>
      <c r="J909" t="s">
        <v>123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"06:14:40.883"</f>
        <v>06:14:40.883</v>
      </c>
      <c r="T909" t="str">
        <f>"06:14:40.383"</f>
        <v>06:14:40.383</v>
      </c>
      <c r="U909" t="str">
        <f t="shared" si="43"/>
        <v>A7E2E0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707</v>
      </c>
      <c r="AJ909">
        <v>39.082509999999999</v>
      </c>
      <c r="AK909" t="s">
        <v>708</v>
      </c>
      <c r="AL909">
        <v>-87.491877000000002</v>
      </c>
      <c r="AM909">
        <v>100</v>
      </c>
      <c r="AN909">
        <v>2800</v>
      </c>
      <c r="AO909" t="s">
        <v>118</v>
      </c>
      <c r="AP909">
        <v>-89</v>
      </c>
      <c r="AQ909">
        <v>-134</v>
      </c>
      <c r="AR909">
        <v>64</v>
      </c>
      <c r="AZ909">
        <v>4552</v>
      </c>
      <c r="BA909">
        <v>1</v>
      </c>
      <c r="BB909" t="str">
        <f t="shared" si="44"/>
        <v xml:space="preserve">N607SR  </v>
      </c>
      <c r="BC909">
        <v>1</v>
      </c>
      <c r="BE909">
        <v>0</v>
      </c>
      <c r="BF909">
        <v>0</v>
      </c>
      <c r="BG909">
        <v>0</v>
      </c>
      <c r="BH909">
        <v>2600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"06:14:40.887"</f>
        <v>06:14:40.887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6</v>
      </c>
      <c r="CP909" t="s">
        <v>119</v>
      </c>
      <c r="CQ909">
        <v>177</v>
      </c>
      <c r="CR909">
        <v>2</v>
      </c>
      <c r="CW909">
        <v>1628690</v>
      </c>
      <c r="CY909">
        <v>1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"08/29/2020 06:14:37.660"</f>
        <v>08/29/2020 06:14:37.660</v>
      </c>
      <c r="C910" t="str">
        <f t="shared" si="42"/>
        <v>FFDFD3C0</v>
      </c>
      <c r="D910" t="s">
        <v>121</v>
      </c>
      <c r="E910">
        <v>10</v>
      </c>
      <c r="F910">
        <v>1010</v>
      </c>
      <c r="G910" t="s">
        <v>114</v>
      </c>
      <c r="J910" t="s">
        <v>123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"06:14:40.883"</f>
        <v>06:14:40.883</v>
      </c>
      <c r="T910" t="str">
        <f>"06:14:40.383"</f>
        <v>06:14:40.383</v>
      </c>
      <c r="U910" t="str">
        <f t="shared" si="43"/>
        <v>A7E2E0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707</v>
      </c>
      <c r="AJ910">
        <v>39.082509999999999</v>
      </c>
      <c r="AK910" t="s">
        <v>708</v>
      </c>
      <c r="AL910">
        <v>-87.491877000000002</v>
      </c>
      <c r="AM910">
        <v>100</v>
      </c>
      <c r="AN910">
        <v>2800</v>
      </c>
      <c r="AO910" t="s">
        <v>118</v>
      </c>
      <c r="AP910">
        <v>-89</v>
      </c>
      <c r="AQ910">
        <v>-134</v>
      </c>
      <c r="AR910">
        <v>64</v>
      </c>
      <c r="AZ910">
        <v>4552</v>
      </c>
      <c r="BA910">
        <v>1</v>
      </c>
      <c r="BB910" t="str">
        <f t="shared" si="44"/>
        <v xml:space="preserve">N607SR  </v>
      </c>
      <c r="BC910">
        <v>1</v>
      </c>
      <c r="BE910">
        <v>0</v>
      </c>
      <c r="BF910">
        <v>0</v>
      </c>
      <c r="BG910">
        <v>0</v>
      </c>
      <c r="BH910">
        <v>2600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"06:14:40.887"</f>
        <v>06:14:40.887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6</v>
      </c>
      <c r="CP910" t="s">
        <v>119</v>
      </c>
      <c r="CQ910">
        <v>457</v>
      </c>
      <c r="CR910">
        <v>0</v>
      </c>
      <c r="CW910">
        <v>15513889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"08/29/2020 06:14:37.660"</f>
        <v>08/29/2020 06:14:37.660</v>
      </c>
      <c r="C911" t="str">
        <f t="shared" si="42"/>
        <v>FFDFD3C0</v>
      </c>
      <c r="D911" t="s">
        <v>121</v>
      </c>
      <c r="E911">
        <v>11</v>
      </c>
      <c r="F911">
        <v>1011</v>
      </c>
      <c r="G911" t="s">
        <v>125</v>
      </c>
      <c r="J911" t="s">
        <v>123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"06:14:40.883"</f>
        <v>06:14:40.883</v>
      </c>
      <c r="T911" t="str">
        <f>"06:14:40.383"</f>
        <v>06:14:40.383</v>
      </c>
      <c r="U911" t="str">
        <f t="shared" si="43"/>
        <v>A7E2E0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707</v>
      </c>
      <c r="AJ911">
        <v>39.082509999999999</v>
      </c>
      <c r="AK911" t="s">
        <v>708</v>
      </c>
      <c r="AL911">
        <v>-87.491877000000002</v>
      </c>
      <c r="AM911">
        <v>100</v>
      </c>
      <c r="AN911">
        <v>2800</v>
      </c>
      <c r="AO911" t="s">
        <v>118</v>
      </c>
      <c r="AP911">
        <v>-89</v>
      </c>
      <c r="AQ911">
        <v>-134</v>
      </c>
      <c r="AR911">
        <v>64</v>
      </c>
      <c r="AZ911">
        <v>4552</v>
      </c>
      <c r="BA911">
        <v>1</v>
      </c>
      <c r="BB911" t="str">
        <f t="shared" si="44"/>
        <v xml:space="preserve">N607SR  </v>
      </c>
      <c r="BC911">
        <v>1</v>
      </c>
      <c r="BE911">
        <v>0</v>
      </c>
      <c r="BF911">
        <v>0</v>
      </c>
      <c r="BG911">
        <v>0</v>
      </c>
      <c r="BH911">
        <v>2600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"06:14:40.887"</f>
        <v>06:14:40.887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6</v>
      </c>
      <c r="CP911" t="s">
        <v>119</v>
      </c>
      <c r="CQ911">
        <v>177</v>
      </c>
      <c r="CR911">
        <v>2</v>
      </c>
      <c r="CW911">
        <v>1628690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"08/29/2020 06:14:38.112"</f>
        <v>08/29/2020 06:14:38.112</v>
      </c>
      <c r="C912" t="str">
        <f t="shared" si="42"/>
        <v>FFDFD3C0</v>
      </c>
      <c r="D912" t="s">
        <v>128</v>
      </c>
      <c r="E912">
        <v>5</v>
      </c>
      <c r="H912">
        <v>241</v>
      </c>
      <c r="I912" t="s">
        <v>129</v>
      </c>
      <c r="J912" t="s">
        <v>130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"06:14:41.336"</f>
        <v>06:14:41.336</v>
      </c>
      <c r="U912" t="str">
        <f t="shared" si="43"/>
        <v>A7E2E0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709</v>
      </c>
      <c r="AJ912">
        <v>39.082166999999998</v>
      </c>
      <c r="AK912" t="s">
        <v>710</v>
      </c>
      <c r="AL912">
        <v>-87.492135000000005</v>
      </c>
      <c r="AM912">
        <v>100</v>
      </c>
      <c r="AN912">
        <v>2800</v>
      </c>
      <c r="AO912" t="s">
        <v>118</v>
      </c>
      <c r="AP912">
        <v>-89</v>
      </c>
      <c r="AQ912">
        <v>-134</v>
      </c>
      <c r="AR912">
        <v>64</v>
      </c>
      <c r="AZ912">
        <v>4552</v>
      </c>
      <c r="BA912">
        <v>1</v>
      </c>
      <c r="BB912" t="str">
        <f t="shared" si="44"/>
        <v xml:space="preserve">N607SR  </v>
      </c>
      <c r="BC912">
        <v>1</v>
      </c>
      <c r="BE912">
        <v>0</v>
      </c>
      <c r="BF912">
        <v>0</v>
      </c>
      <c r="BG912">
        <v>0</v>
      </c>
      <c r="BH912">
        <v>2600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"06:14:41.336"</f>
        <v>06:14:41.336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5</v>
      </c>
      <c r="CP912" t="s">
        <v>119</v>
      </c>
      <c r="CQ912">
        <v>517</v>
      </c>
      <c r="CR912">
        <v>1</v>
      </c>
      <c r="CW912">
        <v>2478719</v>
      </c>
      <c r="CY912">
        <v>1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"08/29/2020 06:14:38.112"</f>
        <v>08/29/2020 06:14:38.112</v>
      </c>
      <c r="C913" t="str">
        <f t="shared" si="42"/>
        <v>FFDFD3C0</v>
      </c>
      <c r="D913" t="s">
        <v>113</v>
      </c>
      <c r="E913">
        <v>5</v>
      </c>
      <c r="H913">
        <v>163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"06:14:41.336"</f>
        <v>06:14:41.336</v>
      </c>
      <c r="U913" t="str">
        <f t="shared" si="43"/>
        <v>A7E2E0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709</v>
      </c>
      <c r="AJ913">
        <v>39.082166999999998</v>
      </c>
      <c r="AK913" t="s">
        <v>710</v>
      </c>
      <c r="AL913">
        <v>-87.492135000000005</v>
      </c>
      <c r="AM913">
        <v>100</v>
      </c>
      <c r="AN913">
        <v>2800</v>
      </c>
      <c r="AO913" t="s">
        <v>118</v>
      </c>
      <c r="AP913">
        <v>-89</v>
      </c>
      <c r="AQ913">
        <v>-134</v>
      </c>
      <c r="AR913">
        <v>64</v>
      </c>
      <c r="AZ913">
        <v>4552</v>
      </c>
      <c r="BA913">
        <v>1</v>
      </c>
      <c r="BB913" t="str">
        <f t="shared" si="44"/>
        <v xml:space="preserve">N607SR  </v>
      </c>
      <c r="BC913">
        <v>1</v>
      </c>
      <c r="BE913">
        <v>0</v>
      </c>
      <c r="BF913">
        <v>0</v>
      </c>
      <c r="BG913">
        <v>0</v>
      </c>
      <c r="BH913">
        <v>2600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"06:14:41.336"</f>
        <v>06:14:41.336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5</v>
      </c>
      <c r="CP913" t="s">
        <v>119</v>
      </c>
      <c r="CQ913">
        <v>517</v>
      </c>
      <c r="CR913">
        <v>1</v>
      </c>
      <c r="CW913">
        <v>2478719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"08/29/2020 06:14:38.623"</f>
        <v>08/29/2020 06:14:38.623</v>
      </c>
      <c r="C914" t="str">
        <f t="shared" si="42"/>
        <v>FFDFD3C0</v>
      </c>
      <c r="D914" t="s">
        <v>121</v>
      </c>
      <c r="E914">
        <v>13</v>
      </c>
      <c r="F914">
        <v>1013</v>
      </c>
      <c r="G914" t="s">
        <v>122</v>
      </c>
      <c r="J914" t="s">
        <v>123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"06:14:41.844"</f>
        <v>06:14:41.844</v>
      </c>
      <c r="T914" t="str">
        <f>"06:14:41.344"</f>
        <v>06:14:41.344</v>
      </c>
      <c r="U914" t="str">
        <f t="shared" si="43"/>
        <v>A7E2E0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711</v>
      </c>
      <c r="AJ914">
        <v>39.081867000000003</v>
      </c>
      <c r="AK914" t="s">
        <v>712</v>
      </c>
      <c r="AL914">
        <v>-87.492435</v>
      </c>
      <c r="AM914">
        <v>100</v>
      </c>
      <c r="AN914">
        <v>2800</v>
      </c>
      <c r="AO914" t="s">
        <v>118</v>
      </c>
      <c r="AP914">
        <v>-89</v>
      </c>
      <c r="AQ914">
        <v>-134</v>
      </c>
      <c r="AR914">
        <v>64</v>
      </c>
      <c r="AZ914">
        <v>4552</v>
      </c>
      <c r="BA914">
        <v>1</v>
      </c>
      <c r="BB914" t="str">
        <f t="shared" si="44"/>
        <v xml:space="preserve">N607SR  </v>
      </c>
      <c r="BC914">
        <v>1</v>
      </c>
      <c r="BE914">
        <v>0</v>
      </c>
      <c r="BF914">
        <v>0</v>
      </c>
      <c r="BG914">
        <v>0</v>
      </c>
      <c r="BH914">
        <v>2600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"06:14:41.844"</f>
        <v>06:14:41.844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457</v>
      </c>
      <c r="CR914">
        <v>0</v>
      </c>
      <c r="CW914">
        <v>15513921</v>
      </c>
      <c r="CY914">
        <v>1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"08/29/2020 06:14:38.623"</f>
        <v>08/29/2020 06:14:38.623</v>
      </c>
      <c r="C915" t="str">
        <f t="shared" si="42"/>
        <v>FFDFD3C0</v>
      </c>
      <c r="D915" t="s">
        <v>121</v>
      </c>
      <c r="E915">
        <v>10</v>
      </c>
      <c r="F915">
        <v>1010</v>
      </c>
      <c r="G915" t="s">
        <v>114</v>
      </c>
      <c r="J915" t="s">
        <v>123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"06:14:41.844"</f>
        <v>06:14:41.844</v>
      </c>
      <c r="T915" t="str">
        <f>"06:14:41.344"</f>
        <v>06:14:41.344</v>
      </c>
      <c r="U915" t="str">
        <f t="shared" si="43"/>
        <v>A7E2E0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711</v>
      </c>
      <c r="AJ915">
        <v>39.081867000000003</v>
      </c>
      <c r="AK915" t="s">
        <v>712</v>
      </c>
      <c r="AL915">
        <v>-87.492435</v>
      </c>
      <c r="AM915">
        <v>100</v>
      </c>
      <c r="AN915">
        <v>2800</v>
      </c>
      <c r="AO915" t="s">
        <v>118</v>
      </c>
      <c r="AP915">
        <v>-89</v>
      </c>
      <c r="AQ915">
        <v>-134</v>
      </c>
      <c r="AR915">
        <v>64</v>
      </c>
      <c r="AZ915">
        <v>4552</v>
      </c>
      <c r="BA915">
        <v>1</v>
      </c>
      <c r="BB915" t="str">
        <f t="shared" si="44"/>
        <v xml:space="preserve">N607SR  </v>
      </c>
      <c r="BC915">
        <v>1</v>
      </c>
      <c r="BE915">
        <v>0</v>
      </c>
      <c r="BF915">
        <v>0</v>
      </c>
      <c r="BG915">
        <v>0</v>
      </c>
      <c r="BH915">
        <v>2600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"06:14:41.844"</f>
        <v>06:14:41.844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457</v>
      </c>
      <c r="CR915">
        <v>0</v>
      </c>
      <c r="CW915">
        <v>15513921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"08/29/2020 06:14:38.623"</f>
        <v>08/29/2020 06:14:38.623</v>
      </c>
      <c r="C916" t="str">
        <f t="shared" si="42"/>
        <v>FFDFD3C0</v>
      </c>
      <c r="D916" t="s">
        <v>121</v>
      </c>
      <c r="E916">
        <v>11</v>
      </c>
      <c r="F916">
        <v>1011</v>
      </c>
      <c r="G916" t="s">
        <v>125</v>
      </c>
      <c r="J916" t="s">
        <v>123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"06:14:41.844"</f>
        <v>06:14:41.844</v>
      </c>
      <c r="T916" t="str">
        <f>"06:14:41.344"</f>
        <v>06:14:41.344</v>
      </c>
      <c r="U916" t="str">
        <f t="shared" si="43"/>
        <v>A7E2E0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711</v>
      </c>
      <c r="AJ916">
        <v>39.081867000000003</v>
      </c>
      <c r="AK916" t="s">
        <v>712</v>
      </c>
      <c r="AL916">
        <v>-87.492435</v>
      </c>
      <c r="AM916">
        <v>100</v>
      </c>
      <c r="AN916">
        <v>2800</v>
      </c>
      <c r="AO916" t="s">
        <v>118</v>
      </c>
      <c r="AP916">
        <v>-89</v>
      </c>
      <c r="AQ916">
        <v>-134</v>
      </c>
      <c r="AR916">
        <v>64</v>
      </c>
      <c r="AZ916">
        <v>4552</v>
      </c>
      <c r="BA916">
        <v>1</v>
      </c>
      <c r="BB916" t="str">
        <f t="shared" si="44"/>
        <v xml:space="preserve">N607SR  </v>
      </c>
      <c r="BC916">
        <v>1</v>
      </c>
      <c r="BE916">
        <v>0</v>
      </c>
      <c r="BF916">
        <v>0</v>
      </c>
      <c r="BG916">
        <v>0</v>
      </c>
      <c r="BH916">
        <v>2600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"06:14:41.844"</f>
        <v>06:14:41.844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457</v>
      </c>
      <c r="CR916">
        <v>0</v>
      </c>
      <c r="CW916">
        <v>15513921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"08/29/2020 06:14:39.026"</f>
        <v>08/29/2020 06:14:39.026</v>
      </c>
      <c r="C917" t="str">
        <f t="shared" si="42"/>
        <v>FFDFD3C0</v>
      </c>
      <c r="D917" t="s">
        <v>128</v>
      </c>
      <c r="E917">
        <v>5</v>
      </c>
      <c r="H917">
        <v>241</v>
      </c>
      <c r="I917" t="s">
        <v>129</v>
      </c>
      <c r="J917" t="s">
        <v>130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"06:14:42.258"</f>
        <v>06:14:42.258</v>
      </c>
      <c r="U917" t="str">
        <f t="shared" si="43"/>
        <v>A7E2E0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713</v>
      </c>
      <c r="AJ917">
        <v>39.081631000000002</v>
      </c>
      <c r="AK917" t="s">
        <v>714</v>
      </c>
      <c r="AL917">
        <v>-87.492607000000007</v>
      </c>
      <c r="AM917">
        <v>100</v>
      </c>
      <c r="AN917">
        <v>2800</v>
      </c>
      <c r="AO917" t="s">
        <v>118</v>
      </c>
      <c r="AP917">
        <v>-90</v>
      </c>
      <c r="AQ917">
        <v>-134</v>
      </c>
      <c r="AR917">
        <v>0</v>
      </c>
      <c r="AZ917">
        <v>4552</v>
      </c>
      <c r="BA917">
        <v>1</v>
      </c>
      <c r="BB917" t="str">
        <f t="shared" si="44"/>
        <v xml:space="preserve">N607SR  </v>
      </c>
      <c r="BC917">
        <v>1</v>
      </c>
      <c r="BE917">
        <v>0</v>
      </c>
      <c r="BF917">
        <v>0</v>
      </c>
      <c r="BG917">
        <v>0</v>
      </c>
      <c r="BH917">
        <v>2600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"06:14:42.259"</f>
        <v>06:14:42.259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6</v>
      </c>
      <c r="CP917" t="s">
        <v>119</v>
      </c>
      <c r="CQ917">
        <v>465</v>
      </c>
      <c r="CR917">
        <v>0</v>
      </c>
      <c r="CW917">
        <v>4717800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"08/29/2020 06:14:39.026"</f>
        <v>08/29/2020 06:14:39.026</v>
      </c>
      <c r="C918" t="str">
        <f t="shared" si="42"/>
        <v>FFDFD3C0</v>
      </c>
      <c r="D918" t="s">
        <v>113</v>
      </c>
      <c r="E918">
        <v>5</v>
      </c>
      <c r="H918">
        <v>163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"06:14:42.258"</f>
        <v>06:14:42.258</v>
      </c>
      <c r="U918" t="str">
        <f t="shared" si="43"/>
        <v>A7E2E0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713</v>
      </c>
      <c r="AJ918">
        <v>39.081631000000002</v>
      </c>
      <c r="AK918" t="s">
        <v>714</v>
      </c>
      <c r="AL918">
        <v>-87.492607000000007</v>
      </c>
      <c r="AM918">
        <v>100</v>
      </c>
      <c r="AN918">
        <v>2800</v>
      </c>
      <c r="AO918" t="s">
        <v>118</v>
      </c>
      <c r="AP918">
        <v>-90</v>
      </c>
      <c r="AQ918">
        <v>-134</v>
      </c>
      <c r="AR918">
        <v>0</v>
      </c>
      <c r="AZ918">
        <v>4552</v>
      </c>
      <c r="BA918">
        <v>1</v>
      </c>
      <c r="BB918" t="str">
        <f t="shared" si="44"/>
        <v xml:space="preserve">N607SR  </v>
      </c>
      <c r="BC918">
        <v>1</v>
      </c>
      <c r="BE918">
        <v>0</v>
      </c>
      <c r="BF918">
        <v>0</v>
      </c>
      <c r="BG918">
        <v>0</v>
      </c>
      <c r="BH918">
        <v>2600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"06:14:42.259"</f>
        <v>06:14:42.259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6</v>
      </c>
      <c r="CP918" t="s">
        <v>119</v>
      </c>
      <c r="CQ918">
        <v>465</v>
      </c>
      <c r="CR918">
        <v>0</v>
      </c>
      <c r="CW918">
        <v>4717800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"08/29/2020 06:14:39.552"</f>
        <v>08/29/2020 06:14:39.552</v>
      </c>
      <c r="C919" t="str">
        <f t="shared" si="42"/>
        <v>FFDFD3C0</v>
      </c>
      <c r="D919" t="s">
        <v>121</v>
      </c>
      <c r="E919">
        <v>10</v>
      </c>
      <c r="F919">
        <v>1010</v>
      </c>
      <c r="G919" t="s">
        <v>114</v>
      </c>
      <c r="J919" t="s">
        <v>123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"06:14:42.766"</f>
        <v>06:14:42.766</v>
      </c>
      <c r="T919" t="str">
        <f>"06:14:42.266"</f>
        <v>06:14:42.266</v>
      </c>
      <c r="U919" t="str">
        <f t="shared" si="43"/>
        <v>A7E2E0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715</v>
      </c>
      <c r="AJ919">
        <v>39.081308999999997</v>
      </c>
      <c r="AK919" t="s">
        <v>716</v>
      </c>
      <c r="AL919">
        <v>-87.492907000000002</v>
      </c>
      <c r="AM919">
        <v>100</v>
      </c>
      <c r="AN919">
        <v>2800</v>
      </c>
      <c r="AO919" t="s">
        <v>118</v>
      </c>
      <c r="AP919">
        <v>-90</v>
      </c>
      <c r="AQ919">
        <v>-134</v>
      </c>
      <c r="AR919">
        <v>0</v>
      </c>
      <c r="AZ919">
        <v>4552</v>
      </c>
      <c r="BA919">
        <v>1</v>
      </c>
      <c r="BB919" t="str">
        <f t="shared" si="44"/>
        <v xml:space="preserve">N607SR  </v>
      </c>
      <c r="BC919">
        <v>1</v>
      </c>
      <c r="BE919">
        <v>0</v>
      </c>
      <c r="BF919">
        <v>0</v>
      </c>
      <c r="BG919">
        <v>0</v>
      </c>
      <c r="BH919">
        <v>2600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"06:14:42.766"</f>
        <v>06:14:42.766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457</v>
      </c>
      <c r="CR919">
        <v>0</v>
      </c>
      <c r="CW919">
        <v>15513953</v>
      </c>
      <c r="CY919">
        <v>1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"08/29/2020 06:14:39.552"</f>
        <v>08/29/2020 06:14:39.552</v>
      </c>
      <c r="C920" t="str">
        <f t="shared" si="42"/>
        <v>FFDFD3C0</v>
      </c>
      <c r="D920" t="s">
        <v>121</v>
      </c>
      <c r="E920">
        <v>11</v>
      </c>
      <c r="F920">
        <v>1011</v>
      </c>
      <c r="G920" t="s">
        <v>125</v>
      </c>
      <c r="J920" t="s">
        <v>123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"06:14:42.766"</f>
        <v>06:14:42.766</v>
      </c>
      <c r="T920" t="str">
        <f>"06:14:42.266"</f>
        <v>06:14:42.266</v>
      </c>
      <c r="U920" t="str">
        <f t="shared" si="43"/>
        <v>A7E2E0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715</v>
      </c>
      <c r="AJ920">
        <v>39.081308999999997</v>
      </c>
      <c r="AK920" t="s">
        <v>716</v>
      </c>
      <c r="AL920">
        <v>-87.492907000000002</v>
      </c>
      <c r="AM920">
        <v>100</v>
      </c>
      <c r="AN920">
        <v>2800</v>
      </c>
      <c r="AO920" t="s">
        <v>118</v>
      </c>
      <c r="AP920">
        <v>-90</v>
      </c>
      <c r="AQ920">
        <v>-134</v>
      </c>
      <c r="AR920">
        <v>0</v>
      </c>
      <c r="AZ920">
        <v>4552</v>
      </c>
      <c r="BA920">
        <v>1</v>
      </c>
      <c r="BB920" t="str">
        <f t="shared" si="44"/>
        <v xml:space="preserve">N607SR  </v>
      </c>
      <c r="BC920">
        <v>1</v>
      </c>
      <c r="BE920">
        <v>0</v>
      </c>
      <c r="BF920">
        <v>0</v>
      </c>
      <c r="BG920">
        <v>0</v>
      </c>
      <c r="BH920">
        <v>2600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"06:14:42.766"</f>
        <v>06:14:42.766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457</v>
      </c>
      <c r="CR920">
        <v>0</v>
      </c>
      <c r="CW920">
        <v>15513953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"08/29/2020 06:14:39.552"</f>
        <v>08/29/2020 06:14:39.552</v>
      </c>
      <c r="C921" t="str">
        <f t="shared" si="42"/>
        <v>FFDFD3C0</v>
      </c>
      <c r="D921" t="s">
        <v>121</v>
      </c>
      <c r="E921">
        <v>13</v>
      </c>
      <c r="F921">
        <v>1013</v>
      </c>
      <c r="G921" t="s">
        <v>122</v>
      </c>
      <c r="J921" t="s">
        <v>123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"06:14:42.766"</f>
        <v>06:14:42.766</v>
      </c>
      <c r="T921" t="str">
        <f>"06:14:42.266"</f>
        <v>06:14:42.266</v>
      </c>
      <c r="U921" t="str">
        <f t="shared" si="43"/>
        <v>A7E2E0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715</v>
      </c>
      <c r="AJ921">
        <v>39.081308999999997</v>
      </c>
      <c r="AK921" t="s">
        <v>716</v>
      </c>
      <c r="AL921">
        <v>-87.492907000000002</v>
      </c>
      <c r="AM921">
        <v>100</v>
      </c>
      <c r="AN921">
        <v>2800</v>
      </c>
      <c r="AO921" t="s">
        <v>118</v>
      </c>
      <c r="AP921">
        <v>-90</v>
      </c>
      <c r="AQ921">
        <v>-134</v>
      </c>
      <c r="AR921">
        <v>0</v>
      </c>
      <c r="AZ921">
        <v>4552</v>
      </c>
      <c r="BA921">
        <v>1</v>
      </c>
      <c r="BB921" t="str">
        <f t="shared" si="44"/>
        <v xml:space="preserve">N607SR  </v>
      </c>
      <c r="BC921">
        <v>1</v>
      </c>
      <c r="BE921">
        <v>0</v>
      </c>
      <c r="BF921">
        <v>0</v>
      </c>
      <c r="BG921">
        <v>0</v>
      </c>
      <c r="BH921">
        <v>2600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"06:14:42.766"</f>
        <v>06:14:42.766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457</v>
      </c>
      <c r="CR921">
        <v>0</v>
      </c>
      <c r="CW921">
        <v>15513953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"08/29/2020 06:14:39.989"</f>
        <v>08/29/2020 06:14:39.989</v>
      </c>
      <c r="C922" t="str">
        <f t="shared" si="42"/>
        <v>FFDFD3C0</v>
      </c>
      <c r="D922" t="s">
        <v>128</v>
      </c>
      <c r="E922">
        <v>5</v>
      </c>
      <c r="H922">
        <v>241</v>
      </c>
      <c r="I922" t="s">
        <v>129</v>
      </c>
      <c r="J922" t="s">
        <v>130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"06:14:43.203"</f>
        <v>06:14:43.203</v>
      </c>
      <c r="U922" t="str">
        <f t="shared" si="43"/>
        <v>A7E2E0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717</v>
      </c>
      <c r="AJ922">
        <v>39.081029999999998</v>
      </c>
      <c r="AK922" t="s">
        <v>718</v>
      </c>
      <c r="AL922">
        <v>-87.493165000000005</v>
      </c>
      <c r="AM922">
        <v>100</v>
      </c>
      <c r="AN922">
        <v>2800</v>
      </c>
      <c r="AO922" t="s">
        <v>118</v>
      </c>
      <c r="AP922">
        <v>-91</v>
      </c>
      <c r="AQ922">
        <v>-133</v>
      </c>
      <c r="AR922">
        <v>0</v>
      </c>
      <c r="AZ922">
        <v>4552</v>
      </c>
      <c r="BA922">
        <v>1</v>
      </c>
      <c r="BB922" t="str">
        <f t="shared" si="44"/>
        <v xml:space="preserve">N607SR  </v>
      </c>
      <c r="BC922">
        <v>1</v>
      </c>
      <c r="BE922">
        <v>0</v>
      </c>
      <c r="BF922">
        <v>0</v>
      </c>
      <c r="BG922">
        <v>0</v>
      </c>
      <c r="BH922">
        <v>2600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"06:14:43.207"</f>
        <v>06:14:43.207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6</v>
      </c>
      <c r="CP922" t="s">
        <v>119</v>
      </c>
      <c r="CQ922">
        <v>465</v>
      </c>
      <c r="CR922">
        <v>0</v>
      </c>
      <c r="CW922">
        <v>4717832</v>
      </c>
      <c r="CY922">
        <v>1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"08/29/2020 06:14:39.989"</f>
        <v>08/29/2020 06:14:39.989</v>
      </c>
      <c r="C923" t="str">
        <f t="shared" si="42"/>
        <v>FFDFD3C0</v>
      </c>
      <c r="D923" t="s">
        <v>113</v>
      </c>
      <c r="E923">
        <v>5</v>
      </c>
      <c r="H923">
        <v>163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"06:14:43.203"</f>
        <v>06:14:43.203</v>
      </c>
      <c r="U923" t="str">
        <f t="shared" si="43"/>
        <v>A7E2E0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717</v>
      </c>
      <c r="AJ923">
        <v>39.081029999999998</v>
      </c>
      <c r="AK923" t="s">
        <v>718</v>
      </c>
      <c r="AL923">
        <v>-87.493165000000005</v>
      </c>
      <c r="AM923">
        <v>100</v>
      </c>
      <c r="AN923">
        <v>2800</v>
      </c>
      <c r="AO923" t="s">
        <v>118</v>
      </c>
      <c r="AP923">
        <v>-91</v>
      </c>
      <c r="AQ923">
        <v>-133</v>
      </c>
      <c r="AR923">
        <v>0</v>
      </c>
      <c r="AZ923">
        <v>4552</v>
      </c>
      <c r="BA923">
        <v>1</v>
      </c>
      <c r="BB923" t="str">
        <f t="shared" si="44"/>
        <v xml:space="preserve">N607SR  </v>
      </c>
      <c r="BC923">
        <v>1</v>
      </c>
      <c r="BE923">
        <v>0</v>
      </c>
      <c r="BF923">
        <v>0</v>
      </c>
      <c r="BG923">
        <v>0</v>
      </c>
      <c r="BH923">
        <v>2600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"06:14:43.207"</f>
        <v>06:14:43.207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6</v>
      </c>
      <c r="CP923" t="s">
        <v>119</v>
      </c>
      <c r="CQ923">
        <v>465</v>
      </c>
      <c r="CR923">
        <v>0</v>
      </c>
      <c r="CW923">
        <v>4717832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"08/29/2020 06:14:40.532"</f>
        <v>08/29/2020 06:14:40.532</v>
      </c>
      <c r="C924" t="str">
        <f t="shared" si="42"/>
        <v>FFDFD3C0</v>
      </c>
      <c r="D924" t="s">
        <v>121</v>
      </c>
      <c r="E924">
        <v>11</v>
      </c>
      <c r="F924">
        <v>1011</v>
      </c>
      <c r="G924" t="s">
        <v>125</v>
      </c>
      <c r="J924" t="s">
        <v>123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"06:14:43.750"</f>
        <v>06:14:43.750</v>
      </c>
      <c r="T924" t="str">
        <f>"06:14:43.250"</f>
        <v>06:14:43.250</v>
      </c>
      <c r="U924" t="str">
        <f t="shared" si="43"/>
        <v>A7E2E0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719</v>
      </c>
      <c r="AJ924">
        <v>39.080708000000001</v>
      </c>
      <c r="AK924" t="s">
        <v>720</v>
      </c>
      <c r="AL924">
        <v>-87.493442999999999</v>
      </c>
      <c r="AM924">
        <v>100</v>
      </c>
      <c r="AN924">
        <v>2800</v>
      </c>
      <c r="AO924" t="s">
        <v>118</v>
      </c>
      <c r="AP924">
        <v>-91</v>
      </c>
      <c r="AQ924">
        <v>-133</v>
      </c>
      <c r="AR924">
        <v>0</v>
      </c>
      <c r="AZ924">
        <v>4552</v>
      </c>
      <c r="BA924">
        <v>1</v>
      </c>
      <c r="BB924" t="str">
        <f t="shared" si="44"/>
        <v xml:space="preserve">N607SR  </v>
      </c>
      <c r="BC924">
        <v>1</v>
      </c>
      <c r="BE924">
        <v>0</v>
      </c>
      <c r="BF924">
        <v>0</v>
      </c>
      <c r="BG924">
        <v>0</v>
      </c>
      <c r="BH924">
        <v>2600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"06:14:43.753"</f>
        <v>06:14:43.753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457</v>
      </c>
      <c r="CR924">
        <v>0</v>
      </c>
      <c r="CW924">
        <v>15513982</v>
      </c>
      <c r="CY924">
        <v>1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"08/29/2020 06:14:40.532"</f>
        <v>08/29/2020 06:14:40.532</v>
      </c>
      <c r="C925" t="str">
        <f t="shared" si="42"/>
        <v>FFDFD3C0</v>
      </c>
      <c r="D925" t="s">
        <v>121</v>
      </c>
      <c r="E925">
        <v>13</v>
      </c>
      <c r="F925">
        <v>1013</v>
      </c>
      <c r="G925" t="s">
        <v>122</v>
      </c>
      <c r="J925" t="s">
        <v>123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"06:14:43.750"</f>
        <v>06:14:43.750</v>
      </c>
      <c r="T925" t="str">
        <f>"06:14:43.250"</f>
        <v>06:14:43.250</v>
      </c>
      <c r="U925" t="str">
        <f t="shared" si="43"/>
        <v>A7E2E0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719</v>
      </c>
      <c r="AJ925">
        <v>39.080708000000001</v>
      </c>
      <c r="AK925" t="s">
        <v>720</v>
      </c>
      <c r="AL925">
        <v>-87.493442999999999</v>
      </c>
      <c r="AM925">
        <v>100</v>
      </c>
      <c r="AN925">
        <v>2800</v>
      </c>
      <c r="AO925" t="s">
        <v>118</v>
      </c>
      <c r="AP925">
        <v>-91</v>
      </c>
      <c r="AQ925">
        <v>-133</v>
      </c>
      <c r="AR925">
        <v>0</v>
      </c>
      <c r="AZ925">
        <v>4552</v>
      </c>
      <c r="BA925">
        <v>1</v>
      </c>
      <c r="BB925" t="str">
        <f t="shared" si="44"/>
        <v xml:space="preserve">N607SR  </v>
      </c>
      <c r="BC925">
        <v>1</v>
      </c>
      <c r="BE925">
        <v>0</v>
      </c>
      <c r="BF925">
        <v>0</v>
      </c>
      <c r="BG925">
        <v>0</v>
      </c>
      <c r="BH925">
        <v>2600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"06:14:43.753"</f>
        <v>06:14:43.753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457</v>
      </c>
      <c r="CR925">
        <v>0</v>
      </c>
      <c r="CW925">
        <v>15513982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"08/29/2020 06:14:40.532"</f>
        <v>08/29/2020 06:14:40.532</v>
      </c>
      <c r="C926" t="str">
        <f t="shared" si="42"/>
        <v>FFDFD3C0</v>
      </c>
      <c r="D926" t="s">
        <v>121</v>
      </c>
      <c r="E926">
        <v>10</v>
      </c>
      <c r="F926">
        <v>1010</v>
      </c>
      <c r="G926" t="s">
        <v>114</v>
      </c>
      <c r="J926" t="s">
        <v>123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"06:14:43.750"</f>
        <v>06:14:43.750</v>
      </c>
      <c r="T926" t="str">
        <f>"06:14:43.250"</f>
        <v>06:14:43.250</v>
      </c>
      <c r="U926" t="str">
        <f t="shared" si="43"/>
        <v>A7E2E0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719</v>
      </c>
      <c r="AJ926">
        <v>39.080708000000001</v>
      </c>
      <c r="AK926" t="s">
        <v>720</v>
      </c>
      <c r="AL926">
        <v>-87.493442999999999</v>
      </c>
      <c r="AM926">
        <v>100</v>
      </c>
      <c r="AN926">
        <v>2800</v>
      </c>
      <c r="AO926" t="s">
        <v>118</v>
      </c>
      <c r="AP926">
        <v>-91</v>
      </c>
      <c r="AQ926">
        <v>-133</v>
      </c>
      <c r="AR926">
        <v>0</v>
      </c>
      <c r="AZ926">
        <v>4552</v>
      </c>
      <c r="BA926">
        <v>1</v>
      </c>
      <c r="BB926" t="str">
        <f t="shared" si="44"/>
        <v xml:space="preserve">N607SR  </v>
      </c>
      <c r="BC926">
        <v>1</v>
      </c>
      <c r="BE926">
        <v>0</v>
      </c>
      <c r="BF926">
        <v>0</v>
      </c>
      <c r="BG926">
        <v>0</v>
      </c>
      <c r="BH926">
        <v>2600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"06:14:43.753"</f>
        <v>06:14:43.753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457</v>
      </c>
      <c r="CR926">
        <v>0</v>
      </c>
      <c r="CW926">
        <v>15513982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"08/29/2020 06:14:40.954"</f>
        <v>08/29/2020 06:14:40.954</v>
      </c>
      <c r="C927" t="str">
        <f t="shared" si="42"/>
        <v>FFDFD3C0</v>
      </c>
      <c r="D927" t="s">
        <v>128</v>
      </c>
      <c r="E927">
        <v>5</v>
      </c>
      <c r="H927">
        <v>241</v>
      </c>
      <c r="I927" t="s">
        <v>129</v>
      </c>
      <c r="J927" t="s">
        <v>130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"06:14:44.164"</f>
        <v>06:14:44.164</v>
      </c>
      <c r="U927" t="str">
        <f t="shared" si="43"/>
        <v>A7E2E0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721</v>
      </c>
      <c r="AJ927">
        <v>39.080429000000002</v>
      </c>
      <c r="AK927" t="s">
        <v>722</v>
      </c>
      <c r="AL927">
        <v>-87.493679999999998</v>
      </c>
      <c r="AM927">
        <v>100</v>
      </c>
      <c r="AN927">
        <v>2800</v>
      </c>
      <c r="AO927" t="s">
        <v>118</v>
      </c>
      <c r="AP927">
        <v>-92</v>
      </c>
      <c r="AQ927">
        <v>-133</v>
      </c>
      <c r="AR927">
        <v>0</v>
      </c>
      <c r="AZ927">
        <v>4552</v>
      </c>
      <c r="BA927">
        <v>1</v>
      </c>
      <c r="BB927" t="str">
        <f t="shared" si="44"/>
        <v xml:space="preserve">N607SR  </v>
      </c>
      <c r="BC927">
        <v>1</v>
      </c>
      <c r="BE927">
        <v>0</v>
      </c>
      <c r="BF927">
        <v>0</v>
      </c>
      <c r="BG927">
        <v>0</v>
      </c>
      <c r="BH927">
        <v>2600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"06:14:44.166"</f>
        <v>06:14:44.166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5</v>
      </c>
      <c r="CP927" t="s">
        <v>119</v>
      </c>
      <c r="CQ927">
        <v>465</v>
      </c>
      <c r="CR927">
        <v>0</v>
      </c>
      <c r="CW927">
        <v>4717859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"08/29/2020 06:14:40.954"</f>
        <v>08/29/2020 06:14:40.954</v>
      </c>
      <c r="C928" t="str">
        <f t="shared" si="42"/>
        <v>FFDFD3C0</v>
      </c>
      <c r="D928" t="s">
        <v>113</v>
      </c>
      <c r="E928">
        <v>5</v>
      </c>
      <c r="H928">
        <v>163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"06:14:44.164"</f>
        <v>06:14:44.164</v>
      </c>
      <c r="U928" t="str">
        <f t="shared" si="43"/>
        <v>A7E2E0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721</v>
      </c>
      <c r="AJ928">
        <v>39.080429000000002</v>
      </c>
      <c r="AK928" t="s">
        <v>722</v>
      </c>
      <c r="AL928">
        <v>-87.493679999999998</v>
      </c>
      <c r="AM928">
        <v>100</v>
      </c>
      <c r="AN928">
        <v>2800</v>
      </c>
      <c r="AO928" t="s">
        <v>118</v>
      </c>
      <c r="AP928">
        <v>-92</v>
      </c>
      <c r="AQ928">
        <v>-133</v>
      </c>
      <c r="AR928">
        <v>0</v>
      </c>
      <c r="AZ928">
        <v>4552</v>
      </c>
      <c r="BA928">
        <v>1</v>
      </c>
      <c r="BB928" t="str">
        <f t="shared" si="44"/>
        <v xml:space="preserve">N607SR  </v>
      </c>
      <c r="BC928">
        <v>1</v>
      </c>
      <c r="BE928">
        <v>0</v>
      </c>
      <c r="BF928">
        <v>0</v>
      </c>
      <c r="BG928">
        <v>0</v>
      </c>
      <c r="BH928">
        <v>2600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"06:14:44.166"</f>
        <v>06:14:44.166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5</v>
      </c>
      <c r="CP928" t="s">
        <v>119</v>
      </c>
      <c r="CQ928">
        <v>465</v>
      </c>
      <c r="CR928">
        <v>0</v>
      </c>
      <c r="CW928">
        <v>4717859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"08/29/2020 06:14:41.512"</f>
        <v>08/29/2020 06:14:41.512</v>
      </c>
      <c r="C929" t="str">
        <f t="shared" si="42"/>
        <v>FFDFD3C0</v>
      </c>
      <c r="D929" t="s">
        <v>121</v>
      </c>
      <c r="E929">
        <v>13</v>
      </c>
      <c r="F929">
        <v>1013</v>
      </c>
      <c r="G929" t="s">
        <v>122</v>
      </c>
      <c r="J929" t="s">
        <v>123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"06:14:44.727"</f>
        <v>06:14:44.727</v>
      </c>
      <c r="T929" t="str">
        <f>"06:14:44.227"</f>
        <v>06:14:44.227</v>
      </c>
      <c r="U929" t="str">
        <f t="shared" si="43"/>
        <v>A7E2E0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723</v>
      </c>
      <c r="AJ929">
        <v>39.080064</v>
      </c>
      <c r="AK929" t="s">
        <v>724</v>
      </c>
      <c r="AL929">
        <v>-87.493979999999993</v>
      </c>
      <c r="AM929">
        <v>100</v>
      </c>
      <c r="AN929">
        <v>2800</v>
      </c>
      <c r="AO929" t="s">
        <v>118</v>
      </c>
      <c r="AP929">
        <v>-92</v>
      </c>
      <c r="AQ929">
        <v>-133</v>
      </c>
      <c r="AR929">
        <v>0</v>
      </c>
      <c r="AZ929">
        <v>4552</v>
      </c>
      <c r="BA929">
        <v>1</v>
      </c>
      <c r="BB929" t="str">
        <f t="shared" si="44"/>
        <v xml:space="preserve">N607SR  </v>
      </c>
      <c r="BC929">
        <v>1</v>
      </c>
      <c r="BE929">
        <v>0</v>
      </c>
      <c r="BF929">
        <v>0</v>
      </c>
      <c r="BG929">
        <v>0</v>
      </c>
      <c r="BH929">
        <v>2600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"06:14:44.728"</f>
        <v>06:14:44.728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457</v>
      </c>
      <c r="CR929">
        <v>0</v>
      </c>
      <c r="CW929">
        <v>15514012</v>
      </c>
      <c r="CY929">
        <v>1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"08/29/2020 06:14:41.512"</f>
        <v>08/29/2020 06:14:41.512</v>
      </c>
      <c r="C930" t="str">
        <f t="shared" si="42"/>
        <v>FFDFD3C0</v>
      </c>
      <c r="D930" t="s">
        <v>121</v>
      </c>
      <c r="E930">
        <v>10</v>
      </c>
      <c r="F930">
        <v>1010</v>
      </c>
      <c r="G930" t="s">
        <v>114</v>
      </c>
      <c r="J930" t="s">
        <v>123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"06:14:44.727"</f>
        <v>06:14:44.727</v>
      </c>
      <c r="T930" t="str">
        <f>"06:14:44.227"</f>
        <v>06:14:44.227</v>
      </c>
      <c r="U930" t="str">
        <f t="shared" si="43"/>
        <v>A7E2E0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723</v>
      </c>
      <c r="AJ930">
        <v>39.080064</v>
      </c>
      <c r="AK930" t="s">
        <v>724</v>
      </c>
      <c r="AL930">
        <v>-87.493979999999993</v>
      </c>
      <c r="AM930">
        <v>100</v>
      </c>
      <c r="AN930">
        <v>2800</v>
      </c>
      <c r="AO930" t="s">
        <v>118</v>
      </c>
      <c r="AP930">
        <v>-92</v>
      </c>
      <c r="AQ930">
        <v>-133</v>
      </c>
      <c r="AR930">
        <v>0</v>
      </c>
      <c r="AZ930">
        <v>4552</v>
      </c>
      <c r="BA930">
        <v>1</v>
      </c>
      <c r="BB930" t="str">
        <f t="shared" si="44"/>
        <v xml:space="preserve">N607SR  </v>
      </c>
      <c r="BC930">
        <v>1</v>
      </c>
      <c r="BE930">
        <v>0</v>
      </c>
      <c r="BF930">
        <v>0</v>
      </c>
      <c r="BG930">
        <v>0</v>
      </c>
      <c r="BH930">
        <v>2600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"06:14:44.728"</f>
        <v>06:14:44.728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457</v>
      </c>
      <c r="CR930">
        <v>0</v>
      </c>
      <c r="CW930">
        <v>15514012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"08/29/2020 06:14:41.512"</f>
        <v>08/29/2020 06:14:41.512</v>
      </c>
      <c r="C931" t="str">
        <f t="shared" si="42"/>
        <v>FFDFD3C0</v>
      </c>
      <c r="D931" t="s">
        <v>121</v>
      </c>
      <c r="E931">
        <v>11</v>
      </c>
      <c r="F931">
        <v>1011</v>
      </c>
      <c r="G931" t="s">
        <v>125</v>
      </c>
      <c r="J931" t="s">
        <v>123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"06:14:44.727"</f>
        <v>06:14:44.727</v>
      </c>
      <c r="T931" t="str">
        <f>"06:14:44.227"</f>
        <v>06:14:44.227</v>
      </c>
      <c r="U931" t="str">
        <f t="shared" si="43"/>
        <v>A7E2E0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723</v>
      </c>
      <c r="AJ931">
        <v>39.080064</v>
      </c>
      <c r="AK931" t="s">
        <v>724</v>
      </c>
      <c r="AL931">
        <v>-87.493979999999993</v>
      </c>
      <c r="AM931">
        <v>100</v>
      </c>
      <c r="AN931">
        <v>2800</v>
      </c>
      <c r="AO931" t="s">
        <v>118</v>
      </c>
      <c r="AP931">
        <v>-92</v>
      </c>
      <c r="AQ931">
        <v>-133</v>
      </c>
      <c r="AR931">
        <v>0</v>
      </c>
      <c r="AZ931">
        <v>4552</v>
      </c>
      <c r="BA931">
        <v>1</v>
      </c>
      <c r="BB931" t="str">
        <f t="shared" si="44"/>
        <v xml:space="preserve">N607SR  </v>
      </c>
      <c r="BC931">
        <v>1</v>
      </c>
      <c r="BE931">
        <v>0</v>
      </c>
      <c r="BF931">
        <v>0</v>
      </c>
      <c r="BG931">
        <v>0</v>
      </c>
      <c r="BH931">
        <v>2600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"06:14:44.728"</f>
        <v>06:14:44.728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457</v>
      </c>
      <c r="CR931">
        <v>0</v>
      </c>
      <c r="CW931">
        <v>15514012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"08/29/2020 06:14:42.068"</f>
        <v>08/29/2020 06:14:42.068</v>
      </c>
      <c r="C932" t="str">
        <f t="shared" si="42"/>
        <v>FFDFD3C0</v>
      </c>
      <c r="D932" t="s">
        <v>128</v>
      </c>
      <c r="E932">
        <v>5</v>
      </c>
      <c r="H932">
        <v>241</v>
      </c>
      <c r="I932" t="s">
        <v>129</v>
      </c>
      <c r="J932" t="s">
        <v>130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"06:14:45.242"</f>
        <v>06:14:45.242</v>
      </c>
      <c r="T932" t="str">
        <f>"06:14:44.742"</f>
        <v>06:14:44.742</v>
      </c>
      <c r="U932" t="str">
        <f t="shared" si="43"/>
        <v>A7E2E0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725</v>
      </c>
      <c r="AJ932">
        <v>39.079763999999997</v>
      </c>
      <c r="AK932" t="s">
        <v>726</v>
      </c>
      <c r="AL932">
        <v>-87.494259</v>
      </c>
      <c r="AM932">
        <v>100</v>
      </c>
      <c r="AN932">
        <v>2800</v>
      </c>
      <c r="AO932" t="s">
        <v>118</v>
      </c>
      <c r="AP932">
        <v>-92</v>
      </c>
      <c r="AQ932">
        <v>-133</v>
      </c>
      <c r="AR932">
        <v>0</v>
      </c>
      <c r="AZ932">
        <v>4552</v>
      </c>
      <c r="BA932">
        <v>1</v>
      </c>
      <c r="BB932" t="str">
        <f t="shared" si="44"/>
        <v xml:space="preserve">N607SR  </v>
      </c>
      <c r="BC932">
        <v>1</v>
      </c>
      <c r="BE932">
        <v>0</v>
      </c>
      <c r="BF932">
        <v>0</v>
      </c>
      <c r="BG932">
        <v>0</v>
      </c>
      <c r="BH932">
        <v>2600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"06:14:45.247"</f>
        <v>06:14:45.247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457</v>
      </c>
      <c r="CR932">
        <v>0</v>
      </c>
      <c r="CW932">
        <v>15514027</v>
      </c>
      <c r="CY932">
        <v>1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"08/29/2020 06:14:42.068"</f>
        <v>08/29/2020 06:14:42.068</v>
      </c>
      <c r="C933" t="str">
        <f t="shared" si="42"/>
        <v>FFDFD3C0</v>
      </c>
      <c r="D933" t="s">
        <v>113</v>
      </c>
      <c r="E933">
        <v>5</v>
      </c>
      <c r="H933">
        <v>163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"06:14:45.242"</f>
        <v>06:14:45.242</v>
      </c>
      <c r="T933" t="str">
        <f>"06:14:44.742"</f>
        <v>06:14:44.742</v>
      </c>
      <c r="U933" t="str">
        <f t="shared" si="43"/>
        <v>A7E2E0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725</v>
      </c>
      <c r="AJ933">
        <v>39.079763999999997</v>
      </c>
      <c r="AK933" t="s">
        <v>726</v>
      </c>
      <c r="AL933">
        <v>-87.494259</v>
      </c>
      <c r="AM933">
        <v>100</v>
      </c>
      <c r="AN933">
        <v>2800</v>
      </c>
      <c r="AO933" t="s">
        <v>118</v>
      </c>
      <c r="AP933">
        <v>-92</v>
      </c>
      <c r="AQ933">
        <v>-133</v>
      </c>
      <c r="AR933">
        <v>0</v>
      </c>
      <c r="AZ933">
        <v>4552</v>
      </c>
      <c r="BA933">
        <v>1</v>
      </c>
      <c r="BB933" t="str">
        <f t="shared" si="44"/>
        <v xml:space="preserve">N607SR  </v>
      </c>
      <c r="BC933">
        <v>1</v>
      </c>
      <c r="BE933">
        <v>0</v>
      </c>
      <c r="BF933">
        <v>0</v>
      </c>
      <c r="BG933">
        <v>0</v>
      </c>
      <c r="BH933">
        <v>2600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"06:14:45.247"</f>
        <v>06:14:45.247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457</v>
      </c>
      <c r="CR933">
        <v>0</v>
      </c>
      <c r="CW933">
        <v>15514027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"08/29/2020 06:14:42.515"</f>
        <v>08/29/2020 06:14:42.515</v>
      </c>
      <c r="C934" t="str">
        <f t="shared" si="42"/>
        <v>FFDFD3C0</v>
      </c>
      <c r="D934" t="s">
        <v>121</v>
      </c>
      <c r="E934">
        <v>11</v>
      </c>
      <c r="F934">
        <v>1011</v>
      </c>
      <c r="G934" t="s">
        <v>125</v>
      </c>
      <c r="J934" t="s">
        <v>123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"06:14:45.734"</f>
        <v>06:14:45.734</v>
      </c>
      <c r="T934" t="str">
        <f>"06:14:45.334"</f>
        <v>06:14:45.334</v>
      </c>
      <c r="U934" t="str">
        <f t="shared" si="43"/>
        <v>A7E2E0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727</v>
      </c>
      <c r="AJ934">
        <v>39.079462999999997</v>
      </c>
      <c r="AK934" t="s">
        <v>728</v>
      </c>
      <c r="AL934">
        <v>-87.494516000000004</v>
      </c>
      <c r="AM934">
        <v>100</v>
      </c>
      <c r="AN934">
        <v>2800</v>
      </c>
      <c r="AO934" t="s">
        <v>118</v>
      </c>
      <c r="AP934">
        <v>-92</v>
      </c>
      <c r="AQ934">
        <v>-133</v>
      </c>
      <c r="AR934">
        <v>0</v>
      </c>
      <c r="AZ934">
        <v>4552</v>
      </c>
      <c r="BA934">
        <v>1</v>
      </c>
      <c r="BB934" t="str">
        <f t="shared" si="44"/>
        <v xml:space="preserve">N607SR  </v>
      </c>
      <c r="BC934">
        <v>1</v>
      </c>
      <c r="BE934">
        <v>0</v>
      </c>
      <c r="BF934">
        <v>0</v>
      </c>
      <c r="BG934">
        <v>0</v>
      </c>
      <c r="BH934">
        <v>2600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"06:14:45.735"</f>
        <v>06:14:45.735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6</v>
      </c>
      <c r="CP934" t="s">
        <v>119</v>
      </c>
      <c r="CQ934">
        <v>177</v>
      </c>
      <c r="CR934">
        <v>2</v>
      </c>
      <c r="CW934">
        <v>1629467</v>
      </c>
      <c r="CY934">
        <v>1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"08/29/2020 06:14:42.515"</f>
        <v>08/29/2020 06:14:42.515</v>
      </c>
      <c r="C935" t="str">
        <f t="shared" si="42"/>
        <v>FFDFD3C0</v>
      </c>
      <c r="D935" t="s">
        <v>121</v>
      </c>
      <c r="E935">
        <v>13</v>
      </c>
      <c r="F935">
        <v>1013</v>
      </c>
      <c r="G935" t="s">
        <v>122</v>
      </c>
      <c r="J935" t="s">
        <v>123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"06:14:45.734"</f>
        <v>06:14:45.734</v>
      </c>
      <c r="T935" t="str">
        <f>"06:14:45.334"</f>
        <v>06:14:45.334</v>
      </c>
      <c r="U935" t="str">
        <f t="shared" si="43"/>
        <v>A7E2E0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727</v>
      </c>
      <c r="AJ935">
        <v>39.079462999999997</v>
      </c>
      <c r="AK935" t="s">
        <v>728</v>
      </c>
      <c r="AL935">
        <v>-87.494516000000004</v>
      </c>
      <c r="AM935">
        <v>100</v>
      </c>
      <c r="AN935">
        <v>2800</v>
      </c>
      <c r="AO935" t="s">
        <v>118</v>
      </c>
      <c r="AP935">
        <v>-92</v>
      </c>
      <c r="AQ935">
        <v>-133</v>
      </c>
      <c r="AR935">
        <v>0</v>
      </c>
      <c r="AZ935">
        <v>4552</v>
      </c>
      <c r="BA935">
        <v>1</v>
      </c>
      <c r="BB935" t="str">
        <f t="shared" si="44"/>
        <v xml:space="preserve">N607SR  </v>
      </c>
      <c r="BC935">
        <v>1</v>
      </c>
      <c r="BE935">
        <v>0</v>
      </c>
      <c r="BF935">
        <v>0</v>
      </c>
      <c r="BG935">
        <v>0</v>
      </c>
      <c r="BH935">
        <v>2600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"06:14:45.735"</f>
        <v>06:14:45.735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6</v>
      </c>
      <c r="CP935" t="s">
        <v>119</v>
      </c>
      <c r="CQ935">
        <v>177</v>
      </c>
      <c r="CR935">
        <v>2</v>
      </c>
      <c r="CW935">
        <v>1629467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"08/29/2020 06:14:42.515"</f>
        <v>08/29/2020 06:14:42.515</v>
      </c>
      <c r="C936" t="str">
        <f t="shared" si="42"/>
        <v>FFDFD3C0</v>
      </c>
      <c r="D936" t="s">
        <v>121</v>
      </c>
      <c r="E936">
        <v>10</v>
      </c>
      <c r="F936">
        <v>1010</v>
      </c>
      <c r="G936" t="s">
        <v>114</v>
      </c>
      <c r="J936" t="s">
        <v>123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"06:14:45.734"</f>
        <v>06:14:45.734</v>
      </c>
      <c r="T936" t="str">
        <f>"06:14:45.334"</f>
        <v>06:14:45.334</v>
      </c>
      <c r="U936" t="str">
        <f t="shared" si="43"/>
        <v>A7E2E0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727</v>
      </c>
      <c r="AJ936">
        <v>39.079462999999997</v>
      </c>
      <c r="AK936" t="s">
        <v>728</v>
      </c>
      <c r="AL936">
        <v>-87.494516000000004</v>
      </c>
      <c r="AM936">
        <v>100</v>
      </c>
      <c r="AN936">
        <v>2800</v>
      </c>
      <c r="AO936" t="s">
        <v>118</v>
      </c>
      <c r="AP936">
        <v>-92</v>
      </c>
      <c r="AQ936">
        <v>-133</v>
      </c>
      <c r="AR936">
        <v>0</v>
      </c>
      <c r="AZ936">
        <v>4552</v>
      </c>
      <c r="BA936">
        <v>1</v>
      </c>
      <c r="BB936" t="str">
        <f t="shared" si="44"/>
        <v xml:space="preserve">N607SR  </v>
      </c>
      <c r="BC936">
        <v>1</v>
      </c>
      <c r="BE936">
        <v>0</v>
      </c>
      <c r="BF936">
        <v>0</v>
      </c>
      <c r="BG936">
        <v>0</v>
      </c>
      <c r="BH936">
        <v>2600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"06:14:45.735"</f>
        <v>06:14:45.735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6</v>
      </c>
      <c r="CP936" t="s">
        <v>119</v>
      </c>
      <c r="CQ936">
        <v>177</v>
      </c>
      <c r="CR936">
        <v>2</v>
      </c>
      <c r="CW936">
        <v>1629467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"08/29/2020 06:14:42.926"</f>
        <v>08/29/2020 06:14:42.926</v>
      </c>
      <c r="C937" t="str">
        <f t="shared" si="42"/>
        <v>FFDFD3C0</v>
      </c>
      <c r="D937" t="s">
        <v>128</v>
      </c>
      <c r="E937">
        <v>5</v>
      </c>
      <c r="H937">
        <v>241</v>
      </c>
      <c r="I937" t="s">
        <v>129</v>
      </c>
      <c r="J937" t="s">
        <v>130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"06:14:46.172"</f>
        <v>06:14:46.172</v>
      </c>
      <c r="U937" t="str">
        <f t="shared" si="43"/>
        <v>A7E2E0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729</v>
      </c>
      <c r="AJ937">
        <v>39.079248999999997</v>
      </c>
      <c r="AK937" t="s">
        <v>730</v>
      </c>
      <c r="AL937">
        <v>-87.494752000000005</v>
      </c>
      <c r="AM937">
        <v>100</v>
      </c>
      <c r="AN937">
        <v>2800</v>
      </c>
      <c r="AO937" t="s">
        <v>118</v>
      </c>
      <c r="AP937">
        <v>-93</v>
      </c>
      <c r="AQ937">
        <v>-133</v>
      </c>
      <c r="AR937">
        <v>0</v>
      </c>
      <c r="AZ937">
        <v>4552</v>
      </c>
      <c r="BA937">
        <v>1</v>
      </c>
      <c r="BB937" t="str">
        <f t="shared" si="44"/>
        <v xml:space="preserve">N607SR  </v>
      </c>
      <c r="BC937">
        <v>1</v>
      </c>
      <c r="BE937">
        <v>0</v>
      </c>
      <c r="BF937">
        <v>0</v>
      </c>
      <c r="BG937">
        <v>0</v>
      </c>
      <c r="BH937">
        <v>2600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"06:14:46.178"</f>
        <v>06:14:46.178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5</v>
      </c>
      <c r="CP937" t="s">
        <v>119</v>
      </c>
      <c r="CQ937">
        <v>517</v>
      </c>
      <c r="CR937">
        <v>1</v>
      </c>
      <c r="CW937">
        <v>2478867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"08/29/2020 06:14:42.926"</f>
        <v>08/29/2020 06:14:42.926</v>
      </c>
      <c r="C938" t="str">
        <f t="shared" si="42"/>
        <v>FFDFD3C0</v>
      </c>
      <c r="D938" t="s">
        <v>113</v>
      </c>
      <c r="E938">
        <v>5</v>
      </c>
      <c r="H938">
        <v>163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"06:14:46.172"</f>
        <v>06:14:46.172</v>
      </c>
      <c r="U938" t="str">
        <f t="shared" si="43"/>
        <v>A7E2E0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729</v>
      </c>
      <c r="AJ938">
        <v>39.079248999999997</v>
      </c>
      <c r="AK938" t="s">
        <v>730</v>
      </c>
      <c r="AL938">
        <v>-87.494752000000005</v>
      </c>
      <c r="AM938">
        <v>100</v>
      </c>
      <c r="AN938">
        <v>2800</v>
      </c>
      <c r="AO938" t="s">
        <v>118</v>
      </c>
      <c r="AP938">
        <v>-93</v>
      </c>
      <c r="AQ938">
        <v>-133</v>
      </c>
      <c r="AR938">
        <v>0</v>
      </c>
      <c r="AZ938">
        <v>4552</v>
      </c>
      <c r="BA938">
        <v>1</v>
      </c>
      <c r="BB938" t="str">
        <f t="shared" si="44"/>
        <v xml:space="preserve">N607SR  </v>
      </c>
      <c r="BC938">
        <v>1</v>
      </c>
      <c r="BE938">
        <v>0</v>
      </c>
      <c r="BF938">
        <v>0</v>
      </c>
      <c r="BG938">
        <v>0</v>
      </c>
      <c r="BH938">
        <v>2600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"06:14:46.178"</f>
        <v>06:14:46.178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5</v>
      </c>
      <c r="CP938" t="s">
        <v>119</v>
      </c>
      <c r="CQ938">
        <v>517</v>
      </c>
      <c r="CR938">
        <v>1</v>
      </c>
      <c r="CW938">
        <v>2478867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"08/29/2020 06:14:43.480"</f>
        <v>08/29/2020 06:14:43.480</v>
      </c>
      <c r="C939" t="str">
        <f t="shared" si="42"/>
        <v>FFDFD3C0</v>
      </c>
      <c r="D939" t="s">
        <v>121</v>
      </c>
      <c r="E939">
        <v>11</v>
      </c>
      <c r="F939">
        <v>1011</v>
      </c>
      <c r="G939" t="s">
        <v>125</v>
      </c>
      <c r="J939" t="s">
        <v>123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"06:14:46.695"</f>
        <v>06:14:46.695</v>
      </c>
      <c r="T939" t="str">
        <f>"06:14:46.195"</f>
        <v>06:14:46.195</v>
      </c>
      <c r="U939" t="str">
        <f t="shared" si="43"/>
        <v>A7E2E0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731</v>
      </c>
      <c r="AJ939">
        <v>39.078927</v>
      </c>
      <c r="AK939" t="s">
        <v>732</v>
      </c>
      <c r="AL939">
        <v>-87.495052999999999</v>
      </c>
      <c r="AM939">
        <v>100</v>
      </c>
      <c r="AN939">
        <v>2800</v>
      </c>
      <c r="AO939" t="s">
        <v>118</v>
      </c>
      <c r="AP939">
        <v>-93</v>
      </c>
      <c r="AQ939">
        <v>-133</v>
      </c>
      <c r="AR939">
        <v>0</v>
      </c>
      <c r="AZ939">
        <v>4552</v>
      </c>
      <c r="BA939">
        <v>1</v>
      </c>
      <c r="BB939" t="str">
        <f t="shared" si="44"/>
        <v xml:space="preserve">N607SR  </v>
      </c>
      <c r="BC939">
        <v>1</v>
      </c>
      <c r="BE939">
        <v>0</v>
      </c>
      <c r="BF939">
        <v>0</v>
      </c>
      <c r="BG939">
        <v>0</v>
      </c>
      <c r="BH939">
        <v>2600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"06:14:46.697"</f>
        <v>06:14:46.697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457</v>
      </c>
      <c r="CR939">
        <v>0</v>
      </c>
      <c r="CW939">
        <v>15514074</v>
      </c>
      <c r="CY939">
        <v>1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"08/29/2020 06:14:43.480"</f>
        <v>08/29/2020 06:14:43.480</v>
      </c>
      <c r="C940" t="str">
        <f t="shared" si="42"/>
        <v>FFDFD3C0</v>
      </c>
      <c r="D940" t="s">
        <v>121</v>
      </c>
      <c r="E940">
        <v>13</v>
      </c>
      <c r="F940">
        <v>1013</v>
      </c>
      <c r="G940" t="s">
        <v>122</v>
      </c>
      <c r="J940" t="s">
        <v>123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"06:14:46.695"</f>
        <v>06:14:46.695</v>
      </c>
      <c r="T940" t="str">
        <f>"06:14:46.195"</f>
        <v>06:14:46.195</v>
      </c>
      <c r="U940" t="str">
        <f t="shared" si="43"/>
        <v>A7E2E0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731</v>
      </c>
      <c r="AJ940">
        <v>39.078927</v>
      </c>
      <c r="AK940" t="s">
        <v>732</v>
      </c>
      <c r="AL940">
        <v>-87.495052999999999</v>
      </c>
      <c r="AM940">
        <v>100</v>
      </c>
      <c r="AN940">
        <v>2800</v>
      </c>
      <c r="AO940" t="s">
        <v>118</v>
      </c>
      <c r="AP940">
        <v>-93</v>
      </c>
      <c r="AQ940">
        <v>-133</v>
      </c>
      <c r="AR940">
        <v>0</v>
      </c>
      <c r="AZ940">
        <v>4552</v>
      </c>
      <c r="BA940">
        <v>1</v>
      </c>
      <c r="BB940" t="str">
        <f t="shared" si="44"/>
        <v xml:space="preserve">N607SR  </v>
      </c>
      <c r="BC940">
        <v>1</v>
      </c>
      <c r="BE940">
        <v>0</v>
      </c>
      <c r="BF940">
        <v>0</v>
      </c>
      <c r="BG940">
        <v>0</v>
      </c>
      <c r="BH940">
        <v>2600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"06:14:46.697"</f>
        <v>06:14:46.697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457</v>
      </c>
      <c r="CR940">
        <v>0</v>
      </c>
      <c r="CW940">
        <v>15514074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"08/29/2020 06:14:43.480"</f>
        <v>08/29/2020 06:14:43.480</v>
      </c>
      <c r="C941" t="str">
        <f t="shared" si="42"/>
        <v>FFDFD3C0</v>
      </c>
      <c r="D941" t="s">
        <v>121</v>
      </c>
      <c r="E941">
        <v>10</v>
      </c>
      <c r="F941">
        <v>1010</v>
      </c>
      <c r="G941" t="s">
        <v>114</v>
      </c>
      <c r="J941" t="s">
        <v>123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"06:14:46.695"</f>
        <v>06:14:46.695</v>
      </c>
      <c r="T941" t="str">
        <f>"06:14:46.195"</f>
        <v>06:14:46.195</v>
      </c>
      <c r="U941" t="str">
        <f t="shared" si="43"/>
        <v>A7E2E0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731</v>
      </c>
      <c r="AJ941">
        <v>39.078927</v>
      </c>
      <c r="AK941" t="s">
        <v>732</v>
      </c>
      <c r="AL941">
        <v>-87.495052999999999</v>
      </c>
      <c r="AM941">
        <v>100</v>
      </c>
      <c r="AN941">
        <v>2800</v>
      </c>
      <c r="AO941" t="s">
        <v>118</v>
      </c>
      <c r="AP941">
        <v>-93</v>
      </c>
      <c r="AQ941">
        <v>-133</v>
      </c>
      <c r="AR941">
        <v>0</v>
      </c>
      <c r="AZ941">
        <v>4552</v>
      </c>
      <c r="BA941">
        <v>1</v>
      </c>
      <c r="BB941" t="str">
        <f t="shared" si="44"/>
        <v xml:space="preserve">N607SR  </v>
      </c>
      <c r="BC941">
        <v>1</v>
      </c>
      <c r="BE941">
        <v>0</v>
      </c>
      <c r="BF941">
        <v>0</v>
      </c>
      <c r="BG941">
        <v>0</v>
      </c>
      <c r="BH941">
        <v>2600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"06:14:46.697"</f>
        <v>06:14:46.697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457</v>
      </c>
      <c r="CR941">
        <v>0</v>
      </c>
      <c r="CW941">
        <v>15514074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"08/29/2020 06:14:44.089"</f>
        <v>08/29/2020 06:14:44.089</v>
      </c>
      <c r="C942" t="str">
        <f t="shared" si="42"/>
        <v>FFDFD3C0</v>
      </c>
      <c r="D942" t="s">
        <v>128</v>
      </c>
      <c r="E942">
        <v>5</v>
      </c>
      <c r="H942">
        <v>241</v>
      </c>
      <c r="I942" t="s">
        <v>129</v>
      </c>
      <c r="J942" t="s">
        <v>130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"06:14:47.281"</f>
        <v>06:14:47.281</v>
      </c>
      <c r="T942" t="str">
        <f>"06:14:46.781"</f>
        <v>06:14:46.781</v>
      </c>
      <c r="U942" t="str">
        <f t="shared" si="43"/>
        <v>A7E2E0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733</v>
      </c>
      <c r="AJ942">
        <v>39.078561999999998</v>
      </c>
      <c r="AK942" t="s">
        <v>734</v>
      </c>
      <c r="AL942">
        <v>-87.495352999999994</v>
      </c>
      <c r="AM942">
        <v>100</v>
      </c>
      <c r="AN942">
        <v>2800</v>
      </c>
      <c r="AO942" t="s">
        <v>118</v>
      </c>
      <c r="AP942">
        <v>-93</v>
      </c>
      <c r="AQ942">
        <v>-133</v>
      </c>
      <c r="AR942">
        <v>0</v>
      </c>
      <c r="AZ942">
        <v>4552</v>
      </c>
      <c r="BA942">
        <v>1</v>
      </c>
      <c r="BB942" t="str">
        <f t="shared" si="44"/>
        <v xml:space="preserve">N607SR  </v>
      </c>
      <c r="BC942">
        <v>1</v>
      </c>
      <c r="BE942">
        <v>0</v>
      </c>
      <c r="BF942">
        <v>0</v>
      </c>
      <c r="BG942">
        <v>0</v>
      </c>
      <c r="BH942">
        <v>2600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"06:14:47.287"</f>
        <v>06:14:47.287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6</v>
      </c>
      <c r="CP942" t="s">
        <v>119</v>
      </c>
      <c r="CQ942">
        <v>457</v>
      </c>
      <c r="CR942">
        <v>0</v>
      </c>
      <c r="CW942">
        <v>15514091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"08/29/2020 06:14:44.089"</f>
        <v>08/29/2020 06:14:44.089</v>
      </c>
      <c r="C943" t="str">
        <f t="shared" si="42"/>
        <v>FFDFD3C0</v>
      </c>
      <c r="D943" t="s">
        <v>113</v>
      </c>
      <c r="E943">
        <v>5</v>
      </c>
      <c r="H943">
        <v>163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"06:14:47.281"</f>
        <v>06:14:47.281</v>
      </c>
      <c r="T943" t="str">
        <f>"06:14:46.781"</f>
        <v>06:14:46.781</v>
      </c>
      <c r="U943" t="str">
        <f t="shared" si="43"/>
        <v>A7E2E0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733</v>
      </c>
      <c r="AJ943">
        <v>39.078561999999998</v>
      </c>
      <c r="AK943" t="s">
        <v>734</v>
      </c>
      <c r="AL943">
        <v>-87.495352999999994</v>
      </c>
      <c r="AM943">
        <v>100</v>
      </c>
      <c r="AN943">
        <v>2800</v>
      </c>
      <c r="AO943" t="s">
        <v>118</v>
      </c>
      <c r="AP943">
        <v>-93</v>
      </c>
      <c r="AQ943">
        <v>-133</v>
      </c>
      <c r="AR943">
        <v>0</v>
      </c>
      <c r="AZ943">
        <v>4552</v>
      </c>
      <c r="BA943">
        <v>1</v>
      </c>
      <c r="BB943" t="str">
        <f t="shared" si="44"/>
        <v xml:space="preserve">N607SR  </v>
      </c>
      <c r="BC943">
        <v>1</v>
      </c>
      <c r="BE943">
        <v>0</v>
      </c>
      <c r="BF943">
        <v>0</v>
      </c>
      <c r="BG943">
        <v>0</v>
      </c>
      <c r="BH943">
        <v>2600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"06:14:47.287"</f>
        <v>06:14:47.287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6</v>
      </c>
      <c r="CP943" t="s">
        <v>119</v>
      </c>
      <c r="CQ943">
        <v>457</v>
      </c>
      <c r="CR943">
        <v>0</v>
      </c>
      <c r="CW943">
        <v>15514091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"08/29/2020 06:14:44.549"</f>
        <v>08/29/2020 06:14:44.549</v>
      </c>
      <c r="C944" t="str">
        <f t="shared" si="42"/>
        <v>FFDFD3C0</v>
      </c>
      <c r="D944" t="s">
        <v>121</v>
      </c>
      <c r="E944">
        <v>11</v>
      </c>
      <c r="F944">
        <v>1011</v>
      </c>
      <c r="G944" t="s">
        <v>125</v>
      </c>
      <c r="J944" t="s">
        <v>123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"06:14:47.789"</f>
        <v>06:14:47.789</v>
      </c>
      <c r="T944" t="str">
        <f>"06:14:47.289"</f>
        <v>06:14:47.289</v>
      </c>
      <c r="U944" t="str">
        <f t="shared" si="43"/>
        <v>A7E2E0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735</v>
      </c>
      <c r="AJ944">
        <v>39.078240000000001</v>
      </c>
      <c r="AK944" t="s">
        <v>736</v>
      </c>
      <c r="AL944">
        <v>-87.495654000000002</v>
      </c>
      <c r="AM944">
        <v>100</v>
      </c>
      <c r="AN944">
        <v>2800</v>
      </c>
      <c r="AO944" t="s">
        <v>118</v>
      </c>
      <c r="AP944">
        <v>-94</v>
      </c>
      <c r="AQ944">
        <v>-133</v>
      </c>
      <c r="AR944">
        <v>0</v>
      </c>
      <c r="AZ944">
        <v>4552</v>
      </c>
      <c r="BA944">
        <v>1</v>
      </c>
      <c r="BB944" t="str">
        <f t="shared" si="44"/>
        <v xml:space="preserve">N607SR  </v>
      </c>
      <c r="BC944">
        <v>1</v>
      </c>
      <c r="BE944">
        <v>0</v>
      </c>
      <c r="BF944">
        <v>0</v>
      </c>
      <c r="BG944">
        <v>0</v>
      </c>
      <c r="BH944">
        <v>2600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"06:14:47.791"</f>
        <v>06:14:47.791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457</v>
      </c>
      <c r="CR944">
        <v>0</v>
      </c>
      <c r="CW944">
        <v>15514108</v>
      </c>
      <c r="CY944">
        <v>1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"08/29/2020 06:14:44.549"</f>
        <v>08/29/2020 06:14:44.549</v>
      </c>
      <c r="C945" t="str">
        <f t="shared" si="42"/>
        <v>FFDFD3C0</v>
      </c>
      <c r="D945" t="s">
        <v>121</v>
      </c>
      <c r="E945">
        <v>13</v>
      </c>
      <c r="F945">
        <v>1013</v>
      </c>
      <c r="G945" t="s">
        <v>122</v>
      </c>
      <c r="J945" t="s">
        <v>123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"06:14:47.789"</f>
        <v>06:14:47.789</v>
      </c>
      <c r="T945" t="str">
        <f>"06:14:47.289"</f>
        <v>06:14:47.289</v>
      </c>
      <c r="U945" t="str">
        <f t="shared" si="43"/>
        <v>A7E2E0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735</v>
      </c>
      <c r="AJ945">
        <v>39.078240000000001</v>
      </c>
      <c r="AK945" t="s">
        <v>736</v>
      </c>
      <c r="AL945">
        <v>-87.495654000000002</v>
      </c>
      <c r="AM945">
        <v>100</v>
      </c>
      <c r="AN945">
        <v>2800</v>
      </c>
      <c r="AO945" t="s">
        <v>118</v>
      </c>
      <c r="AP945">
        <v>-94</v>
      </c>
      <c r="AQ945">
        <v>-133</v>
      </c>
      <c r="AR945">
        <v>0</v>
      </c>
      <c r="AZ945">
        <v>4552</v>
      </c>
      <c r="BA945">
        <v>1</v>
      </c>
      <c r="BB945" t="str">
        <f t="shared" si="44"/>
        <v xml:space="preserve">N607SR  </v>
      </c>
      <c r="BC945">
        <v>1</v>
      </c>
      <c r="BE945">
        <v>0</v>
      </c>
      <c r="BF945">
        <v>0</v>
      </c>
      <c r="BG945">
        <v>0</v>
      </c>
      <c r="BH945">
        <v>2600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"06:14:47.791"</f>
        <v>06:14:47.791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457</v>
      </c>
      <c r="CR945">
        <v>0</v>
      </c>
      <c r="CW945">
        <v>15514108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"08/29/2020 06:14:44.549"</f>
        <v>08/29/2020 06:14:44.549</v>
      </c>
      <c r="C946" t="str">
        <f t="shared" si="42"/>
        <v>FFDFD3C0</v>
      </c>
      <c r="D946" t="s">
        <v>121</v>
      </c>
      <c r="E946">
        <v>10</v>
      </c>
      <c r="F946">
        <v>1010</v>
      </c>
      <c r="G946" t="s">
        <v>114</v>
      </c>
      <c r="J946" t="s">
        <v>123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"06:14:47.789"</f>
        <v>06:14:47.789</v>
      </c>
      <c r="T946" t="str">
        <f>"06:14:47.289"</f>
        <v>06:14:47.289</v>
      </c>
      <c r="U946" t="str">
        <f t="shared" si="43"/>
        <v>A7E2E0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735</v>
      </c>
      <c r="AJ946">
        <v>39.078240000000001</v>
      </c>
      <c r="AK946" t="s">
        <v>736</v>
      </c>
      <c r="AL946">
        <v>-87.495654000000002</v>
      </c>
      <c r="AM946">
        <v>100</v>
      </c>
      <c r="AN946">
        <v>2800</v>
      </c>
      <c r="AO946" t="s">
        <v>118</v>
      </c>
      <c r="AP946">
        <v>-94</v>
      </c>
      <c r="AQ946">
        <v>-133</v>
      </c>
      <c r="AR946">
        <v>0</v>
      </c>
      <c r="AZ946">
        <v>4552</v>
      </c>
      <c r="BA946">
        <v>1</v>
      </c>
      <c r="BB946" t="str">
        <f t="shared" si="44"/>
        <v xml:space="preserve">N607SR  </v>
      </c>
      <c r="BC946">
        <v>1</v>
      </c>
      <c r="BE946">
        <v>0</v>
      </c>
      <c r="BF946">
        <v>0</v>
      </c>
      <c r="BG946">
        <v>0</v>
      </c>
      <c r="BH946">
        <v>2600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"06:14:47.791"</f>
        <v>06:14:47.791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457</v>
      </c>
      <c r="CR946">
        <v>0</v>
      </c>
      <c r="CW946">
        <v>15514108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"08/29/2020 06:14:45.105"</f>
        <v>08/29/2020 06:14:45.105</v>
      </c>
      <c r="C947" t="str">
        <f t="shared" si="42"/>
        <v>FFDFD3C0</v>
      </c>
      <c r="D947" t="s">
        <v>128</v>
      </c>
      <c r="E947">
        <v>5</v>
      </c>
      <c r="H947">
        <v>241</v>
      </c>
      <c r="I947" t="s">
        <v>129</v>
      </c>
      <c r="J947" t="s">
        <v>130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"06:14:48.305"</f>
        <v>06:14:48.305</v>
      </c>
      <c r="T947" t="str">
        <f>"06:14:47.805"</f>
        <v>06:14:47.805</v>
      </c>
      <c r="U947" t="str">
        <f t="shared" si="43"/>
        <v>A7E2E0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737</v>
      </c>
      <c r="AJ947">
        <v>39.077876000000003</v>
      </c>
      <c r="AK947" t="s">
        <v>738</v>
      </c>
      <c r="AL947">
        <v>-87.496018000000007</v>
      </c>
      <c r="AM947">
        <v>100</v>
      </c>
      <c r="AN947">
        <v>2800</v>
      </c>
      <c r="AO947" t="s">
        <v>118</v>
      </c>
      <c r="AP947">
        <v>-94</v>
      </c>
      <c r="AQ947">
        <v>-133</v>
      </c>
      <c r="AR947">
        <v>0</v>
      </c>
      <c r="AZ947">
        <v>4552</v>
      </c>
      <c r="BA947">
        <v>1</v>
      </c>
      <c r="BB947" t="str">
        <f t="shared" si="44"/>
        <v xml:space="preserve">N607SR  </v>
      </c>
      <c r="BC947">
        <v>1</v>
      </c>
      <c r="BE947">
        <v>0</v>
      </c>
      <c r="BF947">
        <v>0</v>
      </c>
      <c r="BG947">
        <v>0</v>
      </c>
      <c r="BH947">
        <v>2600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"06:14:48.306"</f>
        <v>06:14:48.306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457</v>
      </c>
      <c r="CR947">
        <v>0</v>
      </c>
      <c r="CW947">
        <v>15514123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"08/29/2020 06:14:45.105"</f>
        <v>08/29/2020 06:14:45.105</v>
      </c>
      <c r="C948" t="str">
        <f t="shared" si="42"/>
        <v>FFDFD3C0</v>
      </c>
      <c r="D948" t="s">
        <v>113</v>
      </c>
      <c r="E948">
        <v>5</v>
      </c>
      <c r="H948">
        <v>163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"06:14:48.305"</f>
        <v>06:14:48.305</v>
      </c>
      <c r="T948" t="str">
        <f>"06:14:47.805"</f>
        <v>06:14:47.805</v>
      </c>
      <c r="U948" t="str">
        <f t="shared" si="43"/>
        <v>A7E2E0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737</v>
      </c>
      <c r="AJ948">
        <v>39.077876000000003</v>
      </c>
      <c r="AK948" t="s">
        <v>738</v>
      </c>
      <c r="AL948">
        <v>-87.496018000000007</v>
      </c>
      <c r="AM948">
        <v>100</v>
      </c>
      <c r="AN948">
        <v>2800</v>
      </c>
      <c r="AO948" t="s">
        <v>118</v>
      </c>
      <c r="AP948">
        <v>-94</v>
      </c>
      <c r="AQ948">
        <v>-133</v>
      </c>
      <c r="AR948">
        <v>0</v>
      </c>
      <c r="AZ948">
        <v>4552</v>
      </c>
      <c r="BA948">
        <v>1</v>
      </c>
      <c r="BB948" t="str">
        <f t="shared" si="44"/>
        <v xml:space="preserve">N607SR  </v>
      </c>
      <c r="BC948">
        <v>1</v>
      </c>
      <c r="BE948">
        <v>0</v>
      </c>
      <c r="BF948">
        <v>0</v>
      </c>
      <c r="BG948">
        <v>0</v>
      </c>
      <c r="BH948">
        <v>2600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"06:14:48.306"</f>
        <v>06:14:48.306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457</v>
      </c>
      <c r="CR948">
        <v>0</v>
      </c>
      <c r="CW948">
        <v>15514123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"08/29/2020 06:14:45.716"</f>
        <v>08/29/2020 06:14:45.716</v>
      </c>
      <c r="C949" t="str">
        <f t="shared" si="42"/>
        <v>FFDFD3C0</v>
      </c>
      <c r="D949" t="s">
        <v>121</v>
      </c>
      <c r="E949">
        <v>13</v>
      </c>
      <c r="F949">
        <v>1013</v>
      </c>
      <c r="G949" t="s">
        <v>122</v>
      </c>
      <c r="J949" t="s">
        <v>123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"06:14:48.898"</f>
        <v>06:14:48.898</v>
      </c>
      <c r="U949" t="str">
        <f t="shared" si="43"/>
        <v>A7E2E0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739</v>
      </c>
      <c r="AJ949">
        <v>39.077489</v>
      </c>
      <c r="AK949" t="s">
        <v>740</v>
      </c>
      <c r="AL949">
        <v>-87.496319</v>
      </c>
      <c r="AM949">
        <v>100</v>
      </c>
      <c r="AN949">
        <v>2800</v>
      </c>
      <c r="AO949" t="s">
        <v>118</v>
      </c>
      <c r="AP949">
        <v>-95</v>
      </c>
      <c r="AQ949">
        <v>-133</v>
      </c>
      <c r="AR949">
        <v>0</v>
      </c>
      <c r="AZ949">
        <v>4552</v>
      </c>
      <c r="BA949">
        <v>1</v>
      </c>
      <c r="BB949" t="str">
        <f t="shared" si="44"/>
        <v xml:space="preserve">N607SR  </v>
      </c>
      <c r="BC949">
        <v>1</v>
      </c>
      <c r="BE949">
        <v>0</v>
      </c>
      <c r="BF949">
        <v>0</v>
      </c>
      <c r="BG949">
        <v>0</v>
      </c>
      <c r="BH949">
        <v>2600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"06:14:48.903"</f>
        <v>06:14:48.903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5</v>
      </c>
      <c r="CP949" t="s">
        <v>119</v>
      </c>
      <c r="CQ949">
        <v>465</v>
      </c>
      <c r="CR949">
        <v>0</v>
      </c>
      <c r="CW949">
        <v>4718003</v>
      </c>
      <c r="CY949">
        <v>1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"08/29/2020 06:14:45.716"</f>
        <v>08/29/2020 06:14:45.716</v>
      </c>
      <c r="C950" t="str">
        <f t="shared" si="42"/>
        <v>FFDFD3C0</v>
      </c>
      <c r="D950" t="s">
        <v>121</v>
      </c>
      <c r="E950">
        <v>10</v>
      </c>
      <c r="F950">
        <v>1010</v>
      </c>
      <c r="G950" t="s">
        <v>114</v>
      </c>
      <c r="J950" t="s">
        <v>123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"06:14:48.898"</f>
        <v>06:14:48.898</v>
      </c>
      <c r="U950" t="str">
        <f t="shared" si="43"/>
        <v>A7E2E0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739</v>
      </c>
      <c r="AJ950">
        <v>39.077489</v>
      </c>
      <c r="AK950" t="s">
        <v>740</v>
      </c>
      <c r="AL950">
        <v>-87.496319</v>
      </c>
      <c r="AM950">
        <v>100</v>
      </c>
      <c r="AN950">
        <v>2800</v>
      </c>
      <c r="AO950" t="s">
        <v>118</v>
      </c>
      <c r="AP950">
        <v>-95</v>
      </c>
      <c r="AQ950">
        <v>-133</v>
      </c>
      <c r="AR950">
        <v>0</v>
      </c>
      <c r="AZ950">
        <v>4552</v>
      </c>
      <c r="BA950">
        <v>1</v>
      </c>
      <c r="BB950" t="str">
        <f t="shared" si="44"/>
        <v xml:space="preserve">N607SR  </v>
      </c>
      <c r="BC950">
        <v>1</v>
      </c>
      <c r="BE950">
        <v>0</v>
      </c>
      <c r="BF950">
        <v>0</v>
      </c>
      <c r="BG950">
        <v>0</v>
      </c>
      <c r="BH950">
        <v>2600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"06:14:48.903"</f>
        <v>06:14:48.903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5</v>
      </c>
      <c r="CP950" t="s">
        <v>119</v>
      </c>
      <c r="CQ950">
        <v>465</v>
      </c>
      <c r="CR950">
        <v>0</v>
      </c>
      <c r="CW950">
        <v>4718003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"08/29/2020 06:14:45.716"</f>
        <v>08/29/2020 06:14:45.716</v>
      </c>
      <c r="C951" t="str">
        <f t="shared" si="42"/>
        <v>FFDFD3C0</v>
      </c>
      <c r="D951" t="s">
        <v>121</v>
      </c>
      <c r="E951">
        <v>11</v>
      </c>
      <c r="F951">
        <v>1011</v>
      </c>
      <c r="G951" t="s">
        <v>125</v>
      </c>
      <c r="J951" t="s">
        <v>123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"06:14:48.898"</f>
        <v>06:14:48.898</v>
      </c>
      <c r="U951" t="str">
        <f t="shared" si="43"/>
        <v>A7E2E0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739</v>
      </c>
      <c r="AJ951">
        <v>39.077489</v>
      </c>
      <c r="AK951" t="s">
        <v>740</v>
      </c>
      <c r="AL951">
        <v>-87.496319</v>
      </c>
      <c r="AM951">
        <v>100</v>
      </c>
      <c r="AN951">
        <v>2800</v>
      </c>
      <c r="AO951" t="s">
        <v>118</v>
      </c>
      <c r="AP951">
        <v>-95</v>
      </c>
      <c r="AQ951">
        <v>-133</v>
      </c>
      <c r="AR951">
        <v>0</v>
      </c>
      <c r="AZ951">
        <v>4552</v>
      </c>
      <c r="BA951">
        <v>1</v>
      </c>
      <c r="BB951" t="str">
        <f t="shared" si="44"/>
        <v xml:space="preserve">N607SR  </v>
      </c>
      <c r="BC951">
        <v>1</v>
      </c>
      <c r="BE951">
        <v>0</v>
      </c>
      <c r="BF951">
        <v>0</v>
      </c>
      <c r="BG951">
        <v>0</v>
      </c>
      <c r="BH951">
        <v>2600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"06:14:48.903"</f>
        <v>06:14:48.903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2</v>
      </c>
      <c r="CP951" t="s">
        <v>119</v>
      </c>
      <c r="CQ951">
        <v>528</v>
      </c>
      <c r="CR951">
        <v>1</v>
      </c>
      <c r="CW951">
        <v>13095158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"08/29/2020 06:14:46.069"</f>
        <v>08/29/2020 06:14:46.069</v>
      </c>
      <c r="C952" t="str">
        <f t="shared" si="42"/>
        <v>FFDFD3C0</v>
      </c>
      <c r="D952" t="s">
        <v>128</v>
      </c>
      <c r="E952">
        <v>5</v>
      </c>
      <c r="H952">
        <v>241</v>
      </c>
      <c r="I952" t="s">
        <v>129</v>
      </c>
      <c r="J952" t="s">
        <v>130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"06:14:49.305"</f>
        <v>06:14:49.305</v>
      </c>
      <c r="T952" t="str">
        <f>"06:14:48.905"</f>
        <v>06:14:48.905</v>
      </c>
      <c r="U952" t="str">
        <f t="shared" si="43"/>
        <v>A7E2E0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741</v>
      </c>
      <c r="AJ952">
        <v>39.077232000000002</v>
      </c>
      <c r="AK952" t="s">
        <v>742</v>
      </c>
      <c r="AL952">
        <v>-87.496555000000001</v>
      </c>
      <c r="AM952">
        <v>100</v>
      </c>
      <c r="AN952">
        <v>2800</v>
      </c>
      <c r="AO952" t="s">
        <v>118</v>
      </c>
      <c r="AP952">
        <v>-95</v>
      </c>
      <c r="AQ952">
        <v>-133</v>
      </c>
      <c r="AR952">
        <v>0</v>
      </c>
      <c r="AZ952">
        <v>4552</v>
      </c>
      <c r="BA952">
        <v>1</v>
      </c>
      <c r="BB952" t="str">
        <f t="shared" si="44"/>
        <v xml:space="preserve">N607SR  </v>
      </c>
      <c r="BC952">
        <v>1</v>
      </c>
      <c r="BE952">
        <v>0</v>
      </c>
      <c r="BF952">
        <v>0</v>
      </c>
      <c r="BG952">
        <v>0</v>
      </c>
      <c r="BH952">
        <v>2600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"06:14:49.305"</f>
        <v>06:14:49.305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457</v>
      </c>
      <c r="CR952">
        <v>0</v>
      </c>
      <c r="CW952">
        <v>15514158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"08/29/2020 06:14:46.069"</f>
        <v>08/29/2020 06:14:46.069</v>
      </c>
      <c r="C953" t="str">
        <f t="shared" si="42"/>
        <v>FFDFD3C0</v>
      </c>
      <c r="D953" t="s">
        <v>113</v>
      </c>
      <c r="E953">
        <v>5</v>
      </c>
      <c r="H953">
        <v>163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"06:14:49.305"</f>
        <v>06:14:49.305</v>
      </c>
      <c r="T953" t="str">
        <f>"06:14:48.905"</f>
        <v>06:14:48.905</v>
      </c>
      <c r="U953" t="str">
        <f t="shared" si="43"/>
        <v>A7E2E0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741</v>
      </c>
      <c r="AJ953">
        <v>39.077232000000002</v>
      </c>
      <c r="AK953" t="s">
        <v>742</v>
      </c>
      <c r="AL953">
        <v>-87.496555000000001</v>
      </c>
      <c r="AM953">
        <v>100</v>
      </c>
      <c r="AN953">
        <v>2800</v>
      </c>
      <c r="AO953" t="s">
        <v>118</v>
      </c>
      <c r="AP953">
        <v>-95</v>
      </c>
      <c r="AQ953">
        <v>-133</v>
      </c>
      <c r="AR953">
        <v>0</v>
      </c>
      <c r="AZ953">
        <v>4552</v>
      </c>
      <c r="BA953">
        <v>1</v>
      </c>
      <c r="BB953" t="str">
        <f t="shared" si="44"/>
        <v xml:space="preserve">N607SR  </v>
      </c>
      <c r="BC953">
        <v>1</v>
      </c>
      <c r="BE953">
        <v>0</v>
      </c>
      <c r="BF953">
        <v>0</v>
      </c>
      <c r="BG953">
        <v>0</v>
      </c>
      <c r="BH953">
        <v>2600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"06:14:49.305"</f>
        <v>06:14:49.305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457</v>
      </c>
      <c r="CR953">
        <v>0</v>
      </c>
      <c r="CW953">
        <v>15514158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"08/29/2020 06:14:46.527"</f>
        <v>08/29/2020 06:14:46.527</v>
      </c>
      <c r="C954" t="str">
        <f t="shared" si="42"/>
        <v>FFDFD3C0</v>
      </c>
      <c r="D954" t="s">
        <v>121</v>
      </c>
      <c r="E954">
        <v>13</v>
      </c>
      <c r="F954">
        <v>1013</v>
      </c>
      <c r="G954" t="s">
        <v>122</v>
      </c>
      <c r="J954" t="s">
        <v>123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"06:14:49.734"</f>
        <v>06:14:49.734</v>
      </c>
      <c r="T954" t="str">
        <f>"06:14:49.334"</f>
        <v>06:14:49.334</v>
      </c>
      <c r="U954" t="str">
        <f t="shared" si="43"/>
        <v>A7E2E0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743</v>
      </c>
      <c r="AJ954">
        <v>39.076996000000001</v>
      </c>
      <c r="AK954" t="s">
        <v>744</v>
      </c>
      <c r="AL954">
        <v>-87.496791000000002</v>
      </c>
      <c r="AM954">
        <v>100</v>
      </c>
      <c r="AN954">
        <v>2800</v>
      </c>
      <c r="AO954" t="s">
        <v>118</v>
      </c>
      <c r="AP954">
        <v>-95</v>
      </c>
      <c r="AQ954">
        <v>-133</v>
      </c>
      <c r="AR954">
        <v>0</v>
      </c>
      <c r="AZ954">
        <v>4552</v>
      </c>
      <c r="BA954">
        <v>1</v>
      </c>
      <c r="BB954" t="str">
        <f t="shared" si="44"/>
        <v xml:space="preserve">N607SR  </v>
      </c>
      <c r="BC954">
        <v>1</v>
      </c>
      <c r="BE954">
        <v>0</v>
      </c>
      <c r="BF954">
        <v>0</v>
      </c>
      <c r="BG954">
        <v>0</v>
      </c>
      <c r="BH954">
        <v>2600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"06:14:49.738"</f>
        <v>06:14:49.738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6</v>
      </c>
      <c r="CP954" t="s">
        <v>119</v>
      </c>
      <c r="CQ954">
        <v>457</v>
      </c>
      <c r="CR954">
        <v>0</v>
      </c>
      <c r="CW954">
        <v>15514167</v>
      </c>
      <c r="CY954">
        <v>1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"08/29/2020 06:14:46.527"</f>
        <v>08/29/2020 06:14:46.527</v>
      </c>
      <c r="C955" t="str">
        <f t="shared" si="42"/>
        <v>FFDFD3C0</v>
      </c>
      <c r="D955" t="s">
        <v>121</v>
      </c>
      <c r="E955">
        <v>10</v>
      </c>
      <c r="F955">
        <v>1010</v>
      </c>
      <c r="G955" t="s">
        <v>114</v>
      </c>
      <c r="J955" t="s">
        <v>123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"06:14:49.734"</f>
        <v>06:14:49.734</v>
      </c>
      <c r="T955" t="str">
        <f>"06:14:49.334"</f>
        <v>06:14:49.334</v>
      </c>
      <c r="U955" t="str">
        <f t="shared" si="43"/>
        <v>A7E2E0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743</v>
      </c>
      <c r="AJ955">
        <v>39.076996000000001</v>
      </c>
      <c r="AK955" t="s">
        <v>744</v>
      </c>
      <c r="AL955">
        <v>-87.496791000000002</v>
      </c>
      <c r="AM955">
        <v>100</v>
      </c>
      <c r="AN955">
        <v>2800</v>
      </c>
      <c r="AO955" t="s">
        <v>118</v>
      </c>
      <c r="AP955">
        <v>-95</v>
      </c>
      <c r="AQ955">
        <v>-133</v>
      </c>
      <c r="AR955">
        <v>0</v>
      </c>
      <c r="AZ955">
        <v>4552</v>
      </c>
      <c r="BA955">
        <v>1</v>
      </c>
      <c r="BB955" t="str">
        <f t="shared" si="44"/>
        <v xml:space="preserve">N607SR  </v>
      </c>
      <c r="BC955">
        <v>1</v>
      </c>
      <c r="BE955">
        <v>0</v>
      </c>
      <c r="BF955">
        <v>0</v>
      </c>
      <c r="BG955">
        <v>0</v>
      </c>
      <c r="BH955">
        <v>2600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"06:14:49.738"</f>
        <v>06:14:49.738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6</v>
      </c>
      <c r="CP955" t="s">
        <v>119</v>
      </c>
      <c r="CQ955">
        <v>457</v>
      </c>
      <c r="CR955">
        <v>0</v>
      </c>
      <c r="CW955">
        <v>15514167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"08/29/2020 06:14:46.527"</f>
        <v>08/29/2020 06:14:46.527</v>
      </c>
      <c r="C956" t="str">
        <f t="shared" si="42"/>
        <v>FFDFD3C0</v>
      </c>
      <c r="D956" t="s">
        <v>121</v>
      </c>
      <c r="E956">
        <v>11</v>
      </c>
      <c r="F956">
        <v>1011</v>
      </c>
      <c r="G956" t="s">
        <v>125</v>
      </c>
      <c r="J956" t="s">
        <v>123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"06:14:49.734"</f>
        <v>06:14:49.734</v>
      </c>
      <c r="T956" t="str">
        <f>"06:14:49.334"</f>
        <v>06:14:49.334</v>
      </c>
      <c r="U956" t="str">
        <f t="shared" si="43"/>
        <v>A7E2E0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743</v>
      </c>
      <c r="AJ956">
        <v>39.076996000000001</v>
      </c>
      <c r="AK956" t="s">
        <v>744</v>
      </c>
      <c r="AL956">
        <v>-87.496791000000002</v>
      </c>
      <c r="AM956">
        <v>100</v>
      </c>
      <c r="AN956">
        <v>2800</v>
      </c>
      <c r="AO956" t="s">
        <v>118</v>
      </c>
      <c r="AP956">
        <v>-95</v>
      </c>
      <c r="AQ956">
        <v>-133</v>
      </c>
      <c r="AR956">
        <v>0</v>
      </c>
      <c r="AZ956">
        <v>4552</v>
      </c>
      <c r="BA956">
        <v>1</v>
      </c>
      <c r="BB956" t="str">
        <f t="shared" si="44"/>
        <v xml:space="preserve">N607SR  </v>
      </c>
      <c r="BC956">
        <v>1</v>
      </c>
      <c r="BE956">
        <v>0</v>
      </c>
      <c r="BF956">
        <v>0</v>
      </c>
      <c r="BG956">
        <v>0</v>
      </c>
      <c r="BH956">
        <v>2600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"06:14:49.738"</f>
        <v>06:14:49.738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6</v>
      </c>
      <c r="CP956" t="s">
        <v>119</v>
      </c>
      <c r="CQ956">
        <v>457</v>
      </c>
      <c r="CR956">
        <v>0</v>
      </c>
      <c r="CW956">
        <v>15514167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"08/29/2020 06:14:47.032"</f>
        <v>08/29/2020 06:14:47.032</v>
      </c>
      <c r="C957" t="str">
        <f t="shared" si="42"/>
        <v>FFDFD3C0</v>
      </c>
      <c r="D957" t="s">
        <v>128</v>
      </c>
      <c r="E957">
        <v>5</v>
      </c>
      <c r="H957">
        <v>241</v>
      </c>
      <c r="I957" t="s">
        <v>129</v>
      </c>
      <c r="J957" t="s">
        <v>130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"06:14:50.242"</f>
        <v>06:14:50.242</v>
      </c>
      <c r="T957" t="str">
        <f>"06:14:49.742"</f>
        <v>06:14:49.742</v>
      </c>
      <c r="U957" t="str">
        <f t="shared" si="43"/>
        <v>A7E2E0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745</v>
      </c>
      <c r="AJ957">
        <v>39.076695000000001</v>
      </c>
      <c r="AK957" t="s">
        <v>746</v>
      </c>
      <c r="AL957">
        <v>-87.497069999999994</v>
      </c>
      <c r="AM957">
        <v>100</v>
      </c>
      <c r="AN957">
        <v>2800</v>
      </c>
      <c r="AO957" t="s">
        <v>118</v>
      </c>
      <c r="AP957">
        <v>-95</v>
      </c>
      <c r="AQ957">
        <v>-133</v>
      </c>
      <c r="AR957">
        <v>0</v>
      </c>
      <c r="AZ957">
        <v>4552</v>
      </c>
      <c r="BA957">
        <v>1</v>
      </c>
      <c r="BB957" t="str">
        <f t="shared" si="44"/>
        <v xml:space="preserve">N607SR  </v>
      </c>
      <c r="BC957">
        <v>1</v>
      </c>
      <c r="BE957">
        <v>0</v>
      </c>
      <c r="BF957">
        <v>0</v>
      </c>
      <c r="BG957">
        <v>0</v>
      </c>
      <c r="BH957">
        <v>2600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"06:14:50.244"</f>
        <v>06:14:50.244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457</v>
      </c>
      <c r="CR957">
        <v>0</v>
      </c>
      <c r="CW957">
        <v>15514183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"08/29/2020 06:14:47.032"</f>
        <v>08/29/2020 06:14:47.032</v>
      </c>
      <c r="C958" t="str">
        <f t="shared" si="42"/>
        <v>FFDFD3C0</v>
      </c>
      <c r="D958" t="s">
        <v>113</v>
      </c>
      <c r="E958">
        <v>5</v>
      </c>
      <c r="H958">
        <v>163</v>
      </c>
      <c r="I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"06:14:50.242"</f>
        <v>06:14:50.242</v>
      </c>
      <c r="T958" t="str">
        <f>"06:14:49.742"</f>
        <v>06:14:49.742</v>
      </c>
      <c r="U958" t="str">
        <f t="shared" si="43"/>
        <v>A7E2E0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745</v>
      </c>
      <c r="AJ958">
        <v>39.076695000000001</v>
      </c>
      <c r="AK958" t="s">
        <v>746</v>
      </c>
      <c r="AL958">
        <v>-87.497069999999994</v>
      </c>
      <c r="AM958">
        <v>100</v>
      </c>
      <c r="AN958">
        <v>2800</v>
      </c>
      <c r="AO958" t="s">
        <v>118</v>
      </c>
      <c r="AP958">
        <v>-95</v>
      </c>
      <c r="AQ958">
        <v>-133</v>
      </c>
      <c r="AR958">
        <v>0</v>
      </c>
      <c r="AZ958">
        <v>4552</v>
      </c>
      <c r="BA958">
        <v>1</v>
      </c>
      <c r="BB958" t="str">
        <f t="shared" si="44"/>
        <v xml:space="preserve">N607SR  </v>
      </c>
      <c r="BC958">
        <v>1</v>
      </c>
      <c r="BE958">
        <v>0</v>
      </c>
      <c r="BF958">
        <v>0</v>
      </c>
      <c r="BG958">
        <v>0</v>
      </c>
      <c r="BH958">
        <v>2600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"06:14:50.244"</f>
        <v>06:14:50.244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457</v>
      </c>
      <c r="CR958">
        <v>0</v>
      </c>
      <c r="CW958">
        <v>15514183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"08/29/2020 06:14:47.495"</f>
        <v>08/29/2020 06:14:47.495</v>
      </c>
      <c r="C959" t="str">
        <f t="shared" si="42"/>
        <v>FFDFD3C0</v>
      </c>
      <c r="D959" t="s">
        <v>121</v>
      </c>
      <c r="E959">
        <v>11</v>
      </c>
      <c r="F959">
        <v>1011</v>
      </c>
      <c r="G959" t="s">
        <v>125</v>
      </c>
      <c r="J959" t="s">
        <v>123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"06:14:50.711"</f>
        <v>06:14:50.711</v>
      </c>
      <c r="T959" t="str">
        <f>"06:14:50.311"</f>
        <v>06:14:50.311</v>
      </c>
      <c r="U959" t="str">
        <f t="shared" si="43"/>
        <v>A7E2E0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747</v>
      </c>
      <c r="AJ959">
        <v>39.076394999999998</v>
      </c>
      <c r="AK959" t="s">
        <v>748</v>
      </c>
      <c r="AL959">
        <v>-87.497392000000005</v>
      </c>
      <c r="AM959">
        <v>100</v>
      </c>
      <c r="AN959">
        <v>2800</v>
      </c>
      <c r="AO959" t="s">
        <v>118</v>
      </c>
      <c r="AP959">
        <v>-96</v>
      </c>
      <c r="AQ959">
        <v>-133</v>
      </c>
      <c r="AR959">
        <v>0</v>
      </c>
      <c r="AZ959">
        <v>4552</v>
      </c>
      <c r="BA959">
        <v>1</v>
      </c>
      <c r="BB959" t="str">
        <f t="shared" si="44"/>
        <v xml:space="preserve">N607SR  </v>
      </c>
      <c r="BC959">
        <v>1</v>
      </c>
      <c r="BE959">
        <v>0</v>
      </c>
      <c r="BF959">
        <v>0</v>
      </c>
      <c r="BG959">
        <v>0</v>
      </c>
      <c r="BH959">
        <v>2600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"06:14:50.713"</f>
        <v>06:14:50.713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6</v>
      </c>
      <c r="CP959" t="s">
        <v>119</v>
      </c>
      <c r="CQ959">
        <v>177</v>
      </c>
      <c r="CR959">
        <v>2</v>
      </c>
      <c r="CW959">
        <v>1630243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"08/29/2020 06:14:47.495"</f>
        <v>08/29/2020 06:14:47.495</v>
      </c>
      <c r="C960" t="str">
        <f t="shared" si="42"/>
        <v>FFDFD3C0</v>
      </c>
      <c r="D960" t="s">
        <v>121</v>
      </c>
      <c r="E960">
        <v>10</v>
      </c>
      <c r="F960">
        <v>1010</v>
      </c>
      <c r="G960" t="s">
        <v>114</v>
      </c>
      <c r="J960" t="s">
        <v>123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"06:14:50.711"</f>
        <v>06:14:50.711</v>
      </c>
      <c r="T960" t="str">
        <f>"06:14:50.311"</f>
        <v>06:14:50.311</v>
      </c>
      <c r="U960" t="str">
        <f t="shared" si="43"/>
        <v>A7E2E0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747</v>
      </c>
      <c r="AJ960">
        <v>39.076394999999998</v>
      </c>
      <c r="AK960" t="s">
        <v>748</v>
      </c>
      <c r="AL960">
        <v>-87.497392000000005</v>
      </c>
      <c r="AM960">
        <v>100</v>
      </c>
      <c r="AN960">
        <v>2800</v>
      </c>
      <c r="AO960" t="s">
        <v>118</v>
      </c>
      <c r="AP960">
        <v>-96</v>
      </c>
      <c r="AQ960">
        <v>-133</v>
      </c>
      <c r="AR960">
        <v>0</v>
      </c>
      <c r="AZ960">
        <v>4552</v>
      </c>
      <c r="BA960">
        <v>1</v>
      </c>
      <c r="BB960" t="str">
        <f t="shared" si="44"/>
        <v xml:space="preserve">N607SR  </v>
      </c>
      <c r="BC960">
        <v>1</v>
      </c>
      <c r="BE960">
        <v>0</v>
      </c>
      <c r="BF960">
        <v>0</v>
      </c>
      <c r="BG960">
        <v>0</v>
      </c>
      <c r="BH960">
        <v>2600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"06:14:50.713"</f>
        <v>06:14:50.713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6</v>
      </c>
      <c r="CP960" t="s">
        <v>119</v>
      </c>
      <c r="CQ960">
        <v>177</v>
      </c>
      <c r="CR960">
        <v>2</v>
      </c>
      <c r="CW960">
        <v>1630243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"08/29/2020 06:14:47.495"</f>
        <v>08/29/2020 06:14:47.495</v>
      </c>
      <c r="C961" t="str">
        <f t="shared" si="42"/>
        <v>FFDFD3C0</v>
      </c>
      <c r="D961" t="s">
        <v>121</v>
      </c>
      <c r="E961">
        <v>13</v>
      </c>
      <c r="F961">
        <v>1013</v>
      </c>
      <c r="G961" t="s">
        <v>122</v>
      </c>
      <c r="J961" t="s">
        <v>123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"06:14:50.711"</f>
        <v>06:14:50.711</v>
      </c>
      <c r="T961" t="str">
        <f>"06:14:50.311"</f>
        <v>06:14:50.311</v>
      </c>
      <c r="U961" t="str">
        <f t="shared" si="43"/>
        <v>A7E2E0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747</v>
      </c>
      <c r="AJ961">
        <v>39.076394999999998</v>
      </c>
      <c r="AK961" t="s">
        <v>748</v>
      </c>
      <c r="AL961">
        <v>-87.497392000000005</v>
      </c>
      <c r="AM961">
        <v>100</v>
      </c>
      <c r="AN961">
        <v>2800</v>
      </c>
      <c r="AO961" t="s">
        <v>118</v>
      </c>
      <c r="AP961">
        <v>-96</v>
      </c>
      <c r="AQ961">
        <v>-133</v>
      </c>
      <c r="AR961">
        <v>0</v>
      </c>
      <c r="AZ961">
        <v>4552</v>
      </c>
      <c r="BA961">
        <v>1</v>
      </c>
      <c r="BB961" t="str">
        <f t="shared" si="44"/>
        <v xml:space="preserve">N607SR  </v>
      </c>
      <c r="BC961">
        <v>1</v>
      </c>
      <c r="BE961">
        <v>0</v>
      </c>
      <c r="BF961">
        <v>0</v>
      </c>
      <c r="BG961">
        <v>0</v>
      </c>
      <c r="BH961">
        <v>2600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"06:14:50.713"</f>
        <v>06:14:50.713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6</v>
      </c>
      <c r="CP961" t="s">
        <v>119</v>
      </c>
      <c r="CQ961">
        <v>177</v>
      </c>
      <c r="CR961">
        <v>2</v>
      </c>
      <c r="CW961">
        <v>1630243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"08/29/2020 06:14:48.098"</f>
        <v>08/29/2020 06:14:48.098</v>
      </c>
      <c r="C962" t="str">
        <f t="shared" ref="C962:C1025" si="45">"FFDFD3C0"</f>
        <v>FFDFD3C0</v>
      </c>
      <c r="D962" t="s">
        <v>128</v>
      </c>
      <c r="E962">
        <v>5</v>
      </c>
      <c r="H962">
        <v>241</v>
      </c>
      <c r="I962" t="s">
        <v>129</v>
      </c>
      <c r="J962" t="s">
        <v>130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"06:14:51.297"</f>
        <v>06:14:51.297</v>
      </c>
      <c r="U962" t="str">
        <f t="shared" ref="U962:U1025" si="46">"A7E2E0"</f>
        <v>A7E2E0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0</v>
      </c>
      <c r="AI962" t="s">
        <v>749</v>
      </c>
      <c r="AJ962">
        <v>39.076095000000002</v>
      </c>
      <c r="AK962" t="s">
        <v>750</v>
      </c>
      <c r="AL962">
        <v>-87.497628000000006</v>
      </c>
      <c r="AM962">
        <v>100</v>
      </c>
      <c r="AN962">
        <v>2800</v>
      </c>
      <c r="AO962" t="s">
        <v>118</v>
      </c>
      <c r="AP962">
        <v>-96</v>
      </c>
      <c r="AQ962">
        <v>-133</v>
      </c>
      <c r="AR962">
        <v>0</v>
      </c>
      <c r="AZ962">
        <v>4552</v>
      </c>
      <c r="BA962">
        <v>1</v>
      </c>
      <c r="BB962" t="str">
        <f t="shared" ref="BB962:BB1025" si="47">"N607SR  "</f>
        <v xml:space="preserve">N607SR  </v>
      </c>
      <c r="BC962">
        <v>1</v>
      </c>
      <c r="BE962">
        <v>0</v>
      </c>
      <c r="BF962">
        <v>0</v>
      </c>
      <c r="BG962">
        <v>0</v>
      </c>
      <c r="BH962">
        <v>2600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"06:14:51.298"</f>
        <v>06:14:51.298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3</v>
      </c>
      <c r="CP962" t="s">
        <v>119</v>
      </c>
      <c r="CQ962">
        <v>465</v>
      </c>
      <c r="CR962">
        <v>1</v>
      </c>
      <c r="CW962">
        <v>4718079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"08/29/2020 06:14:48.098"</f>
        <v>08/29/2020 06:14:48.098</v>
      </c>
      <c r="C963" t="str">
        <f t="shared" si="45"/>
        <v>FFDFD3C0</v>
      </c>
      <c r="D963" t="s">
        <v>113</v>
      </c>
      <c r="E963">
        <v>5</v>
      </c>
      <c r="H963">
        <v>163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"06:14:51.297"</f>
        <v>06:14:51.297</v>
      </c>
      <c r="U963" t="str">
        <f t="shared" si="46"/>
        <v>A7E2E0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0</v>
      </c>
      <c r="AI963" t="s">
        <v>749</v>
      </c>
      <c r="AJ963">
        <v>39.076095000000002</v>
      </c>
      <c r="AK963" t="s">
        <v>750</v>
      </c>
      <c r="AL963">
        <v>-87.497628000000006</v>
      </c>
      <c r="AM963">
        <v>100</v>
      </c>
      <c r="AN963">
        <v>2800</v>
      </c>
      <c r="AO963" t="s">
        <v>118</v>
      </c>
      <c r="AP963">
        <v>-96</v>
      </c>
      <c r="AQ963">
        <v>-133</v>
      </c>
      <c r="AR963">
        <v>0</v>
      </c>
      <c r="AZ963">
        <v>4552</v>
      </c>
      <c r="BA963">
        <v>1</v>
      </c>
      <c r="BB963" t="str">
        <f t="shared" si="47"/>
        <v xml:space="preserve">N607SR  </v>
      </c>
      <c r="BC963">
        <v>1</v>
      </c>
      <c r="BE963">
        <v>0</v>
      </c>
      <c r="BF963">
        <v>0</v>
      </c>
      <c r="BG963">
        <v>0</v>
      </c>
      <c r="BH963">
        <v>2600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"06:14:51.298"</f>
        <v>06:14:51.298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3</v>
      </c>
      <c r="CP963" t="s">
        <v>119</v>
      </c>
      <c r="CQ963">
        <v>465</v>
      </c>
      <c r="CR963">
        <v>1</v>
      </c>
      <c r="CW963">
        <v>4718079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"08/29/2020 06:14:48.652"</f>
        <v>08/29/2020 06:14:48.652</v>
      </c>
      <c r="C964" t="str">
        <f t="shared" si="45"/>
        <v>FFDFD3C0</v>
      </c>
      <c r="D964" t="s">
        <v>121</v>
      </c>
      <c r="E964">
        <v>10</v>
      </c>
      <c r="F964">
        <v>1010</v>
      </c>
      <c r="G964" t="s">
        <v>114</v>
      </c>
      <c r="J964" t="s">
        <v>123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"06:14:51.867"</f>
        <v>06:14:51.867</v>
      </c>
      <c r="T964" t="str">
        <f>"06:14:51.367"</f>
        <v>06:14:51.367</v>
      </c>
      <c r="U964" t="str">
        <f t="shared" si="46"/>
        <v>A7E2E0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0</v>
      </c>
      <c r="AI964" t="s">
        <v>751</v>
      </c>
      <c r="AJ964">
        <v>39.075707999999999</v>
      </c>
      <c r="AK964" t="s">
        <v>752</v>
      </c>
      <c r="AL964">
        <v>-87.497992999999994</v>
      </c>
      <c r="AM964">
        <v>100</v>
      </c>
      <c r="AN964">
        <v>2800</v>
      </c>
      <c r="AO964" t="s">
        <v>118</v>
      </c>
      <c r="AP964">
        <v>-96</v>
      </c>
      <c r="AQ964">
        <v>-133</v>
      </c>
      <c r="AR964">
        <v>0</v>
      </c>
      <c r="AZ964">
        <v>4552</v>
      </c>
      <c r="BA964">
        <v>1</v>
      </c>
      <c r="BB964" t="str">
        <f t="shared" si="47"/>
        <v xml:space="preserve">N607SR  </v>
      </c>
      <c r="BC964">
        <v>1</v>
      </c>
      <c r="BE964">
        <v>0</v>
      </c>
      <c r="BF964">
        <v>0</v>
      </c>
      <c r="BG964">
        <v>0</v>
      </c>
      <c r="BH964">
        <v>2600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"06:14:51.874"</f>
        <v>06:14:51.874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6</v>
      </c>
      <c r="CP964" t="s">
        <v>119</v>
      </c>
      <c r="CQ964">
        <v>457</v>
      </c>
      <c r="CR964">
        <v>0</v>
      </c>
      <c r="CW964">
        <v>15514231</v>
      </c>
      <c r="CY964">
        <v>1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"08/29/2020 06:14:48.652"</f>
        <v>08/29/2020 06:14:48.652</v>
      </c>
      <c r="C965" t="str">
        <f t="shared" si="45"/>
        <v>FFDFD3C0</v>
      </c>
      <c r="D965" t="s">
        <v>121</v>
      </c>
      <c r="E965">
        <v>13</v>
      </c>
      <c r="F965">
        <v>1013</v>
      </c>
      <c r="G965" t="s">
        <v>122</v>
      </c>
      <c r="J965" t="s">
        <v>123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"06:14:51.867"</f>
        <v>06:14:51.867</v>
      </c>
      <c r="T965" t="str">
        <f>"06:14:51.367"</f>
        <v>06:14:51.367</v>
      </c>
      <c r="U965" t="str">
        <f t="shared" si="46"/>
        <v>A7E2E0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0</v>
      </c>
      <c r="AI965" t="s">
        <v>751</v>
      </c>
      <c r="AJ965">
        <v>39.075707999999999</v>
      </c>
      <c r="AK965" t="s">
        <v>752</v>
      </c>
      <c r="AL965">
        <v>-87.497992999999994</v>
      </c>
      <c r="AM965">
        <v>100</v>
      </c>
      <c r="AN965">
        <v>2800</v>
      </c>
      <c r="AO965" t="s">
        <v>118</v>
      </c>
      <c r="AP965">
        <v>-96</v>
      </c>
      <c r="AQ965">
        <v>-133</v>
      </c>
      <c r="AR965">
        <v>0</v>
      </c>
      <c r="AZ965">
        <v>4552</v>
      </c>
      <c r="BA965">
        <v>1</v>
      </c>
      <c r="BB965" t="str">
        <f t="shared" si="47"/>
        <v xml:space="preserve">N607SR  </v>
      </c>
      <c r="BC965">
        <v>1</v>
      </c>
      <c r="BE965">
        <v>0</v>
      </c>
      <c r="BF965">
        <v>0</v>
      </c>
      <c r="BG965">
        <v>0</v>
      </c>
      <c r="BH965">
        <v>2600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"06:14:51.874"</f>
        <v>06:14:51.874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6</v>
      </c>
      <c r="CP965" t="s">
        <v>119</v>
      </c>
      <c r="CQ965">
        <v>457</v>
      </c>
      <c r="CR965">
        <v>0</v>
      </c>
      <c r="CW965">
        <v>15514231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"08/29/2020 06:14:48.652"</f>
        <v>08/29/2020 06:14:48.652</v>
      </c>
      <c r="C966" t="str">
        <f t="shared" si="45"/>
        <v>FFDFD3C0</v>
      </c>
      <c r="D966" t="s">
        <v>121</v>
      </c>
      <c r="E966">
        <v>11</v>
      </c>
      <c r="F966">
        <v>1011</v>
      </c>
      <c r="G966" t="s">
        <v>125</v>
      </c>
      <c r="J966" t="s">
        <v>123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"06:14:51.867"</f>
        <v>06:14:51.867</v>
      </c>
      <c r="T966" t="str">
        <f>"06:14:51.367"</f>
        <v>06:14:51.367</v>
      </c>
      <c r="U966" t="str">
        <f t="shared" si="46"/>
        <v>A7E2E0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0</v>
      </c>
      <c r="AI966" t="s">
        <v>751</v>
      </c>
      <c r="AJ966">
        <v>39.075707999999999</v>
      </c>
      <c r="AK966" t="s">
        <v>752</v>
      </c>
      <c r="AL966">
        <v>-87.497992999999994</v>
      </c>
      <c r="AM966">
        <v>100</v>
      </c>
      <c r="AN966">
        <v>2800</v>
      </c>
      <c r="AO966" t="s">
        <v>118</v>
      </c>
      <c r="AP966">
        <v>-96</v>
      </c>
      <c r="AQ966">
        <v>-133</v>
      </c>
      <c r="AR966">
        <v>0</v>
      </c>
      <c r="AZ966">
        <v>4552</v>
      </c>
      <c r="BA966">
        <v>1</v>
      </c>
      <c r="BB966" t="str">
        <f t="shared" si="47"/>
        <v xml:space="preserve">N607SR  </v>
      </c>
      <c r="BC966">
        <v>1</v>
      </c>
      <c r="BE966">
        <v>0</v>
      </c>
      <c r="BF966">
        <v>0</v>
      </c>
      <c r="BG966">
        <v>0</v>
      </c>
      <c r="BH966">
        <v>2600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"06:14:51.874"</f>
        <v>06:14:51.874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6</v>
      </c>
      <c r="CP966" t="s">
        <v>119</v>
      </c>
      <c r="CQ966">
        <v>457</v>
      </c>
      <c r="CR966">
        <v>0</v>
      </c>
      <c r="CW966">
        <v>15514231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"08/29/2020 06:14:49.062"</f>
        <v>08/29/2020 06:14:49.062</v>
      </c>
      <c r="C967" t="str">
        <f t="shared" si="45"/>
        <v>FFDFD3C0</v>
      </c>
      <c r="D967" t="s">
        <v>113</v>
      </c>
      <c r="E967">
        <v>5</v>
      </c>
      <c r="H967">
        <v>163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"06:14:52.281"</f>
        <v>06:14:52.281</v>
      </c>
      <c r="T967" t="str">
        <f>"06:14:51.881"</f>
        <v>06:14:51.881</v>
      </c>
      <c r="U967" t="str">
        <f t="shared" si="46"/>
        <v>A7E2E0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0</v>
      </c>
      <c r="AI967" t="s">
        <v>753</v>
      </c>
      <c r="AJ967">
        <v>39.075471999999998</v>
      </c>
      <c r="AK967" t="s">
        <v>754</v>
      </c>
      <c r="AL967">
        <v>-87.498228999999995</v>
      </c>
      <c r="AM967">
        <v>100</v>
      </c>
      <c r="AN967">
        <v>2800</v>
      </c>
      <c r="AO967" t="s">
        <v>118</v>
      </c>
      <c r="AP967">
        <v>-96</v>
      </c>
      <c r="AQ967">
        <v>-133</v>
      </c>
      <c r="AR967">
        <v>0</v>
      </c>
      <c r="AZ967">
        <v>4552</v>
      </c>
      <c r="BA967">
        <v>1</v>
      </c>
      <c r="BB967" t="str">
        <f t="shared" si="47"/>
        <v xml:space="preserve">N607SR  </v>
      </c>
      <c r="BC967">
        <v>1</v>
      </c>
      <c r="BE967">
        <v>0</v>
      </c>
      <c r="BF967">
        <v>0</v>
      </c>
      <c r="BG967">
        <v>0</v>
      </c>
      <c r="BH967">
        <v>2600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"06:14:52.289"</f>
        <v>06:14:52.289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457</v>
      </c>
      <c r="CR967">
        <v>0</v>
      </c>
      <c r="CW967">
        <v>15514245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"08/29/2020 06:14:49.062"</f>
        <v>08/29/2020 06:14:49.062</v>
      </c>
      <c r="C968" t="str">
        <f t="shared" si="45"/>
        <v>FFDFD3C0</v>
      </c>
      <c r="D968" t="s">
        <v>128</v>
      </c>
      <c r="E968">
        <v>5</v>
      </c>
      <c r="H968">
        <v>241</v>
      </c>
      <c r="I968" t="s">
        <v>129</v>
      </c>
      <c r="J968" t="s">
        <v>130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"06:14:52.281"</f>
        <v>06:14:52.281</v>
      </c>
      <c r="T968" t="str">
        <f>"06:14:51.881"</f>
        <v>06:14:51.881</v>
      </c>
      <c r="U968" t="str">
        <f t="shared" si="46"/>
        <v>A7E2E0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0</v>
      </c>
      <c r="AI968" t="s">
        <v>753</v>
      </c>
      <c r="AJ968">
        <v>39.075471999999998</v>
      </c>
      <c r="AK968" t="s">
        <v>754</v>
      </c>
      <c r="AL968">
        <v>-87.498228999999995</v>
      </c>
      <c r="AM968">
        <v>100</v>
      </c>
      <c r="AN968">
        <v>2800</v>
      </c>
      <c r="AO968" t="s">
        <v>118</v>
      </c>
      <c r="AP968">
        <v>-96</v>
      </c>
      <c r="AQ968">
        <v>-133</v>
      </c>
      <c r="AR968">
        <v>0</v>
      </c>
      <c r="AZ968">
        <v>4552</v>
      </c>
      <c r="BA968">
        <v>1</v>
      </c>
      <c r="BB968" t="str">
        <f t="shared" si="47"/>
        <v xml:space="preserve">N607SR  </v>
      </c>
      <c r="BC968">
        <v>1</v>
      </c>
      <c r="BE968">
        <v>0</v>
      </c>
      <c r="BF968">
        <v>0</v>
      </c>
      <c r="BG968">
        <v>0</v>
      </c>
      <c r="BH968">
        <v>2600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"06:14:52.289"</f>
        <v>06:14:52.289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457</v>
      </c>
      <c r="CR968">
        <v>0</v>
      </c>
      <c r="CW968">
        <v>15514245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"08/29/2020 06:14:49.613"</f>
        <v>08/29/2020 06:14:49.613</v>
      </c>
      <c r="C969" t="str">
        <f t="shared" si="45"/>
        <v>FFDFD3C0</v>
      </c>
      <c r="D969" t="s">
        <v>121</v>
      </c>
      <c r="E969">
        <v>10</v>
      </c>
      <c r="F969">
        <v>1010</v>
      </c>
      <c r="G969" t="s">
        <v>114</v>
      </c>
      <c r="J969" t="s">
        <v>123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"06:14:52.836"</f>
        <v>06:14:52.836</v>
      </c>
      <c r="T969" t="str">
        <f>"06:14:52.336"</f>
        <v>06:14:52.336</v>
      </c>
      <c r="U969" t="str">
        <f t="shared" si="46"/>
        <v>A7E2E0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0</v>
      </c>
      <c r="AI969" t="s">
        <v>755</v>
      </c>
      <c r="AJ969">
        <v>39.075108</v>
      </c>
      <c r="AK969" t="s">
        <v>756</v>
      </c>
      <c r="AL969">
        <v>-87.498529000000005</v>
      </c>
      <c r="AM969">
        <v>100</v>
      </c>
      <c r="AN969">
        <v>2800</v>
      </c>
      <c r="AO969" t="s">
        <v>118</v>
      </c>
      <c r="AP969">
        <v>-97</v>
      </c>
      <c r="AQ969">
        <v>-133</v>
      </c>
      <c r="AR969">
        <v>0</v>
      </c>
      <c r="AZ969">
        <v>4552</v>
      </c>
      <c r="BA969">
        <v>1</v>
      </c>
      <c r="BB969" t="str">
        <f t="shared" si="47"/>
        <v xml:space="preserve">N607SR  </v>
      </c>
      <c r="BC969">
        <v>1</v>
      </c>
      <c r="BE969">
        <v>0</v>
      </c>
      <c r="BF969">
        <v>0</v>
      </c>
      <c r="BG969">
        <v>0</v>
      </c>
      <c r="BH969">
        <v>2600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"06:14:52.840"</f>
        <v>06:14:52.840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457</v>
      </c>
      <c r="CR969">
        <v>0</v>
      </c>
      <c r="CW969">
        <v>15514261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"08/29/2020 06:14:49.613"</f>
        <v>08/29/2020 06:14:49.613</v>
      </c>
      <c r="C970" t="str">
        <f t="shared" si="45"/>
        <v>FFDFD3C0</v>
      </c>
      <c r="D970" t="s">
        <v>121</v>
      </c>
      <c r="E970">
        <v>13</v>
      </c>
      <c r="F970">
        <v>1013</v>
      </c>
      <c r="G970" t="s">
        <v>122</v>
      </c>
      <c r="J970" t="s">
        <v>123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"06:14:52.836"</f>
        <v>06:14:52.836</v>
      </c>
      <c r="T970" t="str">
        <f>"06:14:52.336"</f>
        <v>06:14:52.336</v>
      </c>
      <c r="U970" t="str">
        <f t="shared" si="46"/>
        <v>A7E2E0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0</v>
      </c>
      <c r="AI970" t="s">
        <v>755</v>
      </c>
      <c r="AJ970">
        <v>39.075108</v>
      </c>
      <c r="AK970" t="s">
        <v>756</v>
      </c>
      <c r="AL970">
        <v>-87.498529000000005</v>
      </c>
      <c r="AM970">
        <v>100</v>
      </c>
      <c r="AN970">
        <v>2800</v>
      </c>
      <c r="AO970" t="s">
        <v>118</v>
      </c>
      <c r="AP970">
        <v>-97</v>
      </c>
      <c r="AQ970">
        <v>-133</v>
      </c>
      <c r="AR970">
        <v>0</v>
      </c>
      <c r="AZ970">
        <v>4552</v>
      </c>
      <c r="BA970">
        <v>1</v>
      </c>
      <c r="BB970" t="str">
        <f t="shared" si="47"/>
        <v xml:space="preserve">N607SR  </v>
      </c>
      <c r="BC970">
        <v>1</v>
      </c>
      <c r="BE970">
        <v>0</v>
      </c>
      <c r="BF970">
        <v>0</v>
      </c>
      <c r="BG970">
        <v>0</v>
      </c>
      <c r="BH970">
        <v>2600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"06:14:52.840"</f>
        <v>06:14:52.840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457</v>
      </c>
      <c r="CR970">
        <v>0</v>
      </c>
      <c r="CW970">
        <v>15514261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"08/29/2020 06:14:49.613"</f>
        <v>08/29/2020 06:14:49.613</v>
      </c>
      <c r="C971" t="str">
        <f t="shared" si="45"/>
        <v>FFDFD3C0</v>
      </c>
      <c r="D971" t="s">
        <v>121</v>
      </c>
      <c r="E971">
        <v>11</v>
      </c>
      <c r="F971">
        <v>1011</v>
      </c>
      <c r="G971" t="s">
        <v>125</v>
      </c>
      <c r="J971" t="s">
        <v>123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"06:14:52.836"</f>
        <v>06:14:52.836</v>
      </c>
      <c r="T971" t="str">
        <f>"06:14:52.336"</f>
        <v>06:14:52.336</v>
      </c>
      <c r="U971" t="str">
        <f t="shared" si="46"/>
        <v>A7E2E0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0</v>
      </c>
      <c r="AI971" t="s">
        <v>755</v>
      </c>
      <c r="AJ971">
        <v>39.075108</v>
      </c>
      <c r="AK971" t="s">
        <v>756</v>
      </c>
      <c r="AL971">
        <v>-87.498529000000005</v>
      </c>
      <c r="AM971">
        <v>100</v>
      </c>
      <c r="AN971">
        <v>2800</v>
      </c>
      <c r="AO971" t="s">
        <v>118</v>
      </c>
      <c r="AP971">
        <v>-97</v>
      </c>
      <c r="AQ971">
        <v>-133</v>
      </c>
      <c r="AR971">
        <v>0</v>
      </c>
      <c r="AZ971">
        <v>4552</v>
      </c>
      <c r="BA971">
        <v>1</v>
      </c>
      <c r="BB971" t="str">
        <f t="shared" si="47"/>
        <v xml:space="preserve">N607SR  </v>
      </c>
      <c r="BC971">
        <v>1</v>
      </c>
      <c r="BE971">
        <v>0</v>
      </c>
      <c r="BF971">
        <v>0</v>
      </c>
      <c r="BG971">
        <v>0</v>
      </c>
      <c r="BH971">
        <v>2600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"06:14:52.840"</f>
        <v>06:14:52.840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457</v>
      </c>
      <c r="CR971">
        <v>0</v>
      </c>
      <c r="CW971">
        <v>15514261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"08/29/2020 06:14:50.177"</f>
        <v>08/29/2020 06:14:50.177</v>
      </c>
      <c r="C972" t="str">
        <f t="shared" si="45"/>
        <v>FFDFD3C0</v>
      </c>
      <c r="D972" t="s">
        <v>128</v>
      </c>
      <c r="E972">
        <v>5</v>
      </c>
      <c r="H972">
        <v>241</v>
      </c>
      <c r="I972" t="s">
        <v>129</v>
      </c>
      <c r="J972" t="s">
        <v>130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"06:14:53.398"</f>
        <v>06:14:53.398</v>
      </c>
      <c r="T972" t="str">
        <f>"06:14:52.898"</f>
        <v>06:14:52.898</v>
      </c>
      <c r="U972" t="str">
        <f t="shared" si="46"/>
        <v>A7E2E0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0</v>
      </c>
      <c r="AI972" t="s">
        <v>757</v>
      </c>
      <c r="AJ972">
        <v>39.074807</v>
      </c>
      <c r="AK972" t="s">
        <v>758</v>
      </c>
      <c r="AL972">
        <v>-87.498872000000006</v>
      </c>
      <c r="AM972">
        <v>100</v>
      </c>
      <c r="AN972">
        <v>2800</v>
      </c>
      <c r="AO972" t="s">
        <v>118</v>
      </c>
      <c r="AP972">
        <v>-97</v>
      </c>
      <c r="AQ972">
        <v>-133</v>
      </c>
      <c r="AR972">
        <v>0</v>
      </c>
      <c r="AZ972">
        <v>4552</v>
      </c>
      <c r="BA972">
        <v>1</v>
      </c>
      <c r="BB972" t="str">
        <f t="shared" si="47"/>
        <v xml:space="preserve">N607SR  </v>
      </c>
      <c r="BC972">
        <v>1</v>
      </c>
      <c r="BE972">
        <v>0</v>
      </c>
      <c r="BF972">
        <v>0</v>
      </c>
      <c r="BG972">
        <v>0</v>
      </c>
      <c r="BH972">
        <v>2600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"06:14:53.400"</f>
        <v>06:14:53.400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457</v>
      </c>
      <c r="CR972">
        <v>0</v>
      </c>
      <c r="CW972">
        <v>15514276</v>
      </c>
      <c r="CY972">
        <v>1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"08/29/2020 06:14:50.177"</f>
        <v>08/29/2020 06:14:50.177</v>
      </c>
      <c r="C973" t="str">
        <f t="shared" si="45"/>
        <v>FFDFD3C0</v>
      </c>
      <c r="D973" t="s">
        <v>113</v>
      </c>
      <c r="E973">
        <v>5</v>
      </c>
      <c r="H973">
        <v>163</v>
      </c>
      <c r="I973" t="s">
        <v>114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"06:14:53.398"</f>
        <v>06:14:53.398</v>
      </c>
      <c r="T973" t="str">
        <f>"06:14:52.898"</f>
        <v>06:14:52.898</v>
      </c>
      <c r="U973" t="str">
        <f t="shared" si="46"/>
        <v>A7E2E0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0</v>
      </c>
      <c r="AI973" t="s">
        <v>757</v>
      </c>
      <c r="AJ973">
        <v>39.074807</v>
      </c>
      <c r="AK973" t="s">
        <v>758</v>
      </c>
      <c r="AL973">
        <v>-87.498872000000006</v>
      </c>
      <c r="AM973">
        <v>100</v>
      </c>
      <c r="AN973">
        <v>2800</v>
      </c>
      <c r="AO973" t="s">
        <v>118</v>
      </c>
      <c r="AP973">
        <v>-97</v>
      </c>
      <c r="AQ973">
        <v>-133</v>
      </c>
      <c r="AR973">
        <v>0</v>
      </c>
      <c r="AZ973">
        <v>4552</v>
      </c>
      <c r="BA973">
        <v>1</v>
      </c>
      <c r="BB973" t="str">
        <f t="shared" si="47"/>
        <v xml:space="preserve">N607SR  </v>
      </c>
      <c r="BC973">
        <v>1</v>
      </c>
      <c r="BE973">
        <v>0</v>
      </c>
      <c r="BF973">
        <v>0</v>
      </c>
      <c r="BG973">
        <v>0</v>
      </c>
      <c r="BH973">
        <v>2600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"06:14:53.400"</f>
        <v>06:14:53.400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457</v>
      </c>
      <c r="CR973">
        <v>0</v>
      </c>
      <c r="CW973">
        <v>15514276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"08/29/2020 06:14:50.625"</f>
        <v>08/29/2020 06:14:50.625</v>
      </c>
      <c r="C974" t="str">
        <f t="shared" si="45"/>
        <v>FFDFD3C0</v>
      </c>
      <c r="D974" t="s">
        <v>121</v>
      </c>
      <c r="E974">
        <v>10</v>
      </c>
      <c r="F974">
        <v>1010</v>
      </c>
      <c r="G974" t="s">
        <v>114</v>
      </c>
      <c r="J974" t="s">
        <v>123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"06:14:53.797"</f>
        <v>06:14:53.797</v>
      </c>
      <c r="T974" t="str">
        <f>"06:14:53.497"</f>
        <v>06:14:53.497</v>
      </c>
      <c r="U974" t="str">
        <f t="shared" si="46"/>
        <v>A7E2E0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0</v>
      </c>
      <c r="AI974" t="s">
        <v>759</v>
      </c>
      <c r="AJ974">
        <v>39.074463999999999</v>
      </c>
      <c r="AK974" t="s">
        <v>760</v>
      </c>
      <c r="AL974">
        <v>-87.499150999999998</v>
      </c>
      <c r="AM974">
        <v>100</v>
      </c>
      <c r="AN974">
        <v>2800</v>
      </c>
      <c r="AO974" t="s">
        <v>118</v>
      </c>
      <c r="AP974">
        <v>-97</v>
      </c>
      <c r="AQ974">
        <v>-133</v>
      </c>
      <c r="AR974">
        <v>0</v>
      </c>
      <c r="AZ974">
        <v>4552</v>
      </c>
      <c r="BA974">
        <v>1</v>
      </c>
      <c r="BB974" t="str">
        <f t="shared" si="47"/>
        <v xml:space="preserve">N607SR  </v>
      </c>
      <c r="BC974">
        <v>1</v>
      </c>
      <c r="BE974">
        <v>0</v>
      </c>
      <c r="BF974">
        <v>0</v>
      </c>
      <c r="BG974">
        <v>0</v>
      </c>
      <c r="BH974">
        <v>2600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"06:14:53.805"</f>
        <v>06:14:53.805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6</v>
      </c>
      <c r="CP974" t="s">
        <v>119</v>
      </c>
      <c r="CQ974">
        <v>457</v>
      </c>
      <c r="CR974">
        <v>0</v>
      </c>
      <c r="CW974">
        <v>15514288</v>
      </c>
      <c r="CY974">
        <v>1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"08/29/2020 06:14:50.625"</f>
        <v>08/29/2020 06:14:50.625</v>
      </c>
      <c r="C975" t="str">
        <f t="shared" si="45"/>
        <v>FFDFD3C0</v>
      </c>
      <c r="D975" t="s">
        <v>121</v>
      </c>
      <c r="E975">
        <v>13</v>
      </c>
      <c r="F975">
        <v>1013</v>
      </c>
      <c r="G975" t="s">
        <v>122</v>
      </c>
      <c r="J975" t="s">
        <v>123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"06:14:53.797"</f>
        <v>06:14:53.797</v>
      </c>
      <c r="T975" t="str">
        <f>"06:14:53.497"</f>
        <v>06:14:53.497</v>
      </c>
      <c r="U975" t="str">
        <f t="shared" si="46"/>
        <v>A7E2E0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0</v>
      </c>
      <c r="AI975" t="s">
        <v>759</v>
      </c>
      <c r="AJ975">
        <v>39.074463999999999</v>
      </c>
      <c r="AK975" t="s">
        <v>760</v>
      </c>
      <c r="AL975">
        <v>-87.499150999999998</v>
      </c>
      <c r="AM975">
        <v>100</v>
      </c>
      <c r="AN975">
        <v>2800</v>
      </c>
      <c r="AO975" t="s">
        <v>118</v>
      </c>
      <c r="AP975">
        <v>-97</v>
      </c>
      <c r="AQ975">
        <v>-133</v>
      </c>
      <c r="AR975">
        <v>0</v>
      </c>
      <c r="AZ975">
        <v>4552</v>
      </c>
      <c r="BA975">
        <v>1</v>
      </c>
      <c r="BB975" t="str">
        <f t="shared" si="47"/>
        <v xml:space="preserve">N607SR  </v>
      </c>
      <c r="BC975">
        <v>1</v>
      </c>
      <c r="BE975">
        <v>0</v>
      </c>
      <c r="BF975">
        <v>0</v>
      </c>
      <c r="BG975">
        <v>0</v>
      </c>
      <c r="BH975">
        <v>2600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"06:14:53.805"</f>
        <v>06:14:53.805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457</v>
      </c>
      <c r="CR975">
        <v>0</v>
      </c>
      <c r="CW975">
        <v>15514288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"08/29/2020 06:14:50.625"</f>
        <v>08/29/2020 06:14:50.625</v>
      </c>
      <c r="C976" t="str">
        <f t="shared" si="45"/>
        <v>FFDFD3C0</v>
      </c>
      <c r="D976" t="s">
        <v>121</v>
      </c>
      <c r="E976">
        <v>11</v>
      </c>
      <c r="F976">
        <v>1011</v>
      </c>
      <c r="G976" t="s">
        <v>125</v>
      </c>
      <c r="J976" t="s">
        <v>123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"06:14:53.797"</f>
        <v>06:14:53.797</v>
      </c>
      <c r="T976" t="str">
        <f>"06:14:53.497"</f>
        <v>06:14:53.497</v>
      </c>
      <c r="U976" t="str">
        <f t="shared" si="46"/>
        <v>A7E2E0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0</v>
      </c>
      <c r="AI976" t="s">
        <v>759</v>
      </c>
      <c r="AJ976">
        <v>39.074463999999999</v>
      </c>
      <c r="AK976" t="s">
        <v>760</v>
      </c>
      <c r="AL976">
        <v>-87.499150999999998</v>
      </c>
      <c r="AM976">
        <v>100</v>
      </c>
      <c r="AN976">
        <v>2800</v>
      </c>
      <c r="AO976" t="s">
        <v>118</v>
      </c>
      <c r="AP976">
        <v>-97</v>
      </c>
      <c r="AQ976">
        <v>-133</v>
      </c>
      <c r="AR976">
        <v>0</v>
      </c>
      <c r="AZ976">
        <v>4552</v>
      </c>
      <c r="BA976">
        <v>1</v>
      </c>
      <c r="BB976" t="str">
        <f t="shared" si="47"/>
        <v xml:space="preserve">N607SR  </v>
      </c>
      <c r="BC976">
        <v>1</v>
      </c>
      <c r="BE976">
        <v>0</v>
      </c>
      <c r="BF976">
        <v>0</v>
      </c>
      <c r="BG976">
        <v>0</v>
      </c>
      <c r="BH976">
        <v>2600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"06:14:53.805"</f>
        <v>06:14:53.805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6</v>
      </c>
      <c r="CP976" t="s">
        <v>119</v>
      </c>
      <c r="CQ976">
        <v>457</v>
      </c>
      <c r="CR976">
        <v>0</v>
      </c>
      <c r="CW976">
        <v>15514288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"08/29/2020 06:14:51.040"</f>
        <v>08/29/2020 06:14:51.040</v>
      </c>
      <c r="C977" t="str">
        <f t="shared" si="45"/>
        <v>FFDFD3C0</v>
      </c>
      <c r="D977" t="s">
        <v>128</v>
      </c>
      <c r="E977">
        <v>5</v>
      </c>
      <c r="H977">
        <v>241</v>
      </c>
      <c r="I977" t="s">
        <v>129</v>
      </c>
      <c r="J977" t="s">
        <v>130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"06:14:54.227"</f>
        <v>06:14:54.227</v>
      </c>
      <c r="T977" t="str">
        <f>"06:14:53.827"</f>
        <v>06:14:53.827</v>
      </c>
      <c r="U977" t="str">
        <f t="shared" si="46"/>
        <v>A7E2E0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0</v>
      </c>
      <c r="AI977" t="s">
        <v>761</v>
      </c>
      <c r="AJ977">
        <v>39.074227999999998</v>
      </c>
      <c r="AK977" t="s">
        <v>762</v>
      </c>
      <c r="AL977">
        <v>-87.499386999999999</v>
      </c>
      <c r="AM977">
        <v>100</v>
      </c>
      <c r="AN977">
        <v>2800</v>
      </c>
      <c r="AO977" t="s">
        <v>118</v>
      </c>
      <c r="AP977">
        <v>-97</v>
      </c>
      <c r="AQ977">
        <v>-133</v>
      </c>
      <c r="AR977">
        <v>0</v>
      </c>
      <c r="AZ977">
        <v>4552</v>
      </c>
      <c r="BA977">
        <v>1</v>
      </c>
      <c r="BB977" t="str">
        <f t="shared" si="47"/>
        <v xml:space="preserve">N607SR  </v>
      </c>
      <c r="BC977">
        <v>1</v>
      </c>
      <c r="BE977">
        <v>0</v>
      </c>
      <c r="BF977">
        <v>0</v>
      </c>
      <c r="BG977">
        <v>0</v>
      </c>
      <c r="BH977">
        <v>2600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"06:14:54.232"</f>
        <v>06:14:54.232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6</v>
      </c>
      <c r="CP977" t="s">
        <v>119</v>
      </c>
      <c r="CQ977">
        <v>457</v>
      </c>
      <c r="CR977">
        <v>0</v>
      </c>
      <c r="CW977">
        <v>15514303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"08/29/2020 06:14:51.040"</f>
        <v>08/29/2020 06:14:51.040</v>
      </c>
      <c r="C978" t="str">
        <f t="shared" si="45"/>
        <v>FFDFD3C0</v>
      </c>
      <c r="D978" t="s">
        <v>113</v>
      </c>
      <c r="E978">
        <v>5</v>
      </c>
      <c r="H978">
        <v>163</v>
      </c>
      <c r="I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"06:14:54.227"</f>
        <v>06:14:54.227</v>
      </c>
      <c r="T978" t="str">
        <f>"06:14:53.827"</f>
        <v>06:14:53.827</v>
      </c>
      <c r="U978" t="str">
        <f t="shared" si="46"/>
        <v>A7E2E0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0</v>
      </c>
      <c r="AI978" t="s">
        <v>761</v>
      </c>
      <c r="AJ978">
        <v>39.074227999999998</v>
      </c>
      <c r="AK978" t="s">
        <v>762</v>
      </c>
      <c r="AL978">
        <v>-87.499386999999999</v>
      </c>
      <c r="AM978">
        <v>100</v>
      </c>
      <c r="AN978">
        <v>2800</v>
      </c>
      <c r="AO978" t="s">
        <v>118</v>
      </c>
      <c r="AP978">
        <v>-97</v>
      </c>
      <c r="AQ978">
        <v>-133</v>
      </c>
      <c r="AR978">
        <v>0</v>
      </c>
      <c r="AZ978">
        <v>4552</v>
      </c>
      <c r="BA978">
        <v>1</v>
      </c>
      <c r="BB978" t="str">
        <f t="shared" si="47"/>
        <v xml:space="preserve">N607SR  </v>
      </c>
      <c r="BC978">
        <v>1</v>
      </c>
      <c r="BE978">
        <v>0</v>
      </c>
      <c r="BF978">
        <v>0</v>
      </c>
      <c r="BG978">
        <v>0</v>
      </c>
      <c r="BH978">
        <v>2600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"06:14:54.232"</f>
        <v>06:14:54.232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6</v>
      </c>
      <c r="CP978" t="s">
        <v>119</v>
      </c>
      <c r="CQ978">
        <v>457</v>
      </c>
      <c r="CR978">
        <v>0</v>
      </c>
      <c r="CW978">
        <v>15514303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"08/29/2020 06:14:51.535"</f>
        <v>08/29/2020 06:14:51.535</v>
      </c>
      <c r="C979" t="str">
        <f t="shared" si="45"/>
        <v>FFDFD3C0</v>
      </c>
      <c r="D979" t="s">
        <v>121</v>
      </c>
      <c r="E979">
        <v>10</v>
      </c>
      <c r="F979">
        <v>1010</v>
      </c>
      <c r="G979" t="s">
        <v>114</v>
      </c>
      <c r="J979" t="s">
        <v>123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"06:14:54.758"</f>
        <v>06:14:54.758</v>
      </c>
      <c r="T979" t="str">
        <f>"06:14:54.258"</f>
        <v>06:14:54.258</v>
      </c>
      <c r="U979" t="str">
        <f t="shared" si="46"/>
        <v>A7E2E0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0</v>
      </c>
      <c r="AI979" t="s">
        <v>763</v>
      </c>
      <c r="AJ979">
        <v>39.073926999999998</v>
      </c>
      <c r="AK979" t="s">
        <v>764</v>
      </c>
      <c r="AL979">
        <v>-87.499645000000001</v>
      </c>
      <c r="AM979">
        <v>100</v>
      </c>
      <c r="AN979">
        <v>2800</v>
      </c>
      <c r="AO979" t="s">
        <v>118</v>
      </c>
      <c r="AP979">
        <v>-97</v>
      </c>
      <c r="AQ979">
        <v>-133</v>
      </c>
      <c r="AR979">
        <v>0</v>
      </c>
      <c r="AZ979">
        <v>4552</v>
      </c>
      <c r="BA979">
        <v>1</v>
      </c>
      <c r="BB979" t="str">
        <f t="shared" si="47"/>
        <v xml:space="preserve">N607SR  </v>
      </c>
      <c r="BC979">
        <v>1</v>
      </c>
      <c r="BE979">
        <v>0</v>
      </c>
      <c r="BF979">
        <v>0</v>
      </c>
      <c r="BG979">
        <v>0</v>
      </c>
      <c r="BH979">
        <v>2600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"06:14:54.758"</f>
        <v>06:14:54.758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6</v>
      </c>
      <c r="CP979" t="s">
        <v>119</v>
      </c>
      <c r="CQ979">
        <v>457</v>
      </c>
      <c r="CR979">
        <v>0</v>
      </c>
      <c r="CW979">
        <v>15514318</v>
      </c>
      <c r="CY979">
        <v>1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"08/29/2020 06:14:51.535"</f>
        <v>08/29/2020 06:14:51.535</v>
      </c>
      <c r="C980" t="str">
        <f t="shared" si="45"/>
        <v>FFDFD3C0</v>
      </c>
      <c r="D980" t="s">
        <v>121</v>
      </c>
      <c r="E980">
        <v>13</v>
      </c>
      <c r="F980">
        <v>1013</v>
      </c>
      <c r="G980" t="s">
        <v>122</v>
      </c>
      <c r="J980" t="s">
        <v>123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"06:14:54.758"</f>
        <v>06:14:54.758</v>
      </c>
      <c r="T980" t="str">
        <f>"06:14:54.258"</f>
        <v>06:14:54.258</v>
      </c>
      <c r="U980" t="str">
        <f t="shared" si="46"/>
        <v>A7E2E0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0</v>
      </c>
      <c r="AI980" t="s">
        <v>763</v>
      </c>
      <c r="AJ980">
        <v>39.073926999999998</v>
      </c>
      <c r="AK980" t="s">
        <v>764</v>
      </c>
      <c r="AL980">
        <v>-87.499645000000001</v>
      </c>
      <c r="AM980">
        <v>100</v>
      </c>
      <c r="AN980">
        <v>2800</v>
      </c>
      <c r="AO980" t="s">
        <v>118</v>
      </c>
      <c r="AP980">
        <v>-97</v>
      </c>
      <c r="AQ980">
        <v>-133</v>
      </c>
      <c r="AR980">
        <v>0</v>
      </c>
      <c r="AZ980">
        <v>4552</v>
      </c>
      <c r="BA980">
        <v>1</v>
      </c>
      <c r="BB980" t="str">
        <f t="shared" si="47"/>
        <v xml:space="preserve">N607SR  </v>
      </c>
      <c r="BC980">
        <v>1</v>
      </c>
      <c r="BE980">
        <v>0</v>
      </c>
      <c r="BF980">
        <v>0</v>
      </c>
      <c r="BG980">
        <v>0</v>
      </c>
      <c r="BH980">
        <v>2600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"06:14:54.758"</f>
        <v>06:14:54.758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6</v>
      </c>
      <c r="CP980" t="s">
        <v>119</v>
      </c>
      <c r="CQ980">
        <v>457</v>
      </c>
      <c r="CR980">
        <v>0</v>
      </c>
      <c r="CW980">
        <v>15514318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"08/29/2020 06:14:51.535"</f>
        <v>08/29/2020 06:14:51.535</v>
      </c>
      <c r="C981" t="str">
        <f t="shared" si="45"/>
        <v>FFDFD3C0</v>
      </c>
      <c r="D981" t="s">
        <v>121</v>
      </c>
      <c r="E981">
        <v>11</v>
      </c>
      <c r="F981">
        <v>1011</v>
      </c>
      <c r="G981" t="s">
        <v>125</v>
      </c>
      <c r="J981" t="s">
        <v>123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"06:14:54.758"</f>
        <v>06:14:54.758</v>
      </c>
      <c r="T981" t="str">
        <f>"06:14:54.258"</f>
        <v>06:14:54.258</v>
      </c>
      <c r="U981" t="str">
        <f t="shared" si="46"/>
        <v>A7E2E0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0</v>
      </c>
      <c r="AI981" t="s">
        <v>763</v>
      </c>
      <c r="AJ981">
        <v>39.073926999999998</v>
      </c>
      <c r="AK981" t="s">
        <v>764</v>
      </c>
      <c r="AL981">
        <v>-87.499645000000001</v>
      </c>
      <c r="AM981">
        <v>100</v>
      </c>
      <c r="AN981">
        <v>2800</v>
      </c>
      <c r="AO981" t="s">
        <v>118</v>
      </c>
      <c r="AP981">
        <v>-97</v>
      </c>
      <c r="AQ981">
        <v>-133</v>
      </c>
      <c r="AR981">
        <v>0</v>
      </c>
      <c r="AZ981">
        <v>4552</v>
      </c>
      <c r="BA981">
        <v>1</v>
      </c>
      <c r="BB981" t="str">
        <f t="shared" si="47"/>
        <v xml:space="preserve">N607SR  </v>
      </c>
      <c r="BC981">
        <v>1</v>
      </c>
      <c r="BE981">
        <v>0</v>
      </c>
      <c r="BF981">
        <v>0</v>
      </c>
      <c r="BG981">
        <v>0</v>
      </c>
      <c r="BH981">
        <v>2600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"06:14:54.758"</f>
        <v>06:14:54.758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6</v>
      </c>
      <c r="CP981" t="s">
        <v>119</v>
      </c>
      <c r="CQ981">
        <v>457</v>
      </c>
      <c r="CR981">
        <v>0</v>
      </c>
      <c r="CW981">
        <v>15514318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"08/29/2020 06:14:52.108"</f>
        <v>08/29/2020 06:14:52.108</v>
      </c>
      <c r="C982" t="str">
        <f t="shared" si="45"/>
        <v>FFDFD3C0</v>
      </c>
      <c r="D982" t="s">
        <v>128</v>
      </c>
      <c r="E982">
        <v>5</v>
      </c>
      <c r="H982">
        <v>241</v>
      </c>
      <c r="I982" t="s">
        <v>129</v>
      </c>
      <c r="J982" t="s">
        <v>130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"06:14:55.313"</f>
        <v>06:14:55.313</v>
      </c>
      <c r="T982" t="str">
        <f>"06:14:54.813"</f>
        <v>06:14:54.813</v>
      </c>
      <c r="U982" t="str">
        <f t="shared" si="46"/>
        <v>A7E2E0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0</v>
      </c>
      <c r="AI982" t="s">
        <v>765</v>
      </c>
      <c r="AJ982">
        <v>39.073563</v>
      </c>
      <c r="AK982" t="s">
        <v>766</v>
      </c>
      <c r="AL982">
        <v>-87.500010000000003</v>
      </c>
      <c r="AM982">
        <v>100</v>
      </c>
      <c r="AN982">
        <v>2800</v>
      </c>
      <c r="AO982" t="s">
        <v>118</v>
      </c>
      <c r="AP982">
        <v>-98</v>
      </c>
      <c r="AQ982">
        <v>-133</v>
      </c>
      <c r="AR982">
        <v>0</v>
      </c>
      <c r="AZ982">
        <v>4552</v>
      </c>
      <c r="BA982">
        <v>1</v>
      </c>
      <c r="BB982" t="str">
        <f t="shared" si="47"/>
        <v xml:space="preserve">N607SR  </v>
      </c>
      <c r="BC982">
        <v>1</v>
      </c>
      <c r="BE982">
        <v>0</v>
      </c>
      <c r="BF982">
        <v>0</v>
      </c>
      <c r="BG982">
        <v>0</v>
      </c>
      <c r="BH982">
        <v>2600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"06:14:55.314"</f>
        <v>06:14:55.314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6</v>
      </c>
      <c r="CP982" t="s">
        <v>119</v>
      </c>
      <c r="CQ982">
        <v>457</v>
      </c>
      <c r="CR982">
        <v>0</v>
      </c>
      <c r="CW982">
        <v>15514332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"08/29/2020 06:14:52.108"</f>
        <v>08/29/2020 06:14:52.108</v>
      </c>
      <c r="C983" t="str">
        <f t="shared" si="45"/>
        <v>FFDFD3C0</v>
      </c>
      <c r="D983" t="s">
        <v>113</v>
      </c>
      <c r="E983">
        <v>5</v>
      </c>
      <c r="H983">
        <v>163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"06:14:55.313"</f>
        <v>06:14:55.313</v>
      </c>
      <c r="T983" t="str">
        <f>"06:14:54.813"</f>
        <v>06:14:54.813</v>
      </c>
      <c r="U983" t="str">
        <f t="shared" si="46"/>
        <v>A7E2E0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0</v>
      </c>
      <c r="AI983" t="s">
        <v>765</v>
      </c>
      <c r="AJ983">
        <v>39.073563</v>
      </c>
      <c r="AK983" t="s">
        <v>766</v>
      </c>
      <c r="AL983">
        <v>-87.500010000000003</v>
      </c>
      <c r="AM983">
        <v>100</v>
      </c>
      <c r="AN983">
        <v>2800</v>
      </c>
      <c r="AO983" t="s">
        <v>118</v>
      </c>
      <c r="AP983">
        <v>-98</v>
      </c>
      <c r="AQ983">
        <v>-133</v>
      </c>
      <c r="AR983">
        <v>0</v>
      </c>
      <c r="AZ983">
        <v>4552</v>
      </c>
      <c r="BA983">
        <v>1</v>
      </c>
      <c r="BB983" t="str">
        <f t="shared" si="47"/>
        <v xml:space="preserve">N607SR  </v>
      </c>
      <c r="BC983">
        <v>1</v>
      </c>
      <c r="BE983">
        <v>0</v>
      </c>
      <c r="BF983">
        <v>0</v>
      </c>
      <c r="BG983">
        <v>0</v>
      </c>
      <c r="BH983">
        <v>2600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"06:14:55.314"</f>
        <v>06:14:55.314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6</v>
      </c>
      <c r="CP983" t="s">
        <v>119</v>
      </c>
      <c r="CQ983">
        <v>457</v>
      </c>
      <c r="CR983">
        <v>0</v>
      </c>
      <c r="CW983">
        <v>15514332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"08/29/2020 06:14:52.545"</f>
        <v>08/29/2020 06:14:52.545</v>
      </c>
      <c r="C984" t="str">
        <f t="shared" si="45"/>
        <v>FFDFD3C0</v>
      </c>
      <c r="D984" t="s">
        <v>121</v>
      </c>
      <c r="E984">
        <v>10</v>
      </c>
      <c r="F984">
        <v>1010</v>
      </c>
      <c r="G984" t="s">
        <v>114</v>
      </c>
      <c r="J984" t="s">
        <v>123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"06:14:55.734"</f>
        <v>06:14:55.734</v>
      </c>
      <c r="T984" t="str">
        <f>"06:14:55.334"</f>
        <v>06:14:55.334</v>
      </c>
      <c r="U984" t="str">
        <f t="shared" si="46"/>
        <v>A7E2E0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0</v>
      </c>
      <c r="AI984" t="s">
        <v>767</v>
      </c>
      <c r="AJ984">
        <v>39.073326999999999</v>
      </c>
      <c r="AK984" t="s">
        <v>768</v>
      </c>
      <c r="AL984">
        <v>-87.500246000000004</v>
      </c>
      <c r="AM984">
        <v>100</v>
      </c>
      <c r="AN984">
        <v>2800</v>
      </c>
      <c r="AO984" t="s">
        <v>118</v>
      </c>
      <c r="AP984">
        <v>-98</v>
      </c>
      <c r="AQ984">
        <v>-133</v>
      </c>
      <c r="AR984">
        <v>0</v>
      </c>
      <c r="AZ984">
        <v>4552</v>
      </c>
      <c r="BA984">
        <v>1</v>
      </c>
      <c r="BB984" t="str">
        <f t="shared" si="47"/>
        <v xml:space="preserve">N607SR  </v>
      </c>
      <c r="BC984">
        <v>1</v>
      </c>
      <c r="BE984">
        <v>0</v>
      </c>
      <c r="BF984">
        <v>0</v>
      </c>
      <c r="BG984">
        <v>0</v>
      </c>
      <c r="BH984">
        <v>2600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"06:14:55.740"</f>
        <v>06:14:55.740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457</v>
      </c>
      <c r="CR984">
        <v>0</v>
      </c>
      <c r="CW984">
        <v>15514341</v>
      </c>
      <c r="CY984">
        <v>1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"08/29/2020 06:14:52.545"</f>
        <v>08/29/2020 06:14:52.545</v>
      </c>
      <c r="C985" t="str">
        <f t="shared" si="45"/>
        <v>FFDFD3C0</v>
      </c>
      <c r="D985" t="s">
        <v>121</v>
      </c>
      <c r="E985">
        <v>13</v>
      </c>
      <c r="F985">
        <v>1013</v>
      </c>
      <c r="G985" t="s">
        <v>122</v>
      </c>
      <c r="J985" t="s">
        <v>123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"06:14:55.734"</f>
        <v>06:14:55.734</v>
      </c>
      <c r="T985" t="str">
        <f>"06:14:55.334"</f>
        <v>06:14:55.334</v>
      </c>
      <c r="U985" t="str">
        <f t="shared" si="46"/>
        <v>A7E2E0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0</v>
      </c>
      <c r="AI985" t="s">
        <v>767</v>
      </c>
      <c r="AJ985">
        <v>39.073326999999999</v>
      </c>
      <c r="AK985" t="s">
        <v>768</v>
      </c>
      <c r="AL985">
        <v>-87.500246000000004</v>
      </c>
      <c r="AM985">
        <v>100</v>
      </c>
      <c r="AN985">
        <v>2800</v>
      </c>
      <c r="AO985" t="s">
        <v>118</v>
      </c>
      <c r="AP985">
        <v>-98</v>
      </c>
      <c r="AQ985">
        <v>-133</v>
      </c>
      <c r="AR985">
        <v>0</v>
      </c>
      <c r="AZ985">
        <v>4552</v>
      </c>
      <c r="BA985">
        <v>1</v>
      </c>
      <c r="BB985" t="str">
        <f t="shared" si="47"/>
        <v xml:space="preserve">N607SR  </v>
      </c>
      <c r="BC985">
        <v>1</v>
      </c>
      <c r="BE985">
        <v>0</v>
      </c>
      <c r="BF985">
        <v>0</v>
      </c>
      <c r="BG985">
        <v>0</v>
      </c>
      <c r="BH985">
        <v>2600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"06:14:55.740"</f>
        <v>06:14:55.740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457</v>
      </c>
      <c r="CR985">
        <v>0</v>
      </c>
      <c r="CW985">
        <v>15514341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"08/29/2020 06:14:52.545"</f>
        <v>08/29/2020 06:14:52.545</v>
      </c>
      <c r="C986" t="str">
        <f t="shared" si="45"/>
        <v>FFDFD3C0</v>
      </c>
      <c r="D986" t="s">
        <v>121</v>
      </c>
      <c r="E986">
        <v>11</v>
      </c>
      <c r="F986">
        <v>1011</v>
      </c>
      <c r="G986" t="s">
        <v>125</v>
      </c>
      <c r="J986" t="s">
        <v>123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"06:14:55.734"</f>
        <v>06:14:55.734</v>
      </c>
      <c r="T986" t="str">
        <f>"06:14:55.334"</f>
        <v>06:14:55.334</v>
      </c>
      <c r="U986" t="str">
        <f t="shared" si="46"/>
        <v>A7E2E0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0</v>
      </c>
      <c r="AI986" t="s">
        <v>767</v>
      </c>
      <c r="AJ986">
        <v>39.073326999999999</v>
      </c>
      <c r="AK986" t="s">
        <v>768</v>
      </c>
      <c r="AL986">
        <v>-87.500246000000004</v>
      </c>
      <c r="AM986">
        <v>100</v>
      </c>
      <c r="AN986">
        <v>2800</v>
      </c>
      <c r="AO986" t="s">
        <v>118</v>
      </c>
      <c r="AP986">
        <v>-98</v>
      </c>
      <c r="AQ986">
        <v>-133</v>
      </c>
      <c r="AR986">
        <v>0</v>
      </c>
      <c r="AZ986">
        <v>4552</v>
      </c>
      <c r="BA986">
        <v>1</v>
      </c>
      <c r="BB986" t="str">
        <f t="shared" si="47"/>
        <v xml:space="preserve">N607SR  </v>
      </c>
      <c r="BC986">
        <v>1</v>
      </c>
      <c r="BE986">
        <v>0</v>
      </c>
      <c r="BF986">
        <v>0</v>
      </c>
      <c r="BG986">
        <v>0</v>
      </c>
      <c r="BH986">
        <v>2600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"06:14:55.740"</f>
        <v>06:14:55.740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457</v>
      </c>
      <c r="CR986">
        <v>0</v>
      </c>
      <c r="CW986">
        <v>15514341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"08/29/2020 06:14:52.970"</f>
        <v>08/29/2020 06:14:52.970</v>
      </c>
      <c r="C987" t="str">
        <f t="shared" si="45"/>
        <v>FFDFD3C0</v>
      </c>
      <c r="D987" t="s">
        <v>128</v>
      </c>
      <c r="E987">
        <v>5</v>
      </c>
      <c r="H987">
        <v>241</v>
      </c>
      <c r="I987" t="s">
        <v>129</v>
      </c>
      <c r="J987" t="s">
        <v>130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"06:14:56.203"</f>
        <v>06:14:56.203</v>
      </c>
      <c r="T987" t="str">
        <f>"06:14:55.803"</f>
        <v>06:14:55.803</v>
      </c>
      <c r="U987" t="str">
        <f t="shared" si="46"/>
        <v>A7E2E0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0</v>
      </c>
      <c r="AI987" t="s">
        <v>769</v>
      </c>
      <c r="AJ987">
        <v>39.073025999999999</v>
      </c>
      <c r="AK987" t="s">
        <v>770</v>
      </c>
      <c r="AL987">
        <v>-87.500546</v>
      </c>
      <c r="AM987">
        <v>100</v>
      </c>
      <c r="AN987">
        <v>2800</v>
      </c>
      <c r="AO987" t="s">
        <v>118</v>
      </c>
      <c r="AP987">
        <v>-98</v>
      </c>
      <c r="AQ987">
        <v>-133</v>
      </c>
      <c r="AR987">
        <v>0</v>
      </c>
      <c r="AZ987">
        <v>4552</v>
      </c>
      <c r="BA987">
        <v>1</v>
      </c>
      <c r="BB987" t="str">
        <f t="shared" si="47"/>
        <v xml:space="preserve">N607SR  </v>
      </c>
      <c r="BC987">
        <v>1</v>
      </c>
      <c r="BE987">
        <v>0</v>
      </c>
      <c r="BF987">
        <v>0</v>
      </c>
      <c r="BG987">
        <v>0</v>
      </c>
      <c r="BH987">
        <v>2600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"06:14:56.207"</f>
        <v>06:14:56.207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6</v>
      </c>
      <c r="CP987" t="s">
        <v>119</v>
      </c>
      <c r="CQ987">
        <v>457</v>
      </c>
      <c r="CR987">
        <v>0</v>
      </c>
      <c r="CW987">
        <v>15514354</v>
      </c>
      <c r="CY987">
        <v>1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"08/29/2020 06:14:52.970"</f>
        <v>08/29/2020 06:14:52.970</v>
      </c>
      <c r="C988" t="str">
        <f t="shared" si="45"/>
        <v>FFDFD3C0</v>
      </c>
      <c r="D988" t="s">
        <v>113</v>
      </c>
      <c r="E988">
        <v>5</v>
      </c>
      <c r="H988">
        <v>163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"06:14:56.203"</f>
        <v>06:14:56.203</v>
      </c>
      <c r="T988" t="str">
        <f>"06:14:55.803"</f>
        <v>06:14:55.803</v>
      </c>
      <c r="U988" t="str">
        <f t="shared" si="46"/>
        <v>A7E2E0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0</v>
      </c>
      <c r="AI988" t="s">
        <v>769</v>
      </c>
      <c r="AJ988">
        <v>39.073025999999999</v>
      </c>
      <c r="AK988" t="s">
        <v>770</v>
      </c>
      <c r="AL988">
        <v>-87.500546</v>
      </c>
      <c r="AM988">
        <v>100</v>
      </c>
      <c r="AN988">
        <v>2800</v>
      </c>
      <c r="AO988" t="s">
        <v>118</v>
      </c>
      <c r="AP988">
        <v>-98</v>
      </c>
      <c r="AQ988">
        <v>-133</v>
      </c>
      <c r="AR988">
        <v>0</v>
      </c>
      <c r="AZ988">
        <v>4552</v>
      </c>
      <c r="BA988">
        <v>1</v>
      </c>
      <c r="BB988" t="str">
        <f t="shared" si="47"/>
        <v xml:space="preserve">N607SR  </v>
      </c>
      <c r="BC988">
        <v>1</v>
      </c>
      <c r="BE988">
        <v>0</v>
      </c>
      <c r="BF988">
        <v>0</v>
      </c>
      <c r="BG988">
        <v>0</v>
      </c>
      <c r="BH988">
        <v>2600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"06:14:56.207"</f>
        <v>06:14:56.207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6</v>
      </c>
      <c r="CP988" t="s">
        <v>119</v>
      </c>
      <c r="CQ988">
        <v>457</v>
      </c>
      <c r="CR988">
        <v>0</v>
      </c>
      <c r="CW988">
        <v>15514354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"08/29/2020 06:14:53.534"</f>
        <v>08/29/2020 06:14:53.534</v>
      </c>
      <c r="C989" t="str">
        <f t="shared" si="45"/>
        <v>FFDFD3C0</v>
      </c>
      <c r="D989" t="s">
        <v>121</v>
      </c>
      <c r="E989">
        <v>11</v>
      </c>
      <c r="F989">
        <v>1011</v>
      </c>
      <c r="G989" t="s">
        <v>125</v>
      </c>
      <c r="J989" t="s">
        <v>123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"06:14:56.727"</f>
        <v>06:14:56.727</v>
      </c>
      <c r="T989" t="str">
        <f>"06:14:56.227"</f>
        <v>06:14:56.227</v>
      </c>
      <c r="U989" t="str">
        <f t="shared" si="46"/>
        <v>A7E2E0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0</v>
      </c>
      <c r="AI989" t="s">
        <v>771</v>
      </c>
      <c r="AJ989">
        <v>39.072682999999998</v>
      </c>
      <c r="AK989" t="s">
        <v>772</v>
      </c>
      <c r="AL989">
        <v>-87.500845999999996</v>
      </c>
      <c r="AM989">
        <v>100</v>
      </c>
      <c r="AN989">
        <v>2800</v>
      </c>
      <c r="AO989" t="s">
        <v>118</v>
      </c>
      <c r="AP989">
        <v>-98</v>
      </c>
      <c r="AQ989">
        <v>-133</v>
      </c>
      <c r="AR989">
        <v>0</v>
      </c>
      <c r="AZ989">
        <v>4552</v>
      </c>
      <c r="BA989">
        <v>1</v>
      </c>
      <c r="BB989" t="str">
        <f t="shared" si="47"/>
        <v xml:space="preserve">N607SR  </v>
      </c>
      <c r="BC989">
        <v>1</v>
      </c>
      <c r="BE989">
        <v>0</v>
      </c>
      <c r="BF989">
        <v>0</v>
      </c>
      <c r="BG989">
        <v>0</v>
      </c>
      <c r="BH989">
        <v>2600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"06:14:56.731"</f>
        <v>06:14:56.731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457</v>
      </c>
      <c r="CR989">
        <v>0</v>
      </c>
      <c r="CW989">
        <v>15514367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"08/29/2020 06:14:53.534"</f>
        <v>08/29/2020 06:14:53.534</v>
      </c>
      <c r="C990" t="str">
        <f t="shared" si="45"/>
        <v>FFDFD3C0</v>
      </c>
      <c r="D990" t="s">
        <v>121</v>
      </c>
      <c r="E990">
        <v>13</v>
      </c>
      <c r="F990">
        <v>1013</v>
      </c>
      <c r="G990" t="s">
        <v>122</v>
      </c>
      <c r="J990" t="s">
        <v>123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"06:14:56.727"</f>
        <v>06:14:56.727</v>
      </c>
      <c r="U990" t="str">
        <f t="shared" si="46"/>
        <v>A7E2E0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0</v>
      </c>
      <c r="AI990" t="s">
        <v>771</v>
      </c>
      <c r="AJ990">
        <v>39.072682999999998</v>
      </c>
      <c r="AK990" t="s">
        <v>772</v>
      </c>
      <c r="AL990">
        <v>-87.500845999999996</v>
      </c>
      <c r="AM990">
        <v>100</v>
      </c>
      <c r="AN990">
        <v>2800</v>
      </c>
      <c r="AO990" t="s">
        <v>118</v>
      </c>
      <c r="AP990">
        <v>-98</v>
      </c>
      <c r="AQ990">
        <v>-133</v>
      </c>
      <c r="AR990">
        <v>0</v>
      </c>
      <c r="AZ990">
        <v>4552</v>
      </c>
      <c r="BA990">
        <v>1</v>
      </c>
      <c r="BB990" t="str">
        <f t="shared" si="47"/>
        <v xml:space="preserve">N607SR  </v>
      </c>
      <c r="BC990">
        <v>1</v>
      </c>
      <c r="BE990">
        <v>0</v>
      </c>
      <c r="BF990">
        <v>0</v>
      </c>
      <c r="BG990">
        <v>0</v>
      </c>
      <c r="BH990">
        <v>2600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"06:14:56.731"</f>
        <v>06:14:56.731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5</v>
      </c>
      <c r="CP990" t="s">
        <v>119</v>
      </c>
      <c r="CQ990">
        <v>517</v>
      </c>
      <c r="CR990">
        <v>1</v>
      </c>
      <c r="CW990">
        <v>2479149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"08/29/2020 06:14:53.534"</f>
        <v>08/29/2020 06:14:53.534</v>
      </c>
      <c r="C991" t="str">
        <f t="shared" si="45"/>
        <v>FFDFD3C0</v>
      </c>
      <c r="D991" t="s">
        <v>121</v>
      </c>
      <c r="E991">
        <v>10</v>
      </c>
      <c r="F991">
        <v>1010</v>
      </c>
      <c r="G991" t="s">
        <v>114</v>
      </c>
      <c r="J991" t="s">
        <v>123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"06:14:56.727"</f>
        <v>06:14:56.727</v>
      </c>
      <c r="U991" t="str">
        <f t="shared" si="46"/>
        <v>A7E2E0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0</v>
      </c>
      <c r="AI991" t="s">
        <v>771</v>
      </c>
      <c r="AJ991">
        <v>39.072682999999998</v>
      </c>
      <c r="AK991" t="s">
        <v>772</v>
      </c>
      <c r="AL991">
        <v>-87.500845999999996</v>
      </c>
      <c r="AM991">
        <v>100</v>
      </c>
      <c r="AN991">
        <v>2800</v>
      </c>
      <c r="AO991" t="s">
        <v>118</v>
      </c>
      <c r="AP991">
        <v>-98</v>
      </c>
      <c r="AQ991">
        <v>-133</v>
      </c>
      <c r="AR991">
        <v>0</v>
      </c>
      <c r="AZ991">
        <v>4552</v>
      </c>
      <c r="BA991">
        <v>1</v>
      </c>
      <c r="BB991" t="str">
        <f t="shared" si="47"/>
        <v xml:space="preserve">N607SR  </v>
      </c>
      <c r="BC991">
        <v>1</v>
      </c>
      <c r="BE991">
        <v>0</v>
      </c>
      <c r="BF991">
        <v>0</v>
      </c>
      <c r="BG991">
        <v>0</v>
      </c>
      <c r="BH991">
        <v>2600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"06:14:56.731"</f>
        <v>06:14:56.731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5</v>
      </c>
      <c r="CP991" t="s">
        <v>119</v>
      </c>
      <c r="CQ991">
        <v>517</v>
      </c>
      <c r="CR991">
        <v>1</v>
      </c>
      <c r="CW991">
        <v>2479149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"08/29/2020 06:14:54.034"</f>
        <v>08/29/2020 06:14:54.034</v>
      </c>
      <c r="C992" t="str">
        <f t="shared" si="45"/>
        <v>FFDFD3C0</v>
      </c>
      <c r="D992" t="s">
        <v>128</v>
      </c>
      <c r="E992">
        <v>5</v>
      </c>
      <c r="H992">
        <v>241</v>
      </c>
      <c r="I992" t="s">
        <v>129</v>
      </c>
      <c r="J992" t="s">
        <v>130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"06:14:57.227"</f>
        <v>06:14:57.227</v>
      </c>
      <c r="T992" t="str">
        <f>"06:14:56.827"</f>
        <v>06:14:56.827</v>
      </c>
      <c r="U992" t="str">
        <f t="shared" si="46"/>
        <v>A7E2E0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0</v>
      </c>
      <c r="AI992" t="s">
        <v>773</v>
      </c>
      <c r="AJ992">
        <v>39.072403999999999</v>
      </c>
      <c r="AK992" t="s">
        <v>774</v>
      </c>
      <c r="AL992">
        <v>-87.501103999999998</v>
      </c>
      <c r="AM992">
        <v>100</v>
      </c>
      <c r="AN992">
        <v>2800</v>
      </c>
      <c r="AO992" t="s">
        <v>118</v>
      </c>
      <c r="AP992">
        <v>-98</v>
      </c>
      <c r="AQ992">
        <v>-133</v>
      </c>
      <c r="AR992">
        <v>0</v>
      </c>
      <c r="AZ992">
        <v>4552</v>
      </c>
      <c r="BA992">
        <v>1</v>
      </c>
      <c r="BB992" t="str">
        <f t="shared" si="47"/>
        <v xml:space="preserve">N607SR  </v>
      </c>
      <c r="BC992">
        <v>1</v>
      </c>
      <c r="BE992">
        <v>0</v>
      </c>
      <c r="BF992">
        <v>0</v>
      </c>
      <c r="BG992">
        <v>0</v>
      </c>
      <c r="BH992">
        <v>2600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"06:14:57.234"</f>
        <v>06:14:57.234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6</v>
      </c>
      <c r="CP992" t="s">
        <v>119</v>
      </c>
      <c r="CQ992">
        <v>457</v>
      </c>
      <c r="CR992">
        <v>0</v>
      </c>
      <c r="CW992">
        <v>15514382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"08/29/2020 06:14:54.034"</f>
        <v>08/29/2020 06:14:54.034</v>
      </c>
      <c r="C993" t="str">
        <f t="shared" si="45"/>
        <v>FFDFD3C0</v>
      </c>
      <c r="D993" t="s">
        <v>113</v>
      </c>
      <c r="E993">
        <v>5</v>
      </c>
      <c r="H993">
        <v>163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"06:14:57.227"</f>
        <v>06:14:57.227</v>
      </c>
      <c r="T993" t="str">
        <f>"06:14:56.827"</f>
        <v>06:14:56.827</v>
      </c>
      <c r="U993" t="str">
        <f t="shared" si="46"/>
        <v>A7E2E0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0</v>
      </c>
      <c r="AI993" t="s">
        <v>773</v>
      </c>
      <c r="AJ993">
        <v>39.072403999999999</v>
      </c>
      <c r="AK993" t="s">
        <v>774</v>
      </c>
      <c r="AL993">
        <v>-87.501103999999998</v>
      </c>
      <c r="AM993">
        <v>100</v>
      </c>
      <c r="AN993">
        <v>2800</v>
      </c>
      <c r="AO993" t="s">
        <v>118</v>
      </c>
      <c r="AP993">
        <v>-98</v>
      </c>
      <c r="AQ993">
        <v>-133</v>
      </c>
      <c r="AR993">
        <v>0</v>
      </c>
      <c r="AZ993">
        <v>4552</v>
      </c>
      <c r="BA993">
        <v>1</v>
      </c>
      <c r="BB993" t="str">
        <f t="shared" si="47"/>
        <v xml:space="preserve">N607SR  </v>
      </c>
      <c r="BC993">
        <v>1</v>
      </c>
      <c r="BE993">
        <v>0</v>
      </c>
      <c r="BF993">
        <v>0</v>
      </c>
      <c r="BG993">
        <v>0</v>
      </c>
      <c r="BH993">
        <v>2600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"06:14:57.234"</f>
        <v>06:14:57.234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6</v>
      </c>
      <c r="CP993" t="s">
        <v>119</v>
      </c>
      <c r="CQ993">
        <v>457</v>
      </c>
      <c r="CR993">
        <v>0</v>
      </c>
      <c r="CW993">
        <v>15514382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"08/29/2020 06:14:54.448"</f>
        <v>08/29/2020 06:14:54.448</v>
      </c>
      <c r="C994" t="str">
        <f t="shared" si="45"/>
        <v>FFDFD3C0</v>
      </c>
      <c r="D994" t="s">
        <v>121</v>
      </c>
      <c r="E994">
        <v>11</v>
      </c>
      <c r="F994">
        <v>1011</v>
      </c>
      <c r="G994" t="s">
        <v>125</v>
      </c>
      <c r="J994" t="s">
        <v>123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"06:14:57.641"</f>
        <v>06:14:57.641</v>
      </c>
      <c r="T994" t="str">
        <f>"06:14:57.241"</f>
        <v>06:14:57.241</v>
      </c>
      <c r="U994" t="str">
        <f t="shared" si="46"/>
        <v>A7E2E0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0</v>
      </c>
      <c r="AI994" t="s">
        <v>775</v>
      </c>
      <c r="AJ994">
        <v>39.072125</v>
      </c>
      <c r="AK994" t="s">
        <v>776</v>
      </c>
      <c r="AL994">
        <v>-87.501339999999999</v>
      </c>
      <c r="AM994">
        <v>100</v>
      </c>
      <c r="AN994">
        <v>2800</v>
      </c>
      <c r="AO994" t="s">
        <v>118</v>
      </c>
      <c r="AP994">
        <v>-98</v>
      </c>
      <c r="AQ994">
        <v>-133</v>
      </c>
      <c r="AR994">
        <v>0</v>
      </c>
      <c r="AZ994">
        <v>4552</v>
      </c>
      <c r="BA994">
        <v>1</v>
      </c>
      <c r="BB994" t="str">
        <f t="shared" si="47"/>
        <v xml:space="preserve">N607SR  </v>
      </c>
      <c r="BC994">
        <v>1</v>
      </c>
      <c r="BE994">
        <v>0</v>
      </c>
      <c r="BF994">
        <v>0</v>
      </c>
      <c r="BG994">
        <v>0</v>
      </c>
      <c r="BH994">
        <v>2600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"06:14:57.642"</f>
        <v>06:14:57.642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457</v>
      </c>
      <c r="CR994">
        <v>0</v>
      </c>
      <c r="CW994">
        <v>15514394</v>
      </c>
      <c r="CY994">
        <v>1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"08/29/2020 06:14:54.448"</f>
        <v>08/29/2020 06:14:54.448</v>
      </c>
      <c r="C995" t="str">
        <f t="shared" si="45"/>
        <v>FFDFD3C0</v>
      </c>
      <c r="D995" t="s">
        <v>121</v>
      </c>
      <c r="E995">
        <v>13</v>
      </c>
      <c r="F995">
        <v>1013</v>
      </c>
      <c r="G995" t="s">
        <v>122</v>
      </c>
      <c r="J995" t="s">
        <v>123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"06:14:57.641"</f>
        <v>06:14:57.641</v>
      </c>
      <c r="U995" t="str">
        <f t="shared" si="46"/>
        <v>A7E2E0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0</v>
      </c>
      <c r="AI995" t="s">
        <v>775</v>
      </c>
      <c r="AJ995">
        <v>39.072125</v>
      </c>
      <c r="AK995" t="s">
        <v>776</v>
      </c>
      <c r="AL995">
        <v>-87.501339999999999</v>
      </c>
      <c r="AM995">
        <v>100</v>
      </c>
      <c r="AN995">
        <v>2800</v>
      </c>
      <c r="AO995" t="s">
        <v>118</v>
      </c>
      <c r="AP995">
        <v>-99</v>
      </c>
      <c r="AQ995">
        <v>-133</v>
      </c>
      <c r="AR995">
        <v>0</v>
      </c>
      <c r="AZ995">
        <v>4552</v>
      </c>
      <c r="BA995">
        <v>1</v>
      </c>
      <c r="BB995" t="str">
        <f t="shared" si="47"/>
        <v xml:space="preserve">N607SR  </v>
      </c>
      <c r="BC995">
        <v>1</v>
      </c>
      <c r="BE995">
        <v>0</v>
      </c>
      <c r="BF995">
        <v>0</v>
      </c>
      <c r="BG995">
        <v>0</v>
      </c>
      <c r="BH995">
        <v>2600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"06:14:57.642"</f>
        <v>06:14:57.642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5</v>
      </c>
      <c r="CP995" t="s">
        <v>119</v>
      </c>
      <c r="CQ995">
        <v>517</v>
      </c>
      <c r="CR995">
        <v>1</v>
      </c>
      <c r="CW995">
        <v>2479178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"08/29/2020 06:14:54.448"</f>
        <v>08/29/2020 06:14:54.448</v>
      </c>
      <c r="C996" t="str">
        <f t="shared" si="45"/>
        <v>FFDFD3C0</v>
      </c>
      <c r="D996" t="s">
        <v>121</v>
      </c>
      <c r="E996">
        <v>10</v>
      </c>
      <c r="F996">
        <v>1010</v>
      </c>
      <c r="G996" t="s">
        <v>114</v>
      </c>
      <c r="J996" t="s">
        <v>123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"06:14:57.641"</f>
        <v>06:14:57.641</v>
      </c>
      <c r="U996" t="str">
        <f t="shared" si="46"/>
        <v>A7E2E0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0</v>
      </c>
      <c r="AI996" t="s">
        <v>775</v>
      </c>
      <c r="AJ996">
        <v>39.072125</v>
      </c>
      <c r="AK996" t="s">
        <v>776</v>
      </c>
      <c r="AL996">
        <v>-87.501339999999999</v>
      </c>
      <c r="AM996">
        <v>100</v>
      </c>
      <c r="AN996">
        <v>2800</v>
      </c>
      <c r="AO996" t="s">
        <v>118</v>
      </c>
      <c r="AP996">
        <v>-99</v>
      </c>
      <c r="AQ996">
        <v>-133</v>
      </c>
      <c r="AR996">
        <v>0</v>
      </c>
      <c r="AZ996">
        <v>4552</v>
      </c>
      <c r="BA996">
        <v>1</v>
      </c>
      <c r="BB996" t="str">
        <f t="shared" si="47"/>
        <v xml:space="preserve">N607SR  </v>
      </c>
      <c r="BC996">
        <v>1</v>
      </c>
      <c r="BE996">
        <v>0</v>
      </c>
      <c r="BF996">
        <v>0</v>
      </c>
      <c r="BG996">
        <v>0</v>
      </c>
      <c r="BH996">
        <v>2600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"06:14:57.642"</f>
        <v>06:14:57.642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5</v>
      </c>
      <c r="CP996" t="s">
        <v>119</v>
      </c>
      <c r="CQ996">
        <v>517</v>
      </c>
      <c r="CR996">
        <v>1</v>
      </c>
      <c r="CW996">
        <v>2479178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"08/29/2020 06:14:54.996"</f>
        <v>08/29/2020 06:14:54.996</v>
      </c>
      <c r="C997" t="str">
        <f t="shared" si="45"/>
        <v>FFDFD3C0</v>
      </c>
      <c r="D997" t="s">
        <v>113</v>
      </c>
      <c r="E997">
        <v>5</v>
      </c>
      <c r="H997">
        <v>163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"06:14:58.195"</f>
        <v>06:14:58.195</v>
      </c>
      <c r="T997" t="str">
        <f>"06:14:57.695"</f>
        <v>06:14:57.695</v>
      </c>
      <c r="U997" t="str">
        <f t="shared" si="46"/>
        <v>A7E2E0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0</v>
      </c>
      <c r="AI997" t="s">
        <v>777</v>
      </c>
      <c r="AJ997">
        <v>39.071824999999997</v>
      </c>
      <c r="AK997" t="s">
        <v>778</v>
      </c>
      <c r="AL997">
        <v>-87.501619000000005</v>
      </c>
      <c r="AM997">
        <v>100</v>
      </c>
      <c r="AN997">
        <v>2800</v>
      </c>
      <c r="AO997" t="s">
        <v>118</v>
      </c>
      <c r="AP997">
        <v>-99</v>
      </c>
      <c r="AQ997">
        <v>-133</v>
      </c>
      <c r="AR997">
        <v>0</v>
      </c>
      <c r="AZ997">
        <v>4552</v>
      </c>
      <c r="BA997">
        <v>1</v>
      </c>
      <c r="BB997" t="str">
        <f t="shared" si="47"/>
        <v xml:space="preserve">N607SR  </v>
      </c>
      <c r="BC997">
        <v>1</v>
      </c>
      <c r="BE997">
        <v>0</v>
      </c>
      <c r="BF997">
        <v>0</v>
      </c>
      <c r="BG997">
        <v>0</v>
      </c>
      <c r="BH997">
        <v>2600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"06:14:58.196"</f>
        <v>06:14:58.196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457</v>
      </c>
      <c r="CR997">
        <v>0</v>
      </c>
      <c r="CW997">
        <v>15514412</v>
      </c>
      <c r="CY997">
        <v>1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"08/29/2020 06:14:54.996"</f>
        <v>08/29/2020 06:14:54.996</v>
      </c>
      <c r="C998" t="str">
        <f t="shared" si="45"/>
        <v>FFDFD3C0</v>
      </c>
      <c r="D998" t="s">
        <v>128</v>
      </c>
      <c r="E998">
        <v>5</v>
      </c>
      <c r="H998">
        <v>241</v>
      </c>
      <c r="I998" t="s">
        <v>129</v>
      </c>
      <c r="J998" t="s">
        <v>130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"06:14:58.195"</f>
        <v>06:14:58.195</v>
      </c>
      <c r="T998" t="str">
        <f>"06:14:57.695"</f>
        <v>06:14:57.695</v>
      </c>
      <c r="U998" t="str">
        <f t="shared" si="46"/>
        <v>A7E2E0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0</v>
      </c>
      <c r="AI998" t="s">
        <v>777</v>
      </c>
      <c r="AJ998">
        <v>39.071824999999997</v>
      </c>
      <c r="AK998" t="s">
        <v>778</v>
      </c>
      <c r="AL998">
        <v>-87.501619000000005</v>
      </c>
      <c r="AM998">
        <v>100</v>
      </c>
      <c r="AN998">
        <v>2800</v>
      </c>
      <c r="AO998" t="s">
        <v>118</v>
      </c>
      <c r="AP998">
        <v>-99</v>
      </c>
      <c r="AQ998">
        <v>-133</v>
      </c>
      <c r="AR998">
        <v>0</v>
      </c>
      <c r="AZ998">
        <v>4552</v>
      </c>
      <c r="BA998">
        <v>1</v>
      </c>
      <c r="BB998" t="str">
        <f t="shared" si="47"/>
        <v xml:space="preserve">N607SR  </v>
      </c>
      <c r="BC998">
        <v>1</v>
      </c>
      <c r="BE998">
        <v>0</v>
      </c>
      <c r="BF998">
        <v>0</v>
      </c>
      <c r="BG998">
        <v>0</v>
      </c>
      <c r="BH998">
        <v>2600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"06:14:58.196"</f>
        <v>06:14:58.196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457</v>
      </c>
      <c r="CR998">
        <v>0</v>
      </c>
      <c r="CW998">
        <v>15514412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"08/29/2020 06:14:55.546"</f>
        <v>08/29/2020 06:14:55.546</v>
      </c>
      <c r="C999" t="str">
        <f t="shared" si="45"/>
        <v>FFDFD3C0</v>
      </c>
      <c r="D999" t="s">
        <v>121</v>
      </c>
      <c r="E999">
        <v>13</v>
      </c>
      <c r="F999">
        <v>1013</v>
      </c>
      <c r="G999" t="s">
        <v>122</v>
      </c>
      <c r="J999" t="s">
        <v>123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"06:14:58.758"</f>
        <v>06:14:58.758</v>
      </c>
      <c r="T999" t="str">
        <f>"06:14:58.258"</f>
        <v>06:14:58.258</v>
      </c>
      <c r="U999" t="str">
        <f t="shared" si="46"/>
        <v>A7E2E0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0</v>
      </c>
      <c r="AI999" t="s">
        <v>779</v>
      </c>
      <c r="AJ999">
        <v>39.071460000000002</v>
      </c>
      <c r="AK999" t="s">
        <v>780</v>
      </c>
      <c r="AL999">
        <v>-87.501983999999993</v>
      </c>
      <c r="AM999">
        <v>100</v>
      </c>
      <c r="AN999">
        <v>2800</v>
      </c>
      <c r="AO999" t="s">
        <v>118</v>
      </c>
      <c r="AP999">
        <v>-99</v>
      </c>
      <c r="AQ999">
        <v>-133</v>
      </c>
      <c r="AR999">
        <v>0</v>
      </c>
      <c r="AZ999">
        <v>4552</v>
      </c>
      <c r="BA999">
        <v>1</v>
      </c>
      <c r="BB999" t="str">
        <f t="shared" si="47"/>
        <v xml:space="preserve">N607SR  </v>
      </c>
      <c r="BC999">
        <v>1</v>
      </c>
      <c r="BE999">
        <v>0</v>
      </c>
      <c r="BF999">
        <v>0</v>
      </c>
      <c r="BG999">
        <v>0</v>
      </c>
      <c r="BH999">
        <v>2600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"06:14:58.763"</f>
        <v>06:14:58.763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177</v>
      </c>
      <c r="CR999">
        <v>2</v>
      </c>
      <c r="CW999">
        <v>1631515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"08/29/2020 06:14:55.546"</f>
        <v>08/29/2020 06:14:55.546</v>
      </c>
      <c r="C1000" t="str">
        <f t="shared" si="45"/>
        <v>FFDFD3C0</v>
      </c>
      <c r="D1000" t="s">
        <v>121</v>
      </c>
      <c r="E1000">
        <v>11</v>
      </c>
      <c r="F1000">
        <v>1011</v>
      </c>
      <c r="G1000" t="s">
        <v>125</v>
      </c>
      <c r="J1000" t="s">
        <v>123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"06:14:58.758"</f>
        <v>06:14:58.758</v>
      </c>
      <c r="T1000" t="str">
        <f>"06:14:58.258"</f>
        <v>06:14:58.258</v>
      </c>
      <c r="U1000" t="str">
        <f t="shared" si="46"/>
        <v>A7E2E0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0</v>
      </c>
      <c r="AI1000" t="s">
        <v>779</v>
      </c>
      <c r="AJ1000">
        <v>39.071460000000002</v>
      </c>
      <c r="AK1000" t="s">
        <v>780</v>
      </c>
      <c r="AL1000">
        <v>-87.501983999999993</v>
      </c>
      <c r="AM1000">
        <v>100</v>
      </c>
      <c r="AN1000">
        <v>2800</v>
      </c>
      <c r="AO1000" t="s">
        <v>118</v>
      </c>
      <c r="AP1000">
        <v>-99</v>
      </c>
      <c r="AQ1000">
        <v>-133</v>
      </c>
      <c r="AR1000">
        <v>0</v>
      </c>
      <c r="AZ1000">
        <v>4552</v>
      </c>
      <c r="BA1000">
        <v>1</v>
      </c>
      <c r="BB1000" t="str">
        <f t="shared" si="47"/>
        <v xml:space="preserve">N607SR  </v>
      </c>
      <c r="BC1000">
        <v>1</v>
      </c>
      <c r="BE1000">
        <v>0</v>
      </c>
      <c r="BF1000">
        <v>0</v>
      </c>
      <c r="BG1000">
        <v>0</v>
      </c>
      <c r="BH1000">
        <v>2600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"06:14:58.763"</f>
        <v>06:14:58.763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177</v>
      </c>
      <c r="CR1000">
        <v>2</v>
      </c>
      <c r="CW1000">
        <v>1631515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"08/29/2020 06:14:55.546"</f>
        <v>08/29/2020 06:14:55.546</v>
      </c>
      <c r="C1001" t="str">
        <f t="shared" si="45"/>
        <v>FFDFD3C0</v>
      </c>
      <c r="D1001" t="s">
        <v>121</v>
      </c>
      <c r="E1001">
        <v>10</v>
      </c>
      <c r="F1001">
        <v>1010</v>
      </c>
      <c r="G1001" t="s">
        <v>114</v>
      </c>
      <c r="J1001" t="s">
        <v>123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"06:14:58.758"</f>
        <v>06:14:58.758</v>
      </c>
      <c r="T1001" t="str">
        <f>"06:14:58.258"</f>
        <v>06:14:58.258</v>
      </c>
      <c r="U1001" t="str">
        <f t="shared" si="46"/>
        <v>A7E2E0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0</v>
      </c>
      <c r="AI1001" t="s">
        <v>779</v>
      </c>
      <c r="AJ1001">
        <v>39.071460000000002</v>
      </c>
      <c r="AK1001" t="s">
        <v>780</v>
      </c>
      <c r="AL1001">
        <v>-87.501983999999993</v>
      </c>
      <c r="AM1001">
        <v>100</v>
      </c>
      <c r="AN1001">
        <v>2800</v>
      </c>
      <c r="AO1001" t="s">
        <v>118</v>
      </c>
      <c r="AP1001">
        <v>-99</v>
      </c>
      <c r="AQ1001">
        <v>-133</v>
      </c>
      <c r="AR1001">
        <v>0</v>
      </c>
      <c r="AZ1001">
        <v>4552</v>
      </c>
      <c r="BA1001">
        <v>1</v>
      </c>
      <c r="BB1001" t="str">
        <f t="shared" si="47"/>
        <v xml:space="preserve">N607SR  </v>
      </c>
      <c r="BC1001">
        <v>1</v>
      </c>
      <c r="BE1001">
        <v>0</v>
      </c>
      <c r="BF1001">
        <v>0</v>
      </c>
      <c r="BG1001">
        <v>0</v>
      </c>
      <c r="BH1001">
        <v>2600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"06:14:58.763"</f>
        <v>06:14:58.763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177</v>
      </c>
      <c r="CR1001">
        <v>2</v>
      </c>
      <c r="CW1001">
        <v>1631515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"08/29/2020 06:14:56.061"</f>
        <v>08/29/2020 06:14:56.061</v>
      </c>
      <c r="C1002" t="str">
        <f t="shared" si="45"/>
        <v>FFDFD3C0</v>
      </c>
      <c r="D1002" t="s">
        <v>113</v>
      </c>
      <c r="E1002">
        <v>5</v>
      </c>
      <c r="H1002">
        <v>163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"06:14:59.266"</f>
        <v>06:14:59.266</v>
      </c>
      <c r="U1002" t="str">
        <f t="shared" si="46"/>
        <v>A7E2E0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0</v>
      </c>
      <c r="AI1002" t="s">
        <v>781</v>
      </c>
      <c r="AJ1002">
        <v>39.071159000000002</v>
      </c>
      <c r="AK1002" t="s">
        <v>782</v>
      </c>
      <c r="AL1002">
        <v>-87.502326999999994</v>
      </c>
      <c r="AM1002">
        <v>100</v>
      </c>
      <c r="AN1002">
        <v>2800</v>
      </c>
      <c r="AO1002" t="s">
        <v>118</v>
      </c>
      <c r="AP1002">
        <v>-99</v>
      </c>
      <c r="AQ1002">
        <v>-133</v>
      </c>
      <c r="AR1002">
        <v>0</v>
      </c>
      <c r="AZ1002">
        <v>4552</v>
      </c>
      <c r="BA1002">
        <v>1</v>
      </c>
      <c r="BB1002" t="str">
        <f t="shared" si="47"/>
        <v xml:space="preserve">N607SR  </v>
      </c>
      <c r="BC1002">
        <v>1</v>
      </c>
      <c r="BE1002">
        <v>0</v>
      </c>
      <c r="BF1002">
        <v>0</v>
      </c>
      <c r="BG1002">
        <v>0</v>
      </c>
      <c r="BH1002">
        <v>2600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"06:14:59.272"</f>
        <v>06:14:59.272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5</v>
      </c>
      <c r="CP1002" t="s">
        <v>119</v>
      </c>
      <c r="CQ1002">
        <v>465</v>
      </c>
      <c r="CR1002">
        <v>0</v>
      </c>
      <c r="CW1002">
        <v>4718321</v>
      </c>
      <c r="CY1002">
        <v>1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"08/29/2020 06:14:56.061"</f>
        <v>08/29/2020 06:14:56.061</v>
      </c>
      <c r="C1003" t="str">
        <f t="shared" si="45"/>
        <v>FFDFD3C0</v>
      </c>
      <c r="D1003" t="s">
        <v>128</v>
      </c>
      <c r="E1003">
        <v>5</v>
      </c>
      <c r="H1003">
        <v>241</v>
      </c>
      <c r="I1003" t="s">
        <v>129</v>
      </c>
      <c r="J1003" t="s">
        <v>130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"06:14:59.266"</f>
        <v>06:14:59.266</v>
      </c>
      <c r="U1003" t="str">
        <f t="shared" si="46"/>
        <v>A7E2E0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0</v>
      </c>
      <c r="AI1003" t="s">
        <v>781</v>
      </c>
      <c r="AJ1003">
        <v>39.071159000000002</v>
      </c>
      <c r="AK1003" t="s">
        <v>782</v>
      </c>
      <c r="AL1003">
        <v>-87.502326999999994</v>
      </c>
      <c r="AM1003">
        <v>100</v>
      </c>
      <c r="AN1003">
        <v>2800</v>
      </c>
      <c r="AO1003" t="s">
        <v>118</v>
      </c>
      <c r="AP1003">
        <v>-99</v>
      </c>
      <c r="AQ1003">
        <v>-133</v>
      </c>
      <c r="AR1003">
        <v>0</v>
      </c>
      <c r="AZ1003">
        <v>4552</v>
      </c>
      <c r="BA1003">
        <v>1</v>
      </c>
      <c r="BB1003" t="str">
        <f t="shared" si="47"/>
        <v xml:space="preserve">N607SR  </v>
      </c>
      <c r="BC1003">
        <v>1</v>
      </c>
      <c r="BE1003">
        <v>0</v>
      </c>
      <c r="BF1003">
        <v>0</v>
      </c>
      <c r="BG1003">
        <v>0</v>
      </c>
      <c r="BH1003">
        <v>2600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"06:14:59.272"</f>
        <v>06:14:59.272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5</v>
      </c>
      <c r="CP1003" t="s">
        <v>119</v>
      </c>
      <c r="CQ1003">
        <v>465</v>
      </c>
      <c r="CR1003">
        <v>0</v>
      </c>
      <c r="CW1003">
        <v>4718321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"08/29/2020 06:14:56.489"</f>
        <v>08/29/2020 06:14:56.489</v>
      </c>
      <c r="C1004" t="str">
        <f t="shared" si="45"/>
        <v>FFDFD3C0</v>
      </c>
      <c r="D1004" t="s">
        <v>121</v>
      </c>
      <c r="E1004">
        <v>10</v>
      </c>
      <c r="F1004">
        <v>1010</v>
      </c>
      <c r="G1004" t="s">
        <v>114</v>
      </c>
      <c r="J1004" t="s">
        <v>123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"06:14:59.695"</f>
        <v>06:14:59.695</v>
      </c>
      <c r="T1004" t="str">
        <f>"06:14:59.295"</f>
        <v>06:14:59.295</v>
      </c>
      <c r="U1004" t="str">
        <f t="shared" si="46"/>
        <v>A7E2E0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0</v>
      </c>
      <c r="AI1004" t="s">
        <v>783</v>
      </c>
      <c r="AJ1004">
        <v>39.070858999999999</v>
      </c>
      <c r="AK1004" t="s">
        <v>784</v>
      </c>
      <c r="AL1004">
        <v>-87.502583999999999</v>
      </c>
      <c r="AM1004">
        <v>100</v>
      </c>
      <c r="AN1004">
        <v>2800</v>
      </c>
      <c r="AO1004" t="s">
        <v>118</v>
      </c>
      <c r="AP1004">
        <v>-99</v>
      </c>
      <c r="AQ1004">
        <v>-133</v>
      </c>
      <c r="AR1004">
        <v>0</v>
      </c>
      <c r="AZ1004">
        <v>4552</v>
      </c>
      <c r="BA1004">
        <v>1</v>
      </c>
      <c r="BB1004" t="str">
        <f t="shared" si="47"/>
        <v xml:space="preserve">N607SR  </v>
      </c>
      <c r="BC1004">
        <v>1</v>
      </c>
      <c r="BE1004">
        <v>0</v>
      </c>
      <c r="BF1004">
        <v>0</v>
      </c>
      <c r="BG1004">
        <v>0</v>
      </c>
      <c r="BH1004">
        <v>2600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"06:14:59.701"</f>
        <v>06:14:59.701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457</v>
      </c>
      <c r="CR1004">
        <v>0</v>
      </c>
      <c r="CW1004">
        <v>15514449</v>
      </c>
      <c r="CY1004">
        <v>1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"08/29/2020 06:14:56.489"</f>
        <v>08/29/2020 06:14:56.489</v>
      </c>
      <c r="C1005" t="str">
        <f t="shared" si="45"/>
        <v>FFDFD3C0</v>
      </c>
      <c r="D1005" t="s">
        <v>121</v>
      </c>
      <c r="E1005">
        <v>13</v>
      </c>
      <c r="F1005">
        <v>1013</v>
      </c>
      <c r="G1005" t="s">
        <v>122</v>
      </c>
      <c r="J1005" t="s">
        <v>123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"06:14:59.695"</f>
        <v>06:14:59.695</v>
      </c>
      <c r="T1005" t="str">
        <f>"06:14:59.295"</f>
        <v>06:14:59.295</v>
      </c>
      <c r="U1005" t="str">
        <f t="shared" si="46"/>
        <v>A7E2E0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0</v>
      </c>
      <c r="AI1005" t="s">
        <v>783</v>
      </c>
      <c r="AJ1005">
        <v>39.070858999999999</v>
      </c>
      <c r="AK1005" t="s">
        <v>784</v>
      </c>
      <c r="AL1005">
        <v>-87.502583999999999</v>
      </c>
      <c r="AM1005">
        <v>100</v>
      </c>
      <c r="AN1005">
        <v>2800</v>
      </c>
      <c r="AO1005" t="s">
        <v>118</v>
      </c>
      <c r="AP1005">
        <v>-99</v>
      </c>
      <c r="AQ1005">
        <v>-133</v>
      </c>
      <c r="AR1005">
        <v>0</v>
      </c>
      <c r="AZ1005">
        <v>4552</v>
      </c>
      <c r="BA1005">
        <v>1</v>
      </c>
      <c r="BB1005" t="str">
        <f t="shared" si="47"/>
        <v xml:space="preserve">N607SR  </v>
      </c>
      <c r="BC1005">
        <v>1</v>
      </c>
      <c r="BE1005">
        <v>0</v>
      </c>
      <c r="BF1005">
        <v>0</v>
      </c>
      <c r="BG1005">
        <v>0</v>
      </c>
      <c r="BH1005">
        <v>2600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"06:14:59.701"</f>
        <v>06:14:59.701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457</v>
      </c>
      <c r="CR1005">
        <v>0</v>
      </c>
      <c r="CW1005">
        <v>15514449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"08/29/2020 06:14:56.489"</f>
        <v>08/29/2020 06:14:56.489</v>
      </c>
      <c r="C1006" t="str">
        <f t="shared" si="45"/>
        <v>FFDFD3C0</v>
      </c>
      <c r="D1006" t="s">
        <v>121</v>
      </c>
      <c r="E1006">
        <v>11</v>
      </c>
      <c r="F1006">
        <v>1011</v>
      </c>
      <c r="G1006" t="s">
        <v>125</v>
      </c>
      <c r="J1006" t="s">
        <v>123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"06:14:59.695"</f>
        <v>06:14:59.695</v>
      </c>
      <c r="T1006" t="str">
        <f>"06:14:59.295"</f>
        <v>06:14:59.295</v>
      </c>
      <c r="U1006" t="str">
        <f t="shared" si="46"/>
        <v>A7E2E0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0</v>
      </c>
      <c r="AI1006" t="s">
        <v>783</v>
      </c>
      <c r="AJ1006">
        <v>39.070858999999999</v>
      </c>
      <c r="AK1006" t="s">
        <v>784</v>
      </c>
      <c r="AL1006">
        <v>-87.502583999999999</v>
      </c>
      <c r="AM1006">
        <v>100</v>
      </c>
      <c r="AN1006">
        <v>2800</v>
      </c>
      <c r="AO1006" t="s">
        <v>118</v>
      </c>
      <c r="AP1006">
        <v>-99</v>
      </c>
      <c r="AQ1006">
        <v>-133</v>
      </c>
      <c r="AR1006">
        <v>0</v>
      </c>
      <c r="AZ1006">
        <v>4552</v>
      </c>
      <c r="BA1006">
        <v>1</v>
      </c>
      <c r="BB1006" t="str">
        <f t="shared" si="47"/>
        <v xml:space="preserve">N607SR  </v>
      </c>
      <c r="BC1006">
        <v>1</v>
      </c>
      <c r="BE1006">
        <v>0</v>
      </c>
      <c r="BF1006">
        <v>0</v>
      </c>
      <c r="BG1006">
        <v>0</v>
      </c>
      <c r="BH1006">
        <v>2600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"06:14:59.701"</f>
        <v>06:14:59.701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457</v>
      </c>
      <c r="CR1006">
        <v>0</v>
      </c>
      <c r="CW1006">
        <v>15514449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"08/29/2020 06:14:56.971"</f>
        <v>08/29/2020 06:14:56.971</v>
      </c>
      <c r="C1007" t="str">
        <f t="shared" si="45"/>
        <v>FFDFD3C0</v>
      </c>
      <c r="D1007" t="s">
        <v>128</v>
      </c>
      <c r="E1007">
        <v>5</v>
      </c>
      <c r="H1007">
        <v>241</v>
      </c>
      <c r="I1007" t="s">
        <v>129</v>
      </c>
      <c r="J1007" t="s">
        <v>130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"06:15:00.195"</f>
        <v>06:15:00.195</v>
      </c>
      <c r="T1007" t="str">
        <f>"06:14:59.795"</f>
        <v>06:14:59.795</v>
      </c>
      <c r="U1007" t="str">
        <f t="shared" si="46"/>
        <v>A7E2E0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0</v>
      </c>
      <c r="AI1007" t="s">
        <v>785</v>
      </c>
      <c r="AJ1007">
        <v>39.070559000000003</v>
      </c>
      <c r="AK1007" t="s">
        <v>786</v>
      </c>
      <c r="AL1007">
        <v>-87.502863000000005</v>
      </c>
      <c r="AM1007">
        <v>100</v>
      </c>
      <c r="AN1007">
        <v>2800</v>
      </c>
      <c r="AO1007" t="s">
        <v>118</v>
      </c>
      <c r="AP1007">
        <v>-99</v>
      </c>
      <c r="AQ1007">
        <v>-133</v>
      </c>
      <c r="AR1007">
        <v>0</v>
      </c>
      <c r="AZ1007">
        <v>4552</v>
      </c>
      <c r="BA1007">
        <v>1</v>
      </c>
      <c r="BB1007" t="str">
        <f t="shared" si="47"/>
        <v xml:space="preserve">N607SR  </v>
      </c>
      <c r="BC1007">
        <v>1</v>
      </c>
      <c r="BE1007">
        <v>0</v>
      </c>
      <c r="BF1007">
        <v>0</v>
      </c>
      <c r="BG1007">
        <v>0</v>
      </c>
      <c r="BH1007">
        <v>2600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"06:15:00.201"</f>
        <v>06:15:00.201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457</v>
      </c>
      <c r="CR1007">
        <v>0</v>
      </c>
      <c r="CW1007">
        <v>15514465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"08/29/2020 06:14:56.971"</f>
        <v>08/29/2020 06:14:56.971</v>
      </c>
      <c r="C1008" t="str">
        <f t="shared" si="45"/>
        <v>FFDFD3C0</v>
      </c>
      <c r="D1008" t="s">
        <v>113</v>
      </c>
      <c r="E1008">
        <v>5</v>
      </c>
      <c r="H1008">
        <v>163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"06:15:00.195"</f>
        <v>06:15:00.195</v>
      </c>
      <c r="T1008" t="str">
        <f>"06:14:59.795"</f>
        <v>06:14:59.795</v>
      </c>
      <c r="U1008" t="str">
        <f t="shared" si="46"/>
        <v>A7E2E0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0</v>
      </c>
      <c r="AI1008" t="s">
        <v>785</v>
      </c>
      <c r="AJ1008">
        <v>39.070559000000003</v>
      </c>
      <c r="AK1008" t="s">
        <v>786</v>
      </c>
      <c r="AL1008">
        <v>-87.502863000000005</v>
      </c>
      <c r="AM1008">
        <v>100</v>
      </c>
      <c r="AN1008">
        <v>2800</v>
      </c>
      <c r="AO1008" t="s">
        <v>118</v>
      </c>
      <c r="AP1008">
        <v>-99</v>
      </c>
      <c r="AQ1008">
        <v>-133</v>
      </c>
      <c r="AR1008">
        <v>0</v>
      </c>
      <c r="AZ1008">
        <v>4552</v>
      </c>
      <c r="BA1008">
        <v>1</v>
      </c>
      <c r="BB1008" t="str">
        <f t="shared" si="47"/>
        <v xml:space="preserve">N607SR  </v>
      </c>
      <c r="BC1008">
        <v>1</v>
      </c>
      <c r="BE1008">
        <v>0</v>
      </c>
      <c r="BF1008">
        <v>0</v>
      </c>
      <c r="BG1008">
        <v>0</v>
      </c>
      <c r="BH1008">
        <v>2600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"06:15:00.201"</f>
        <v>06:15:00.201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457</v>
      </c>
      <c r="CR1008">
        <v>0</v>
      </c>
      <c r="CW1008">
        <v>15514465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"08/29/2020 06:14:57.489"</f>
        <v>08/29/2020 06:14:57.489</v>
      </c>
      <c r="C1009" t="str">
        <f t="shared" si="45"/>
        <v>FFDFD3C0</v>
      </c>
      <c r="D1009" t="s">
        <v>121</v>
      </c>
      <c r="E1009">
        <v>11</v>
      </c>
      <c r="F1009">
        <v>1011</v>
      </c>
      <c r="G1009" t="s">
        <v>125</v>
      </c>
      <c r="J1009" t="s">
        <v>123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"06:15:00.711"</f>
        <v>06:15:00.711</v>
      </c>
      <c r="T1009" t="str">
        <f>"06:15:00.211"</f>
        <v>06:15:00.211</v>
      </c>
      <c r="U1009" t="str">
        <f t="shared" si="46"/>
        <v>A7E2E0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0</v>
      </c>
      <c r="AI1009" t="s">
        <v>787</v>
      </c>
      <c r="AJ1009">
        <v>39.070214999999997</v>
      </c>
      <c r="AK1009" t="s">
        <v>788</v>
      </c>
      <c r="AL1009">
        <v>-87.503185000000002</v>
      </c>
      <c r="AM1009">
        <v>100</v>
      </c>
      <c r="AN1009">
        <v>2800</v>
      </c>
      <c r="AO1009" t="s">
        <v>118</v>
      </c>
      <c r="AP1009">
        <v>-99</v>
      </c>
      <c r="AQ1009">
        <v>-133</v>
      </c>
      <c r="AR1009">
        <v>0</v>
      </c>
      <c r="AZ1009">
        <v>4552</v>
      </c>
      <c r="BA1009">
        <v>1</v>
      </c>
      <c r="BB1009" t="str">
        <f t="shared" si="47"/>
        <v xml:space="preserve">N607SR  </v>
      </c>
      <c r="BC1009">
        <v>1</v>
      </c>
      <c r="BE1009">
        <v>0</v>
      </c>
      <c r="BF1009">
        <v>0</v>
      </c>
      <c r="BG1009">
        <v>0</v>
      </c>
      <c r="BH1009">
        <v>2600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"06:15:00.717"</f>
        <v>06:15:00.717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6</v>
      </c>
      <c r="CP1009" t="s">
        <v>119</v>
      </c>
      <c r="CQ1009">
        <v>177</v>
      </c>
      <c r="CR1009">
        <v>2</v>
      </c>
      <c r="CW1009">
        <v>1631806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"08/29/2020 06:14:57.489"</f>
        <v>08/29/2020 06:14:57.489</v>
      </c>
      <c r="C1010" t="str">
        <f t="shared" si="45"/>
        <v>FFDFD3C0</v>
      </c>
      <c r="D1010" t="s">
        <v>121</v>
      </c>
      <c r="E1010">
        <v>13</v>
      </c>
      <c r="F1010">
        <v>1013</v>
      </c>
      <c r="G1010" t="s">
        <v>122</v>
      </c>
      <c r="J1010" t="s">
        <v>123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"06:15:00.711"</f>
        <v>06:15:00.711</v>
      </c>
      <c r="U1010" t="str">
        <f t="shared" si="46"/>
        <v>A7E2E0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0</v>
      </c>
      <c r="AI1010" t="s">
        <v>787</v>
      </c>
      <c r="AJ1010">
        <v>39.070214999999997</v>
      </c>
      <c r="AK1010" t="s">
        <v>788</v>
      </c>
      <c r="AL1010">
        <v>-87.503185000000002</v>
      </c>
      <c r="AM1010">
        <v>100</v>
      </c>
      <c r="AN1010">
        <v>2800</v>
      </c>
      <c r="AO1010" t="s">
        <v>118</v>
      </c>
      <c r="AP1010">
        <v>-99</v>
      </c>
      <c r="AQ1010">
        <v>-133</v>
      </c>
      <c r="AR1010">
        <v>0</v>
      </c>
      <c r="AZ1010">
        <v>4552</v>
      </c>
      <c r="BA1010">
        <v>1</v>
      </c>
      <c r="BB1010" t="str">
        <f t="shared" si="47"/>
        <v xml:space="preserve">N607SR  </v>
      </c>
      <c r="BC1010">
        <v>1</v>
      </c>
      <c r="BE1010">
        <v>0</v>
      </c>
      <c r="BF1010">
        <v>0</v>
      </c>
      <c r="BG1010">
        <v>0</v>
      </c>
      <c r="BH1010">
        <v>2600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"06:15:00.717"</f>
        <v>06:15:00.717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4</v>
      </c>
      <c r="CP1010" t="s">
        <v>119</v>
      </c>
      <c r="CQ1010">
        <v>465</v>
      </c>
      <c r="CR1010">
        <v>0</v>
      </c>
      <c r="CW1010">
        <v>4718367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"08/29/2020 06:14:57.489"</f>
        <v>08/29/2020 06:14:57.489</v>
      </c>
      <c r="C1011" t="str">
        <f t="shared" si="45"/>
        <v>FFDFD3C0</v>
      </c>
      <c r="D1011" t="s">
        <v>121</v>
      </c>
      <c r="E1011">
        <v>10</v>
      </c>
      <c r="F1011">
        <v>1010</v>
      </c>
      <c r="G1011" t="s">
        <v>114</v>
      </c>
      <c r="J1011" t="s">
        <v>123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"06:15:00.711"</f>
        <v>06:15:00.711</v>
      </c>
      <c r="U1011" t="str">
        <f t="shared" si="46"/>
        <v>A7E2E0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0</v>
      </c>
      <c r="AI1011" t="s">
        <v>787</v>
      </c>
      <c r="AJ1011">
        <v>39.070214999999997</v>
      </c>
      <c r="AK1011" t="s">
        <v>788</v>
      </c>
      <c r="AL1011">
        <v>-87.503185000000002</v>
      </c>
      <c r="AM1011">
        <v>100</v>
      </c>
      <c r="AN1011">
        <v>2800</v>
      </c>
      <c r="AO1011" t="s">
        <v>118</v>
      </c>
      <c r="AP1011">
        <v>-99</v>
      </c>
      <c r="AQ1011">
        <v>-133</v>
      </c>
      <c r="AR1011">
        <v>0</v>
      </c>
      <c r="AZ1011">
        <v>4552</v>
      </c>
      <c r="BA1011">
        <v>1</v>
      </c>
      <c r="BB1011" t="str">
        <f t="shared" si="47"/>
        <v xml:space="preserve">N607SR  </v>
      </c>
      <c r="BC1011">
        <v>1</v>
      </c>
      <c r="BE1011">
        <v>0</v>
      </c>
      <c r="BF1011">
        <v>0</v>
      </c>
      <c r="BG1011">
        <v>0</v>
      </c>
      <c r="BH1011">
        <v>2600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"06:15:00.717"</f>
        <v>06:15:00.717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4</v>
      </c>
      <c r="CP1011" t="s">
        <v>119</v>
      </c>
      <c r="CQ1011">
        <v>465</v>
      </c>
      <c r="CR1011">
        <v>0</v>
      </c>
      <c r="CW1011">
        <v>4718367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"08/29/2020 06:14:57.981"</f>
        <v>08/29/2020 06:14:57.981</v>
      </c>
      <c r="C1012" t="str">
        <f t="shared" si="45"/>
        <v>FFDFD3C0</v>
      </c>
      <c r="D1012" t="s">
        <v>128</v>
      </c>
      <c r="E1012">
        <v>5</v>
      </c>
      <c r="H1012">
        <v>241</v>
      </c>
      <c r="I1012" t="s">
        <v>129</v>
      </c>
      <c r="J1012" t="s">
        <v>130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"06:15:01.164"</f>
        <v>06:15:01.164</v>
      </c>
      <c r="T1012" t="str">
        <f>"06:15:00.764"</f>
        <v>06:15:00.764</v>
      </c>
      <c r="U1012" t="str">
        <f t="shared" si="46"/>
        <v>A7E2E0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0</v>
      </c>
      <c r="AI1012" t="s">
        <v>789</v>
      </c>
      <c r="AJ1012">
        <v>39.070000999999998</v>
      </c>
      <c r="AK1012" t="s">
        <v>790</v>
      </c>
      <c r="AL1012">
        <v>-87.503421000000003</v>
      </c>
      <c r="AM1012">
        <v>100</v>
      </c>
      <c r="AN1012">
        <v>2800</v>
      </c>
      <c r="AO1012" t="s">
        <v>118</v>
      </c>
      <c r="AP1012">
        <v>-99</v>
      </c>
      <c r="AQ1012">
        <v>-133</v>
      </c>
      <c r="AR1012">
        <v>0</v>
      </c>
      <c r="AZ1012">
        <v>4552</v>
      </c>
      <c r="BA1012">
        <v>1</v>
      </c>
      <c r="BB1012" t="str">
        <f t="shared" si="47"/>
        <v xml:space="preserve">N607SR  </v>
      </c>
      <c r="BC1012">
        <v>1</v>
      </c>
      <c r="BE1012">
        <v>0</v>
      </c>
      <c r="BF1012">
        <v>0</v>
      </c>
      <c r="BG1012">
        <v>0</v>
      </c>
      <c r="BH1012">
        <v>2600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"06:15:01.171"</f>
        <v>06:15:01.171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457</v>
      </c>
      <c r="CR1012">
        <v>0</v>
      </c>
      <c r="CW1012">
        <v>15514492</v>
      </c>
      <c r="CY1012">
        <v>1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"08/29/2020 06:14:57.981"</f>
        <v>08/29/2020 06:14:57.981</v>
      </c>
      <c r="C1013" t="str">
        <f t="shared" si="45"/>
        <v>FFDFD3C0</v>
      </c>
      <c r="D1013" t="s">
        <v>113</v>
      </c>
      <c r="E1013">
        <v>5</v>
      </c>
      <c r="H1013">
        <v>163</v>
      </c>
      <c r="I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"06:15:01.164"</f>
        <v>06:15:01.164</v>
      </c>
      <c r="T1013" t="str">
        <f>"06:15:00.764"</f>
        <v>06:15:00.764</v>
      </c>
      <c r="U1013" t="str">
        <f t="shared" si="46"/>
        <v>A7E2E0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0</v>
      </c>
      <c r="AI1013" t="s">
        <v>789</v>
      </c>
      <c r="AJ1013">
        <v>39.070000999999998</v>
      </c>
      <c r="AK1013" t="s">
        <v>790</v>
      </c>
      <c r="AL1013">
        <v>-87.503421000000003</v>
      </c>
      <c r="AM1013">
        <v>100</v>
      </c>
      <c r="AN1013">
        <v>2800</v>
      </c>
      <c r="AO1013" t="s">
        <v>118</v>
      </c>
      <c r="AP1013">
        <v>-99</v>
      </c>
      <c r="AQ1013">
        <v>-133</v>
      </c>
      <c r="AR1013">
        <v>0</v>
      </c>
      <c r="AZ1013">
        <v>4552</v>
      </c>
      <c r="BA1013">
        <v>1</v>
      </c>
      <c r="BB1013" t="str">
        <f t="shared" si="47"/>
        <v xml:space="preserve">N607SR  </v>
      </c>
      <c r="BC1013">
        <v>1</v>
      </c>
      <c r="BE1013">
        <v>0</v>
      </c>
      <c r="BF1013">
        <v>0</v>
      </c>
      <c r="BG1013">
        <v>0</v>
      </c>
      <c r="BH1013">
        <v>2600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"06:15:01.171"</f>
        <v>06:15:01.171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457</v>
      </c>
      <c r="CR1013">
        <v>0</v>
      </c>
      <c r="CW1013">
        <v>15514492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"08/29/2020 06:14:58.383"</f>
        <v>08/29/2020 06:14:58.383</v>
      </c>
      <c r="C1014" t="str">
        <f t="shared" si="45"/>
        <v>FFDFD3C0</v>
      </c>
      <c r="D1014" t="s">
        <v>121</v>
      </c>
      <c r="E1014">
        <v>13</v>
      </c>
      <c r="F1014">
        <v>1013</v>
      </c>
      <c r="G1014" t="s">
        <v>122</v>
      </c>
      <c r="J1014" t="s">
        <v>123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"06:15:01.617"</f>
        <v>06:15:01.617</v>
      </c>
      <c r="T1014" t="str">
        <f>"06:15:01.217"</f>
        <v>06:15:01.217</v>
      </c>
      <c r="U1014" t="str">
        <f t="shared" si="46"/>
        <v>A7E2E0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0</v>
      </c>
      <c r="AI1014" t="s">
        <v>791</v>
      </c>
      <c r="AJ1014">
        <v>39.069656999999999</v>
      </c>
      <c r="AK1014" t="s">
        <v>792</v>
      </c>
      <c r="AL1014">
        <v>-87.503721999999996</v>
      </c>
      <c r="AM1014">
        <v>100</v>
      </c>
      <c r="AN1014">
        <v>2800</v>
      </c>
      <c r="AO1014" t="s">
        <v>118</v>
      </c>
      <c r="AP1014">
        <v>-99</v>
      </c>
      <c r="AQ1014">
        <v>-133</v>
      </c>
      <c r="AR1014">
        <v>0</v>
      </c>
      <c r="AZ1014">
        <v>4552</v>
      </c>
      <c r="BA1014">
        <v>1</v>
      </c>
      <c r="BB1014" t="str">
        <f t="shared" si="47"/>
        <v xml:space="preserve">N607SR  </v>
      </c>
      <c r="BC1014">
        <v>1</v>
      </c>
      <c r="BE1014">
        <v>0</v>
      </c>
      <c r="BF1014">
        <v>0</v>
      </c>
      <c r="BG1014">
        <v>0</v>
      </c>
      <c r="BH1014">
        <v>2600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"06:15:01.622"</f>
        <v>06:15:01.622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457</v>
      </c>
      <c r="CR1014">
        <v>0</v>
      </c>
      <c r="CW1014">
        <v>15514504</v>
      </c>
      <c r="CY1014">
        <v>1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"08/29/2020 06:14:58.383"</f>
        <v>08/29/2020 06:14:58.383</v>
      </c>
      <c r="C1015" t="str">
        <f t="shared" si="45"/>
        <v>FFDFD3C0</v>
      </c>
      <c r="D1015" t="s">
        <v>121</v>
      </c>
      <c r="E1015">
        <v>11</v>
      </c>
      <c r="F1015">
        <v>1011</v>
      </c>
      <c r="G1015" t="s">
        <v>125</v>
      </c>
      <c r="J1015" t="s">
        <v>123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"06:15:01.617"</f>
        <v>06:15:01.617</v>
      </c>
      <c r="T1015" t="str">
        <f>"06:15:01.217"</f>
        <v>06:15:01.217</v>
      </c>
      <c r="U1015" t="str">
        <f t="shared" si="46"/>
        <v>A7E2E0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0</v>
      </c>
      <c r="AI1015" t="s">
        <v>791</v>
      </c>
      <c r="AJ1015">
        <v>39.069656999999999</v>
      </c>
      <c r="AK1015" t="s">
        <v>792</v>
      </c>
      <c r="AL1015">
        <v>-87.503721999999996</v>
      </c>
      <c r="AM1015">
        <v>100</v>
      </c>
      <c r="AN1015">
        <v>2800</v>
      </c>
      <c r="AO1015" t="s">
        <v>118</v>
      </c>
      <c r="AP1015">
        <v>-99</v>
      </c>
      <c r="AQ1015">
        <v>-133</v>
      </c>
      <c r="AR1015">
        <v>0</v>
      </c>
      <c r="AZ1015">
        <v>4552</v>
      </c>
      <c r="BA1015">
        <v>1</v>
      </c>
      <c r="BB1015" t="str">
        <f t="shared" si="47"/>
        <v xml:space="preserve">N607SR  </v>
      </c>
      <c r="BC1015">
        <v>1</v>
      </c>
      <c r="BE1015">
        <v>0</v>
      </c>
      <c r="BF1015">
        <v>0</v>
      </c>
      <c r="BG1015">
        <v>0</v>
      </c>
      <c r="BH1015">
        <v>2600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"06:15:01.622"</f>
        <v>06:15:01.622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6</v>
      </c>
      <c r="CP1015" t="s">
        <v>119</v>
      </c>
      <c r="CQ1015">
        <v>457</v>
      </c>
      <c r="CR1015">
        <v>0</v>
      </c>
      <c r="CW1015">
        <v>15514504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"08/29/2020 06:14:58.383"</f>
        <v>08/29/2020 06:14:58.383</v>
      </c>
      <c r="C1016" t="str">
        <f t="shared" si="45"/>
        <v>FFDFD3C0</v>
      </c>
      <c r="D1016" t="s">
        <v>121</v>
      </c>
      <c r="E1016">
        <v>10</v>
      </c>
      <c r="F1016">
        <v>1010</v>
      </c>
      <c r="G1016" t="s">
        <v>114</v>
      </c>
      <c r="J1016" t="s">
        <v>123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"06:15:01.617"</f>
        <v>06:15:01.617</v>
      </c>
      <c r="T1016" t="str">
        <f>"06:15:01.217"</f>
        <v>06:15:01.217</v>
      </c>
      <c r="U1016" t="str">
        <f t="shared" si="46"/>
        <v>A7E2E0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0</v>
      </c>
      <c r="AI1016" t="s">
        <v>791</v>
      </c>
      <c r="AJ1016">
        <v>39.069656999999999</v>
      </c>
      <c r="AK1016" t="s">
        <v>792</v>
      </c>
      <c r="AL1016">
        <v>-87.503721999999996</v>
      </c>
      <c r="AM1016">
        <v>100</v>
      </c>
      <c r="AN1016">
        <v>2800</v>
      </c>
      <c r="AO1016" t="s">
        <v>118</v>
      </c>
      <c r="AP1016">
        <v>-99</v>
      </c>
      <c r="AQ1016">
        <v>-133</v>
      </c>
      <c r="AR1016">
        <v>0</v>
      </c>
      <c r="AZ1016">
        <v>4552</v>
      </c>
      <c r="BA1016">
        <v>1</v>
      </c>
      <c r="BB1016" t="str">
        <f t="shared" si="47"/>
        <v xml:space="preserve">N607SR  </v>
      </c>
      <c r="BC1016">
        <v>1</v>
      </c>
      <c r="BE1016">
        <v>0</v>
      </c>
      <c r="BF1016">
        <v>0</v>
      </c>
      <c r="BG1016">
        <v>0</v>
      </c>
      <c r="BH1016">
        <v>2600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"06:15:01.622"</f>
        <v>06:15:01.622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6</v>
      </c>
      <c r="CP1016" t="s">
        <v>119</v>
      </c>
      <c r="CQ1016">
        <v>457</v>
      </c>
      <c r="CR1016">
        <v>0</v>
      </c>
      <c r="CW1016">
        <v>15514504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"08/29/2020 06:14:58.841"</f>
        <v>08/29/2020 06:14:58.841</v>
      </c>
      <c r="C1017" t="str">
        <f t="shared" si="45"/>
        <v>FFDFD3C0</v>
      </c>
      <c r="D1017" t="s">
        <v>128</v>
      </c>
      <c r="E1017">
        <v>5</v>
      </c>
      <c r="H1017">
        <v>241</v>
      </c>
      <c r="I1017" t="s">
        <v>129</v>
      </c>
      <c r="J1017" t="s">
        <v>130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"06:15:02.039"</f>
        <v>06:15:02.039</v>
      </c>
      <c r="T1017" t="str">
        <f>"06:15:01.639"</f>
        <v>06:15:01.639</v>
      </c>
      <c r="U1017" t="str">
        <f t="shared" si="46"/>
        <v>A7E2E0</v>
      </c>
      <c r="V1017">
        <v>0</v>
      </c>
      <c r="W1017">
        <v>0</v>
      </c>
      <c r="X1017">
        <v>1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0</v>
      </c>
      <c r="AI1017" t="s">
        <v>793</v>
      </c>
      <c r="AJ1017">
        <v>39.069420999999998</v>
      </c>
      <c r="AK1017" t="s">
        <v>794</v>
      </c>
      <c r="AL1017">
        <v>-87.503957999999997</v>
      </c>
      <c r="AM1017">
        <v>100</v>
      </c>
      <c r="AN1017">
        <v>2800</v>
      </c>
      <c r="AO1017" t="s">
        <v>118</v>
      </c>
      <c r="AP1017">
        <v>-100</v>
      </c>
      <c r="AQ1017">
        <v>-133</v>
      </c>
      <c r="AR1017">
        <v>0</v>
      </c>
      <c r="AZ1017">
        <v>4552</v>
      </c>
      <c r="BA1017">
        <v>1</v>
      </c>
      <c r="BB1017" t="str">
        <f t="shared" si="47"/>
        <v xml:space="preserve">N607SR  </v>
      </c>
      <c r="BC1017">
        <v>1</v>
      </c>
      <c r="BE1017">
        <v>0</v>
      </c>
      <c r="BF1017">
        <v>0</v>
      </c>
      <c r="BG1017">
        <v>0</v>
      </c>
      <c r="BH1017">
        <v>2600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"06:15:02.039"</f>
        <v>06:15:02.039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457</v>
      </c>
      <c r="CR1017">
        <v>0</v>
      </c>
      <c r="CW1017">
        <v>15514519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"08/29/2020 06:14:58.841"</f>
        <v>08/29/2020 06:14:58.841</v>
      </c>
      <c r="C1018" t="str">
        <f t="shared" si="45"/>
        <v>FFDFD3C0</v>
      </c>
      <c r="D1018" t="s">
        <v>113</v>
      </c>
      <c r="E1018">
        <v>5</v>
      </c>
      <c r="H1018">
        <v>163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"06:15:02.039"</f>
        <v>06:15:02.039</v>
      </c>
      <c r="T1018" t="str">
        <f>"06:15:01.639"</f>
        <v>06:15:01.639</v>
      </c>
      <c r="U1018" t="str">
        <f t="shared" si="46"/>
        <v>A7E2E0</v>
      </c>
      <c r="V1018">
        <v>0</v>
      </c>
      <c r="W1018">
        <v>0</v>
      </c>
      <c r="X1018">
        <v>1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0</v>
      </c>
      <c r="AI1018" t="s">
        <v>793</v>
      </c>
      <c r="AJ1018">
        <v>39.069420999999998</v>
      </c>
      <c r="AK1018" t="s">
        <v>794</v>
      </c>
      <c r="AL1018">
        <v>-87.503957999999997</v>
      </c>
      <c r="AM1018">
        <v>100</v>
      </c>
      <c r="AN1018">
        <v>2800</v>
      </c>
      <c r="AO1018" t="s">
        <v>118</v>
      </c>
      <c r="AP1018">
        <v>-100</v>
      </c>
      <c r="AQ1018">
        <v>-133</v>
      </c>
      <c r="AR1018">
        <v>0</v>
      </c>
      <c r="AZ1018">
        <v>4552</v>
      </c>
      <c r="BA1018">
        <v>1</v>
      </c>
      <c r="BB1018" t="str">
        <f t="shared" si="47"/>
        <v xml:space="preserve">N607SR  </v>
      </c>
      <c r="BC1018">
        <v>1</v>
      </c>
      <c r="BE1018">
        <v>0</v>
      </c>
      <c r="BF1018">
        <v>0</v>
      </c>
      <c r="BG1018">
        <v>0</v>
      </c>
      <c r="BH1018">
        <v>2600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"06:15:02.039"</f>
        <v>06:15:02.039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457</v>
      </c>
      <c r="CR1018">
        <v>0</v>
      </c>
      <c r="CW1018">
        <v>15514519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"08/29/2020 06:14:59.261"</f>
        <v>08/29/2020 06:14:59.261</v>
      </c>
      <c r="C1019" t="str">
        <f t="shared" si="45"/>
        <v>FFDFD3C0</v>
      </c>
      <c r="D1019" t="s">
        <v>121</v>
      </c>
      <c r="E1019">
        <v>11</v>
      </c>
      <c r="F1019">
        <v>1011</v>
      </c>
      <c r="G1019" t="s">
        <v>125</v>
      </c>
      <c r="J1019" t="s">
        <v>123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"06:15:02.461"</f>
        <v>06:15:02.461</v>
      </c>
      <c r="T1019" t="str">
        <f>"06:15:02.061"</f>
        <v>06:15:02.061</v>
      </c>
      <c r="U1019" t="str">
        <f t="shared" si="46"/>
        <v>A7E2E0</v>
      </c>
      <c r="V1019">
        <v>0</v>
      </c>
      <c r="W1019">
        <v>0</v>
      </c>
      <c r="X1019">
        <v>1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0</v>
      </c>
      <c r="AI1019" t="s">
        <v>795</v>
      </c>
      <c r="AJ1019">
        <v>39.069206999999999</v>
      </c>
      <c r="AK1019" t="s">
        <v>796</v>
      </c>
      <c r="AL1019">
        <v>-87.504215000000002</v>
      </c>
      <c r="AM1019">
        <v>100</v>
      </c>
      <c r="AN1019">
        <v>2800</v>
      </c>
      <c r="AO1019" t="s">
        <v>118</v>
      </c>
      <c r="AP1019">
        <v>-100</v>
      </c>
      <c r="AQ1019">
        <v>-133</v>
      </c>
      <c r="AR1019">
        <v>0</v>
      </c>
      <c r="AZ1019">
        <v>4552</v>
      </c>
      <c r="BA1019">
        <v>1</v>
      </c>
      <c r="BB1019" t="str">
        <f t="shared" si="47"/>
        <v xml:space="preserve">N607SR  </v>
      </c>
      <c r="BC1019">
        <v>1</v>
      </c>
      <c r="BE1019">
        <v>0</v>
      </c>
      <c r="BF1019">
        <v>0</v>
      </c>
      <c r="BG1019">
        <v>0</v>
      </c>
      <c r="BH1019">
        <v>2600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"06:15:02.465"</f>
        <v>06:15:02.465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457</v>
      </c>
      <c r="CR1019">
        <v>0</v>
      </c>
      <c r="CW1019">
        <v>15514532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"08/29/2020 06:14:59.261"</f>
        <v>08/29/2020 06:14:59.261</v>
      </c>
      <c r="C1020" t="str">
        <f t="shared" si="45"/>
        <v>FFDFD3C0</v>
      </c>
      <c r="D1020" t="s">
        <v>121</v>
      </c>
      <c r="E1020">
        <v>10</v>
      </c>
      <c r="F1020">
        <v>1010</v>
      </c>
      <c r="G1020" t="s">
        <v>114</v>
      </c>
      <c r="J1020" t="s">
        <v>123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"06:15:02.461"</f>
        <v>06:15:02.461</v>
      </c>
      <c r="U1020" t="str">
        <f t="shared" si="46"/>
        <v>A7E2E0</v>
      </c>
      <c r="V1020">
        <v>0</v>
      </c>
      <c r="W1020">
        <v>0</v>
      </c>
      <c r="X1020">
        <v>1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0</v>
      </c>
      <c r="AI1020" t="s">
        <v>795</v>
      </c>
      <c r="AJ1020">
        <v>39.069206999999999</v>
      </c>
      <c r="AK1020" t="s">
        <v>796</v>
      </c>
      <c r="AL1020">
        <v>-87.504215000000002</v>
      </c>
      <c r="AM1020">
        <v>100</v>
      </c>
      <c r="AN1020">
        <v>2800</v>
      </c>
      <c r="AO1020" t="s">
        <v>118</v>
      </c>
      <c r="AP1020">
        <v>-100</v>
      </c>
      <c r="AQ1020">
        <v>-133</v>
      </c>
      <c r="AR1020">
        <v>0</v>
      </c>
      <c r="AZ1020">
        <v>4552</v>
      </c>
      <c r="BA1020">
        <v>1</v>
      </c>
      <c r="BB1020" t="str">
        <f t="shared" si="47"/>
        <v xml:space="preserve">N607SR  </v>
      </c>
      <c r="BC1020">
        <v>1</v>
      </c>
      <c r="BE1020">
        <v>0</v>
      </c>
      <c r="BF1020">
        <v>0</v>
      </c>
      <c r="BG1020">
        <v>0</v>
      </c>
      <c r="BH1020">
        <v>2600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"06:15:02.466"</f>
        <v>06:15:02.466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5</v>
      </c>
      <c r="CP1020" t="s">
        <v>119</v>
      </c>
      <c r="CQ1020">
        <v>517</v>
      </c>
      <c r="CR1020">
        <v>1</v>
      </c>
      <c r="CW1020">
        <v>2479310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"08/29/2020 06:14:59.261"</f>
        <v>08/29/2020 06:14:59.261</v>
      </c>
      <c r="C1021" t="str">
        <f t="shared" si="45"/>
        <v>FFDFD3C0</v>
      </c>
      <c r="D1021" t="s">
        <v>121</v>
      </c>
      <c r="E1021">
        <v>13</v>
      </c>
      <c r="F1021">
        <v>1013</v>
      </c>
      <c r="G1021" t="s">
        <v>122</v>
      </c>
      <c r="J1021" t="s">
        <v>123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"06:15:02.461"</f>
        <v>06:15:02.461</v>
      </c>
      <c r="U1021" t="str">
        <f t="shared" si="46"/>
        <v>A7E2E0</v>
      </c>
      <c r="V1021">
        <v>0</v>
      </c>
      <c r="W1021">
        <v>0</v>
      </c>
      <c r="X1021">
        <v>1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0</v>
      </c>
      <c r="AI1021" t="s">
        <v>795</v>
      </c>
      <c r="AJ1021">
        <v>39.069206999999999</v>
      </c>
      <c r="AK1021" t="s">
        <v>796</v>
      </c>
      <c r="AL1021">
        <v>-87.504215000000002</v>
      </c>
      <c r="AM1021">
        <v>100</v>
      </c>
      <c r="AN1021">
        <v>2800</v>
      </c>
      <c r="AO1021" t="s">
        <v>118</v>
      </c>
      <c r="AP1021">
        <v>-100</v>
      </c>
      <c r="AQ1021">
        <v>-133</v>
      </c>
      <c r="AR1021">
        <v>0</v>
      </c>
      <c r="AZ1021">
        <v>4552</v>
      </c>
      <c r="BA1021">
        <v>1</v>
      </c>
      <c r="BB1021" t="str">
        <f t="shared" si="47"/>
        <v xml:space="preserve">N607SR  </v>
      </c>
      <c r="BC1021">
        <v>1</v>
      </c>
      <c r="BE1021">
        <v>0</v>
      </c>
      <c r="BF1021">
        <v>0</v>
      </c>
      <c r="BG1021">
        <v>0</v>
      </c>
      <c r="BH1021">
        <v>2600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"06:15:02.466"</f>
        <v>06:15:02.466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5</v>
      </c>
      <c r="CP1021" t="s">
        <v>119</v>
      </c>
      <c r="CQ1021">
        <v>517</v>
      </c>
      <c r="CR1021">
        <v>1</v>
      </c>
      <c r="CW1021">
        <v>2479310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"08/29/2020 06:14:59.806"</f>
        <v>08/29/2020 06:14:59.806</v>
      </c>
      <c r="C1022" t="str">
        <f t="shared" si="45"/>
        <v>FFDFD3C0</v>
      </c>
      <c r="D1022" t="s">
        <v>128</v>
      </c>
      <c r="E1022">
        <v>5</v>
      </c>
      <c r="H1022">
        <v>241</v>
      </c>
      <c r="I1022" t="s">
        <v>129</v>
      </c>
      <c r="J1022" t="s">
        <v>130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"06:15:03.039"</f>
        <v>06:15:03.039</v>
      </c>
      <c r="T1022" t="str">
        <f>"06:15:02.539"</f>
        <v>06:15:02.539</v>
      </c>
      <c r="U1022" t="str">
        <f t="shared" si="46"/>
        <v>A7E2E0</v>
      </c>
      <c r="V1022">
        <v>0</v>
      </c>
      <c r="W1022">
        <v>0</v>
      </c>
      <c r="X1022">
        <v>1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0</v>
      </c>
      <c r="AI1022" t="s">
        <v>797</v>
      </c>
      <c r="AJ1022">
        <v>39.068820000000002</v>
      </c>
      <c r="AK1022" t="s">
        <v>798</v>
      </c>
      <c r="AL1022">
        <v>-87.504515999999995</v>
      </c>
      <c r="AM1022">
        <v>100</v>
      </c>
      <c r="AN1022">
        <v>2800</v>
      </c>
      <c r="AO1022" t="s">
        <v>118</v>
      </c>
      <c r="AP1022">
        <v>-100</v>
      </c>
      <c r="AQ1022">
        <v>-133</v>
      </c>
      <c r="AR1022">
        <v>0</v>
      </c>
      <c r="AZ1022">
        <v>4552</v>
      </c>
      <c r="BA1022">
        <v>1</v>
      </c>
      <c r="BB1022" t="str">
        <f t="shared" si="47"/>
        <v xml:space="preserve">N607SR  </v>
      </c>
      <c r="BC1022">
        <v>1</v>
      </c>
      <c r="BE1022">
        <v>0</v>
      </c>
      <c r="BF1022">
        <v>0</v>
      </c>
      <c r="BG1022">
        <v>0</v>
      </c>
      <c r="BH1022">
        <v>2600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"06:15:03.045"</f>
        <v>06:15:03.045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6</v>
      </c>
      <c r="CP1022" t="s">
        <v>119</v>
      </c>
      <c r="CQ1022">
        <v>457</v>
      </c>
      <c r="CR1022">
        <v>0</v>
      </c>
      <c r="CW1022">
        <v>15514551</v>
      </c>
      <c r="CY1022">
        <v>1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"08/29/2020 06:14:59.806"</f>
        <v>08/29/2020 06:14:59.806</v>
      </c>
      <c r="C1023" t="str">
        <f t="shared" si="45"/>
        <v>FFDFD3C0</v>
      </c>
      <c r="D1023" t="s">
        <v>113</v>
      </c>
      <c r="E1023">
        <v>5</v>
      </c>
      <c r="H1023">
        <v>163</v>
      </c>
      <c r="I1023" t="s">
        <v>114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"06:15:03.039"</f>
        <v>06:15:03.039</v>
      </c>
      <c r="T1023" t="str">
        <f>"06:15:02.539"</f>
        <v>06:15:02.539</v>
      </c>
      <c r="U1023" t="str">
        <f t="shared" si="46"/>
        <v>A7E2E0</v>
      </c>
      <c r="V1023">
        <v>0</v>
      </c>
      <c r="W1023">
        <v>0</v>
      </c>
      <c r="X1023">
        <v>1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0</v>
      </c>
      <c r="AI1023" t="s">
        <v>797</v>
      </c>
      <c r="AJ1023">
        <v>39.068820000000002</v>
      </c>
      <c r="AK1023" t="s">
        <v>798</v>
      </c>
      <c r="AL1023">
        <v>-87.504515999999995</v>
      </c>
      <c r="AM1023">
        <v>100</v>
      </c>
      <c r="AN1023">
        <v>2800</v>
      </c>
      <c r="AO1023" t="s">
        <v>118</v>
      </c>
      <c r="AP1023">
        <v>-100</v>
      </c>
      <c r="AQ1023">
        <v>-133</v>
      </c>
      <c r="AR1023">
        <v>0</v>
      </c>
      <c r="AZ1023">
        <v>4552</v>
      </c>
      <c r="BA1023">
        <v>1</v>
      </c>
      <c r="BB1023" t="str">
        <f t="shared" si="47"/>
        <v xml:space="preserve">N607SR  </v>
      </c>
      <c r="BC1023">
        <v>1</v>
      </c>
      <c r="BE1023">
        <v>0</v>
      </c>
      <c r="BF1023">
        <v>0</v>
      </c>
      <c r="BG1023">
        <v>0</v>
      </c>
      <c r="BH1023">
        <v>2600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"06:15:03.045"</f>
        <v>06:15:03.045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6</v>
      </c>
      <c r="CP1023" t="s">
        <v>119</v>
      </c>
      <c r="CQ1023">
        <v>457</v>
      </c>
      <c r="CR1023">
        <v>0</v>
      </c>
      <c r="CW1023">
        <v>15514551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"08/29/2020 06:15:00.374"</f>
        <v>08/29/2020 06:15:00.374</v>
      </c>
      <c r="C1024" t="str">
        <f t="shared" si="45"/>
        <v>FFDFD3C0</v>
      </c>
      <c r="D1024" t="s">
        <v>121</v>
      </c>
      <c r="E1024">
        <v>11</v>
      </c>
      <c r="F1024">
        <v>1011</v>
      </c>
      <c r="G1024" t="s">
        <v>125</v>
      </c>
      <c r="J1024" t="s">
        <v>123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"06:15:03.539"</f>
        <v>06:15:03.539</v>
      </c>
      <c r="T1024" t="str">
        <f>"06:15:03.139"</f>
        <v>06:15:03.139</v>
      </c>
      <c r="U1024" t="str">
        <f t="shared" si="46"/>
        <v>A7E2E0</v>
      </c>
      <c r="V1024">
        <v>0</v>
      </c>
      <c r="W1024">
        <v>0</v>
      </c>
      <c r="X1024">
        <v>1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0</v>
      </c>
      <c r="AI1024" t="s">
        <v>799</v>
      </c>
      <c r="AJ1024">
        <v>39.068519999999999</v>
      </c>
      <c r="AK1024" t="s">
        <v>800</v>
      </c>
      <c r="AL1024">
        <v>-87.504858999999996</v>
      </c>
      <c r="AM1024">
        <v>100</v>
      </c>
      <c r="AN1024">
        <v>2800</v>
      </c>
      <c r="AO1024" t="s">
        <v>118</v>
      </c>
      <c r="AP1024">
        <v>-100</v>
      </c>
      <c r="AQ1024">
        <v>-133</v>
      </c>
      <c r="AR1024">
        <v>-64</v>
      </c>
      <c r="AZ1024">
        <v>4552</v>
      </c>
      <c r="BA1024">
        <v>1</v>
      </c>
      <c r="BB1024" t="str">
        <f t="shared" si="47"/>
        <v xml:space="preserve">N607SR  </v>
      </c>
      <c r="BC1024">
        <v>1</v>
      </c>
      <c r="BE1024">
        <v>0</v>
      </c>
      <c r="BF1024">
        <v>0</v>
      </c>
      <c r="BG1024">
        <v>0</v>
      </c>
      <c r="BH1024">
        <v>2600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"06:15:03.542"</f>
        <v>06:15:03.542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457</v>
      </c>
      <c r="CR1024">
        <v>0</v>
      </c>
      <c r="CW1024">
        <v>15514567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"08/29/2020 06:15:00.374"</f>
        <v>08/29/2020 06:15:00.374</v>
      </c>
      <c r="C1025" t="str">
        <f t="shared" si="45"/>
        <v>FFDFD3C0</v>
      </c>
      <c r="D1025" t="s">
        <v>121</v>
      </c>
      <c r="E1025">
        <v>13</v>
      </c>
      <c r="F1025">
        <v>1013</v>
      </c>
      <c r="G1025" t="s">
        <v>122</v>
      </c>
      <c r="J1025" t="s">
        <v>123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"06:15:03.539"</f>
        <v>06:15:03.539</v>
      </c>
      <c r="U1025" t="str">
        <f t="shared" si="46"/>
        <v>A7E2E0</v>
      </c>
      <c r="V1025">
        <v>0</v>
      </c>
      <c r="W1025">
        <v>0</v>
      </c>
      <c r="X1025">
        <v>1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0</v>
      </c>
      <c r="AI1025" t="s">
        <v>799</v>
      </c>
      <c r="AJ1025">
        <v>39.068519999999999</v>
      </c>
      <c r="AK1025" t="s">
        <v>800</v>
      </c>
      <c r="AL1025">
        <v>-87.504858999999996</v>
      </c>
      <c r="AM1025">
        <v>100</v>
      </c>
      <c r="AN1025">
        <v>2800</v>
      </c>
      <c r="AO1025" t="s">
        <v>118</v>
      </c>
      <c r="AP1025">
        <v>-100</v>
      </c>
      <c r="AQ1025">
        <v>-133</v>
      </c>
      <c r="AR1025">
        <v>-64</v>
      </c>
      <c r="AZ1025">
        <v>4552</v>
      </c>
      <c r="BA1025">
        <v>1</v>
      </c>
      <c r="BB1025" t="str">
        <f t="shared" si="47"/>
        <v xml:space="preserve">N607SR  </v>
      </c>
      <c r="BC1025">
        <v>1</v>
      </c>
      <c r="BE1025">
        <v>0</v>
      </c>
      <c r="BF1025">
        <v>0</v>
      </c>
      <c r="BG1025">
        <v>0</v>
      </c>
      <c r="BH1025">
        <v>2600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"06:15:03.542"</f>
        <v>06:15:03.542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4</v>
      </c>
      <c r="CP1025" t="s">
        <v>119</v>
      </c>
      <c r="CQ1025">
        <v>465</v>
      </c>
      <c r="CR1025">
        <v>0</v>
      </c>
      <c r="CW1025">
        <v>4718458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"08/29/2020 06:15:00.374"</f>
        <v>08/29/2020 06:15:00.374</v>
      </c>
      <c r="C1026" t="str">
        <f t="shared" ref="C1026:C1089" si="48">"FFDFD3C0"</f>
        <v>FFDFD3C0</v>
      </c>
      <c r="D1026" t="s">
        <v>121</v>
      </c>
      <c r="E1026">
        <v>10</v>
      </c>
      <c r="F1026">
        <v>1010</v>
      </c>
      <c r="G1026" t="s">
        <v>114</v>
      </c>
      <c r="J1026" t="s">
        <v>123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"06:15:03.539"</f>
        <v>06:15:03.539</v>
      </c>
      <c r="U1026" t="str">
        <f t="shared" ref="U1026:U1089" si="49">"A7E2E0"</f>
        <v>A7E2E0</v>
      </c>
      <c r="V1026">
        <v>0</v>
      </c>
      <c r="W1026">
        <v>0</v>
      </c>
      <c r="X1026">
        <v>1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0</v>
      </c>
      <c r="AI1026" t="s">
        <v>799</v>
      </c>
      <c r="AJ1026">
        <v>39.068519999999999</v>
      </c>
      <c r="AK1026" t="s">
        <v>800</v>
      </c>
      <c r="AL1026">
        <v>-87.504858999999996</v>
      </c>
      <c r="AM1026">
        <v>100</v>
      </c>
      <c r="AN1026">
        <v>2800</v>
      </c>
      <c r="AO1026" t="s">
        <v>118</v>
      </c>
      <c r="AP1026">
        <v>-100</v>
      </c>
      <c r="AQ1026">
        <v>-133</v>
      </c>
      <c r="AR1026">
        <v>-64</v>
      </c>
      <c r="AZ1026">
        <v>4552</v>
      </c>
      <c r="BA1026">
        <v>1</v>
      </c>
      <c r="BB1026" t="str">
        <f t="shared" ref="BB1026:BB1089" si="50">"N607SR  "</f>
        <v xml:space="preserve">N607SR  </v>
      </c>
      <c r="BC1026">
        <v>1</v>
      </c>
      <c r="BE1026">
        <v>0</v>
      </c>
      <c r="BF1026">
        <v>0</v>
      </c>
      <c r="BG1026">
        <v>0</v>
      </c>
      <c r="BH1026">
        <v>2600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"06:15:03.542"</f>
        <v>06:15:03.542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4</v>
      </c>
      <c r="CP1026" t="s">
        <v>119</v>
      </c>
      <c r="CQ1026">
        <v>465</v>
      </c>
      <c r="CR1026">
        <v>0</v>
      </c>
      <c r="CW1026">
        <v>4718458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"08/29/2020 06:15:00.819"</f>
        <v>08/29/2020 06:15:00.819</v>
      </c>
      <c r="C1027" t="str">
        <f t="shared" si="48"/>
        <v>FFDFD3C0</v>
      </c>
      <c r="D1027" t="s">
        <v>128</v>
      </c>
      <c r="E1027">
        <v>5</v>
      </c>
      <c r="H1027">
        <v>241</v>
      </c>
      <c r="I1027" t="s">
        <v>129</v>
      </c>
      <c r="J1027" t="s">
        <v>130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"06:15:04.023"</f>
        <v>06:15:04.023</v>
      </c>
      <c r="T1027" t="str">
        <f>"06:15:03.623"</f>
        <v>06:15:03.623</v>
      </c>
      <c r="U1027" t="str">
        <f t="shared" si="49"/>
        <v>A7E2E0</v>
      </c>
      <c r="V1027">
        <v>0</v>
      </c>
      <c r="W1027">
        <v>0</v>
      </c>
      <c r="X1027">
        <v>1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0</v>
      </c>
      <c r="AI1027" t="s">
        <v>801</v>
      </c>
      <c r="AJ1027">
        <v>39.068219999999997</v>
      </c>
      <c r="AK1027" t="s">
        <v>802</v>
      </c>
      <c r="AL1027">
        <v>-87.505116000000001</v>
      </c>
      <c r="AM1027">
        <v>100</v>
      </c>
      <c r="AN1027">
        <v>2800</v>
      </c>
      <c r="AO1027" t="s">
        <v>118</v>
      </c>
      <c r="AP1027">
        <v>-100</v>
      </c>
      <c r="AQ1027">
        <v>-133</v>
      </c>
      <c r="AR1027">
        <v>-64</v>
      </c>
      <c r="AZ1027">
        <v>4552</v>
      </c>
      <c r="BA1027">
        <v>1</v>
      </c>
      <c r="BB1027" t="str">
        <f t="shared" si="50"/>
        <v xml:space="preserve">N607SR  </v>
      </c>
      <c r="BC1027">
        <v>1</v>
      </c>
      <c r="BE1027">
        <v>0</v>
      </c>
      <c r="BF1027">
        <v>0</v>
      </c>
      <c r="BG1027">
        <v>0</v>
      </c>
      <c r="BH1027">
        <v>2600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"06:15:04.024"</f>
        <v>06:15:04.024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6</v>
      </c>
      <c r="CP1027" t="s">
        <v>119</v>
      </c>
      <c r="CQ1027">
        <v>177</v>
      </c>
      <c r="CR1027">
        <v>2</v>
      </c>
      <c r="CW1027">
        <v>1632376</v>
      </c>
      <c r="CY1027">
        <v>1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"08/29/2020 06:15:00.819"</f>
        <v>08/29/2020 06:15:00.819</v>
      </c>
      <c r="C1028" t="str">
        <f t="shared" si="48"/>
        <v>FFDFD3C0</v>
      </c>
      <c r="D1028" t="s">
        <v>113</v>
      </c>
      <c r="E1028">
        <v>5</v>
      </c>
      <c r="H1028">
        <v>163</v>
      </c>
      <c r="I1028" t="s">
        <v>114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"06:15:04.023"</f>
        <v>06:15:04.023</v>
      </c>
      <c r="T1028" t="str">
        <f>"06:15:03.623"</f>
        <v>06:15:03.623</v>
      </c>
      <c r="U1028" t="str">
        <f t="shared" si="49"/>
        <v>A7E2E0</v>
      </c>
      <c r="V1028">
        <v>0</v>
      </c>
      <c r="W1028">
        <v>0</v>
      </c>
      <c r="X1028">
        <v>1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0</v>
      </c>
      <c r="AI1028" t="s">
        <v>801</v>
      </c>
      <c r="AJ1028">
        <v>39.068219999999997</v>
      </c>
      <c r="AK1028" t="s">
        <v>802</v>
      </c>
      <c r="AL1028">
        <v>-87.505116000000001</v>
      </c>
      <c r="AM1028">
        <v>100</v>
      </c>
      <c r="AN1028">
        <v>2800</v>
      </c>
      <c r="AO1028" t="s">
        <v>118</v>
      </c>
      <c r="AP1028">
        <v>-100</v>
      </c>
      <c r="AQ1028">
        <v>-133</v>
      </c>
      <c r="AR1028">
        <v>-64</v>
      </c>
      <c r="AZ1028">
        <v>4552</v>
      </c>
      <c r="BA1028">
        <v>1</v>
      </c>
      <c r="BB1028" t="str">
        <f t="shared" si="50"/>
        <v xml:space="preserve">N607SR  </v>
      </c>
      <c r="BC1028">
        <v>1</v>
      </c>
      <c r="BE1028">
        <v>0</v>
      </c>
      <c r="BF1028">
        <v>0</v>
      </c>
      <c r="BG1028">
        <v>0</v>
      </c>
      <c r="BH1028">
        <v>2600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"06:15:04.024"</f>
        <v>06:15:04.024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6</v>
      </c>
      <c r="CP1028" t="s">
        <v>119</v>
      </c>
      <c r="CQ1028">
        <v>177</v>
      </c>
      <c r="CR1028">
        <v>2</v>
      </c>
      <c r="CW1028">
        <v>1632376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"08/29/2020 06:15:01.274"</f>
        <v>08/29/2020 06:15:01.274</v>
      </c>
      <c r="C1029" t="str">
        <f t="shared" si="48"/>
        <v>FFDFD3C0</v>
      </c>
      <c r="D1029" t="s">
        <v>121</v>
      </c>
      <c r="E1029">
        <v>13</v>
      </c>
      <c r="F1029">
        <v>1013</v>
      </c>
      <c r="G1029" t="s">
        <v>122</v>
      </c>
      <c r="J1029" t="s">
        <v>123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"06:15:04.484"</f>
        <v>06:15:04.484</v>
      </c>
      <c r="T1029" t="str">
        <f>"06:15:04.084"</f>
        <v>06:15:04.084</v>
      </c>
      <c r="U1029" t="str">
        <f t="shared" si="49"/>
        <v>A7E2E0</v>
      </c>
      <c r="V1029">
        <v>0</v>
      </c>
      <c r="W1029">
        <v>0</v>
      </c>
      <c r="X1029">
        <v>1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0</v>
      </c>
      <c r="AI1029" t="s">
        <v>803</v>
      </c>
      <c r="AJ1029">
        <v>39.067940999999998</v>
      </c>
      <c r="AK1029" t="s">
        <v>804</v>
      </c>
      <c r="AL1029">
        <v>-87.505374000000003</v>
      </c>
      <c r="AM1029">
        <v>100</v>
      </c>
      <c r="AN1029">
        <v>2800</v>
      </c>
      <c r="AO1029" t="s">
        <v>118</v>
      </c>
      <c r="AP1029">
        <v>-100</v>
      </c>
      <c r="AQ1029">
        <v>-133</v>
      </c>
      <c r="AR1029">
        <v>-64</v>
      </c>
      <c r="AZ1029">
        <v>4552</v>
      </c>
      <c r="BA1029">
        <v>1</v>
      </c>
      <c r="BB1029" t="str">
        <f t="shared" si="50"/>
        <v xml:space="preserve">N607SR  </v>
      </c>
      <c r="BC1029">
        <v>1</v>
      </c>
      <c r="BE1029">
        <v>0</v>
      </c>
      <c r="BF1029">
        <v>0</v>
      </c>
      <c r="BG1029">
        <v>0</v>
      </c>
      <c r="BH1029">
        <v>2600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"06:15:04.487"</f>
        <v>06:15:04.487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6</v>
      </c>
      <c r="CP1029" t="s">
        <v>119</v>
      </c>
      <c r="CQ1029">
        <v>457</v>
      </c>
      <c r="CR1029">
        <v>0</v>
      </c>
      <c r="CW1029">
        <v>15514596</v>
      </c>
      <c r="CY1029">
        <v>1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"08/29/2020 06:15:01.274"</f>
        <v>08/29/2020 06:15:01.274</v>
      </c>
      <c r="C1030" t="str">
        <f t="shared" si="48"/>
        <v>FFDFD3C0</v>
      </c>
      <c r="D1030" t="s">
        <v>121</v>
      </c>
      <c r="E1030">
        <v>11</v>
      </c>
      <c r="F1030">
        <v>1011</v>
      </c>
      <c r="G1030" t="s">
        <v>125</v>
      </c>
      <c r="J1030" t="s">
        <v>123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"06:15:04.484"</f>
        <v>06:15:04.484</v>
      </c>
      <c r="T1030" t="str">
        <f>"06:15:04.084"</f>
        <v>06:15:04.084</v>
      </c>
      <c r="U1030" t="str">
        <f t="shared" si="49"/>
        <v>A7E2E0</v>
      </c>
      <c r="V1030">
        <v>0</v>
      </c>
      <c r="W1030">
        <v>0</v>
      </c>
      <c r="X1030">
        <v>1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0</v>
      </c>
      <c r="AI1030" t="s">
        <v>803</v>
      </c>
      <c r="AJ1030">
        <v>39.067940999999998</v>
      </c>
      <c r="AK1030" t="s">
        <v>804</v>
      </c>
      <c r="AL1030">
        <v>-87.505374000000003</v>
      </c>
      <c r="AM1030">
        <v>100</v>
      </c>
      <c r="AN1030">
        <v>2800</v>
      </c>
      <c r="AO1030" t="s">
        <v>118</v>
      </c>
      <c r="AP1030">
        <v>-100</v>
      </c>
      <c r="AQ1030">
        <v>-133</v>
      </c>
      <c r="AR1030">
        <v>-64</v>
      </c>
      <c r="AZ1030">
        <v>4552</v>
      </c>
      <c r="BA1030">
        <v>1</v>
      </c>
      <c r="BB1030" t="str">
        <f t="shared" si="50"/>
        <v xml:space="preserve">N607SR  </v>
      </c>
      <c r="BC1030">
        <v>1</v>
      </c>
      <c r="BE1030">
        <v>0</v>
      </c>
      <c r="BF1030">
        <v>0</v>
      </c>
      <c r="BG1030">
        <v>0</v>
      </c>
      <c r="BH1030">
        <v>2600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"06:15:04.487"</f>
        <v>06:15:04.487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457</v>
      </c>
      <c r="CR1030">
        <v>0</v>
      </c>
      <c r="CW1030">
        <v>15514596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"08/29/2020 06:15:01.274"</f>
        <v>08/29/2020 06:15:01.274</v>
      </c>
      <c r="C1031" t="str">
        <f t="shared" si="48"/>
        <v>FFDFD3C0</v>
      </c>
      <c r="D1031" t="s">
        <v>121</v>
      </c>
      <c r="E1031">
        <v>10</v>
      </c>
      <c r="F1031">
        <v>1010</v>
      </c>
      <c r="G1031" t="s">
        <v>114</v>
      </c>
      <c r="J1031" t="s">
        <v>123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"06:15:04.484"</f>
        <v>06:15:04.484</v>
      </c>
      <c r="T1031" t="str">
        <f>"06:15:04.084"</f>
        <v>06:15:04.084</v>
      </c>
      <c r="U1031" t="str">
        <f t="shared" si="49"/>
        <v>A7E2E0</v>
      </c>
      <c r="V1031">
        <v>0</v>
      </c>
      <c r="W1031">
        <v>0</v>
      </c>
      <c r="X1031">
        <v>1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0</v>
      </c>
      <c r="AI1031" t="s">
        <v>803</v>
      </c>
      <c r="AJ1031">
        <v>39.067940999999998</v>
      </c>
      <c r="AK1031" t="s">
        <v>804</v>
      </c>
      <c r="AL1031">
        <v>-87.505374000000003</v>
      </c>
      <c r="AM1031">
        <v>100</v>
      </c>
      <c r="AN1031">
        <v>2800</v>
      </c>
      <c r="AO1031" t="s">
        <v>118</v>
      </c>
      <c r="AP1031">
        <v>-100</v>
      </c>
      <c r="AQ1031">
        <v>-133</v>
      </c>
      <c r="AR1031">
        <v>-64</v>
      </c>
      <c r="AZ1031">
        <v>4552</v>
      </c>
      <c r="BA1031">
        <v>1</v>
      </c>
      <c r="BB1031" t="str">
        <f t="shared" si="50"/>
        <v xml:space="preserve">N607SR  </v>
      </c>
      <c r="BC1031">
        <v>1</v>
      </c>
      <c r="BE1031">
        <v>0</v>
      </c>
      <c r="BF1031">
        <v>0</v>
      </c>
      <c r="BG1031">
        <v>0</v>
      </c>
      <c r="BH1031">
        <v>2600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"06:15:04.487"</f>
        <v>06:15:04.487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6</v>
      </c>
      <c r="CP1031" t="s">
        <v>119</v>
      </c>
      <c r="CQ1031">
        <v>457</v>
      </c>
      <c r="CR1031">
        <v>0</v>
      </c>
      <c r="CW1031">
        <v>15514596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"08/29/2020 06:15:01.734"</f>
        <v>08/29/2020 06:15:01.734</v>
      </c>
      <c r="C1032" t="str">
        <f t="shared" si="48"/>
        <v>FFDFD3C0</v>
      </c>
      <c r="D1032" t="s">
        <v>113</v>
      </c>
      <c r="E1032">
        <v>5</v>
      </c>
      <c r="H1032">
        <v>163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"06:15:04.953"</f>
        <v>06:15:04.953</v>
      </c>
      <c r="T1032" t="str">
        <f>"06:15:04.553"</f>
        <v>06:15:04.553</v>
      </c>
      <c r="U1032" t="str">
        <f t="shared" si="49"/>
        <v>A7E2E0</v>
      </c>
      <c r="V1032">
        <v>0</v>
      </c>
      <c r="W1032">
        <v>0</v>
      </c>
      <c r="X1032">
        <v>1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0</v>
      </c>
      <c r="AI1032" t="s">
        <v>805</v>
      </c>
      <c r="AJ1032">
        <v>39.067661999999999</v>
      </c>
      <c r="AK1032" t="s">
        <v>806</v>
      </c>
      <c r="AL1032">
        <v>-87.505696</v>
      </c>
      <c r="AM1032">
        <v>100</v>
      </c>
      <c r="AN1032">
        <v>2800</v>
      </c>
      <c r="AO1032" t="s">
        <v>118</v>
      </c>
      <c r="AP1032">
        <v>-100</v>
      </c>
      <c r="AQ1032">
        <v>-133</v>
      </c>
      <c r="AR1032">
        <v>-64</v>
      </c>
      <c r="AZ1032">
        <v>4552</v>
      </c>
      <c r="BA1032">
        <v>1</v>
      </c>
      <c r="BB1032" t="str">
        <f t="shared" si="50"/>
        <v xml:space="preserve">N607SR  </v>
      </c>
      <c r="BC1032">
        <v>1</v>
      </c>
      <c r="BE1032">
        <v>0</v>
      </c>
      <c r="BF1032">
        <v>0</v>
      </c>
      <c r="BG1032">
        <v>0</v>
      </c>
      <c r="BH1032">
        <v>2600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"06:15:04.958"</f>
        <v>06:15:04.958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457</v>
      </c>
      <c r="CR1032">
        <v>0</v>
      </c>
      <c r="CW1032">
        <v>15514613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"08/29/2020 06:15:01.734"</f>
        <v>08/29/2020 06:15:01.734</v>
      </c>
      <c r="C1033" t="str">
        <f t="shared" si="48"/>
        <v>FFDFD3C0</v>
      </c>
      <c r="D1033" t="s">
        <v>128</v>
      </c>
      <c r="E1033">
        <v>5</v>
      </c>
      <c r="H1033">
        <v>241</v>
      </c>
      <c r="I1033" t="s">
        <v>129</v>
      </c>
      <c r="J1033" t="s">
        <v>130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"06:15:04.953"</f>
        <v>06:15:04.953</v>
      </c>
      <c r="T1033" t="str">
        <f>"06:15:04.553"</f>
        <v>06:15:04.553</v>
      </c>
      <c r="U1033" t="str">
        <f t="shared" si="49"/>
        <v>A7E2E0</v>
      </c>
      <c r="V1033">
        <v>0</v>
      </c>
      <c r="W1033">
        <v>0</v>
      </c>
      <c r="X1033">
        <v>1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0</v>
      </c>
      <c r="AI1033" t="s">
        <v>805</v>
      </c>
      <c r="AJ1033">
        <v>39.067661999999999</v>
      </c>
      <c r="AK1033" t="s">
        <v>806</v>
      </c>
      <c r="AL1033">
        <v>-87.505696</v>
      </c>
      <c r="AM1033">
        <v>100</v>
      </c>
      <c r="AN1033">
        <v>2800</v>
      </c>
      <c r="AO1033" t="s">
        <v>118</v>
      </c>
      <c r="AP1033">
        <v>-100</v>
      </c>
      <c r="AQ1033">
        <v>-133</v>
      </c>
      <c r="AR1033">
        <v>-64</v>
      </c>
      <c r="AZ1033">
        <v>4552</v>
      </c>
      <c r="BA1033">
        <v>1</v>
      </c>
      <c r="BB1033" t="str">
        <f t="shared" si="50"/>
        <v xml:space="preserve">N607SR  </v>
      </c>
      <c r="BC1033">
        <v>1</v>
      </c>
      <c r="BE1033">
        <v>0</v>
      </c>
      <c r="BF1033">
        <v>0</v>
      </c>
      <c r="BG1033">
        <v>0</v>
      </c>
      <c r="BH1033">
        <v>2600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"06:15:04.958"</f>
        <v>06:15:04.958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457</v>
      </c>
      <c r="CR1033">
        <v>0</v>
      </c>
      <c r="CW1033">
        <v>15514613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"08/29/2020 06:15:02.135"</f>
        <v>08/29/2020 06:15:02.135</v>
      </c>
      <c r="C1034" t="str">
        <f t="shared" si="48"/>
        <v>FFDFD3C0</v>
      </c>
      <c r="D1034" t="s">
        <v>121</v>
      </c>
      <c r="E1034">
        <v>13</v>
      </c>
      <c r="F1034">
        <v>1013</v>
      </c>
      <c r="G1034" t="s">
        <v>122</v>
      </c>
      <c r="J1034" t="s">
        <v>123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"06:15:05.367"</f>
        <v>06:15:05.367</v>
      </c>
      <c r="T1034" t="str">
        <f>"06:15:04.967"</f>
        <v>06:15:04.967</v>
      </c>
      <c r="U1034" t="str">
        <f t="shared" si="49"/>
        <v>A7E2E0</v>
      </c>
      <c r="V1034">
        <v>0</v>
      </c>
      <c r="W1034">
        <v>0</v>
      </c>
      <c r="X1034">
        <v>1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0</v>
      </c>
      <c r="AI1034" t="s">
        <v>807</v>
      </c>
      <c r="AJ1034">
        <v>39.067425999999998</v>
      </c>
      <c r="AK1034" t="s">
        <v>808</v>
      </c>
      <c r="AL1034">
        <v>-87.505932000000001</v>
      </c>
      <c r="AM1034">
        <v>100</v>
      </c>
      <c r="AN1034">
        <v>2800</v>
      </c>
      <c r="AO1034" t="s">
        <v>118</v>
      </c>
      <c r="AP1034">
        <v>-100</v>
      </c>
      <c r="AQ1034">
        <v>-133</v>
      </c>
      <c r="AR1034">
        <v>-64</v>
      </c>
      <c r="AZ1034">
        <v>4552</v>
      </c>
      <c r="BA1034">
        <v>1</v>
      </c>
      <c r="BB1034" t="str">
        <f t="shared" si="50"/>
        <v xml:space="preserve">N607SR  </v>
      </c>
      <c r="BC1034">
        <v>1</v>
      </c>
      <c r="BE1034">
        <v>0</v>
      </c>
      <c r="BF1034">
        <v>0</v>
      </c>
      <c r="BG1034">
        <v>0</v>
      </c>
      <c r="BH1034">
        <v>2600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"06:15:05.374"</f>
        <v>06:15:05.374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457</v>
      </c>
      <c r="CR1034">
        <v>0</v>
      </c>
      <c r="CW1034">
        <v>15514625</v>
      </c>
      <c r="CY1034">
        <v>1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"08/29/2020 06:15:02.135"</f>
        <v>08/29/2020 06:15:02.135</v>
      </c>
      <c r="C1035" t="str">
        <f t="shared" si="48"/>
        <v>FFDFD3C0</v>
      </c>
      <c r="D1035" t="s">
        <v>121</v>
      </c>
      <c r="E1035">
        <v>11</v>
      </c>
      <c r="F1035">
        <v>1011</v>
      </c>
      <c r="G1035" t="s">
        <v>125</v>
      </c>
      <c r="J1035" t="s">
        <v>123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"06:15:05.367"</f>
        <v>06:15:05.367</v>
      </c>
      <c r="T1035" t="str">
        <f>"06:15:04.967"</f>
        <v>06:15:04.967</v>
      </c>
      <c r="U1035" t="str">
        <f t="shared" si="49"/>
        <v>A7E2E0</v>
      </c>
      <c r="V1035">
        <v>0</v>
      </c>
      <c r="W1035">
        <v>0</v>
      </c>
      <c r="X1035">
        <v>1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0</v>
      </c>
      <c r="AI1035" t="s">
        <v>807</v>
      </c>
      <c r="AJ1035">
        <v>39.067425999999998</v>
      </c>
      <c r="AK1035" t="s">
        <v>808</v>
      </c>
      <c r="AL1035">
        <v>-87.505932000000001</v>
      </c>
      <c r="AM1035">
        <v>100</v>
      </c>
      <c r="AN1035">
        <v>2800</v>
      </c>
      <c r="AO1035" t="s">
        <v>118</v>
      </c>
      <c r="AP1035">
        <v>-100</v>
      </c>
      <c r="AQ1035">
        <v>-133</v>
      </c>
      <c r="AR1035">
        <v>-64</v>
      </c>
      <c r="AZ1035">
        <v>4552</v>
      </c>
      <c r="BA1035">
        <v>1</v>
      </c>
      <c r="BB1035" t="str">
        <f t="shared" si="50"/>
        <v xml:space="preserve">N607SR  </v>
      </c>
      <c r="BC1035">
        <v>1</v>
      </c>
      <c r="BE1035">
        <v>0</v>
      </c>
      <c r="BF1035">
        <v>0</v>
      </c>
      <c r="BG1035">
        <v>0</v>
      </c>
      <c r="BH1035">
        <v>2600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"06:15:05.374"</f>
        <v>06:15:05.374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457</v>
      </c>
      <c r="CR1035">
        <v>0</v>
      </c>
      <c r="CW1035">
        <v>15514625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"08/29/2020 06:15:02.135"</f>
        <v>08/29/2020 06:15:02.135</v>
      </c>
      <c r="C1036" t="str">
        <f t="shared" si="48"/>
        <v>FFDFD3C0</v>
      </c>
      <c r="D1036" t="s">
        <v>121</v>
      </c>
      <c r="E1036">
        <v>10</v>
      </c>
      <c r="F1036">
        <v>1010</v>
      </c>
      <c r="G1036" t="s">
        <v>114</v>
      </c>
      <c r="J1036" t="s">
        <v>123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"06:15:05.367"</f>
        <v>06:15:05.367</v>
      </c>
      <c r="T1036" t="str">
        <f>"06:15:04.967"</f>
        <v>06:15:04.967</v>
      </c>
      <c r="U1036" t="str">
        <f t="shared" si="49"/>
        <v>A7E2E0</v>
      </c>
      <c r="V1036">
        <v>0</v>
      </c>
      <c r="W1036">
        <v>0</v>
      </c>
      <c r="X1036">
        <v>1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0</v>
      </c>
      <c r="AI1036" t="s">
        <v>807</v>
      </c>
      <c r="AJ1036">
        <v>39.067425999999998</v>
      </c>
      <c r="AK1036" t="s">
        <v>808</v>
      </c>
      <c r="AL1036">
        <v>-87.505932000000001</v>
      </c>
      <c r="AM1036">
        <v>100</v>
      </c>
      <c r="AN1036">
        <v>2800</v>
      </c>
      <c r="AO1036" t="s">
        <v>118</v>
      </c>
      <c r="AP1036">
        <v>-100</v>
      </c>
      <c r="AQ1036">
        <v>-133</v>
      </c>
      <c r="AR1036">
        <v>-64</v>
      </c>
      <c r="AZ1036">
        <v>4552</v>
      </c>
      <c r="BA1036">
        <v>1</v>
      </c>
      <c r="BB1036" t="str">
        <f t="shared" si="50"/>
        <v xml:space="preserve">N607SR  </v>
      </c>
      <c r="BC1036">
        <v>1</v>
      </c>
      <c r="BE1036">
        <v>0</v>
      </c>
      <c r="BF1036">
        <v>0</v>
      </c>
      <c r="BG1036">
        <v>0</v>
      </c>
      <c r="BH1036">
        <v>2600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"06:15:05.374"</f>
        <v>06:15:05.374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457</v>
      </c>
      <c r="CR1036">
        <v>0</v>
      </c>
      <c r="CW1036">
        <v>15514625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"08/29/2020 06:15:02.645"</f>
        <v>08/29/2020 06:15:02.645</v>
      </c>
      <c r="C1037" t="str">
        <f t="shared" si="48"/>
        <v>FFDFD3C0</v>
      </c>
      <c r="D1037" t="s">
        <v>128</v>
      </c>
      <c r="E1037">
        <v>5</v>
      </c>
      <c r="H1037">
        <v>241</v>
      </c>
      <c r="I1037" t="s">
        <v>129</v>
      </c>
      <c r="J1037" t="s">
        <v>130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"06:15:05.820"</f>
        <v>06:15:05.820</v>
      </c>
      <c r="U1037" t="str">
        <f t="shared" si="49"/>
        <v>A7E2E0</v>
      </c>
      <c r="V1037">
        <v>0</v>
      </c>
      <c r="W1037">
        <v>0</v>
      </c>
      <c r="X1037">
        <v>1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0</v>
      </c>
      <c r="AI1037" t="s">
        <v>809</v>
      </c>
      <c r="AJ1037">
        <v>39.067104</v>
      </c>
      <c r="AK1037" t="s">
        <v>810</v>
      </c>
      <c r="AL1037">
        <v>-87.506231999999997</v>
      </c>
      <c r="AM1037">
        <v>100</v>
      </c>
      <c r="AN1037">
        <v>2800</v>
      </c>
      <c r="AO1037" t="s">
        <v>118</v>
      </c>
      <c r="AP1037">
        <v>-100</v>
      </c>
      <c r="AQ1037">
        <v>-133</v>
      </c>
      <c r="AR1037">
        <v>-64</v>
      </c>
      <c r="AZ1037">
        <v>4552</v>
      </c>
      <c r="BA1037">
        <v>1</v>
      </c>
      <c r="BB1037" t="str">
        <f t="shared" si="50"/>
        <v xml:space="preserve">N607SR  </v>
      </c>
      <c r="BC1037">
        <v>1</v>
      </c>
      <c r="BE1037">
        <v>0</v>
      </c>
      <c r="BF1037">
        <v>0</v>
      </c>
      <c r="BG1037">
        <v>0</v>
      </c>
      <c r="BH1037">
        <v>2600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"06:15:05.828"</f>
        <v>06:15:05.828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4</v>
      </c>
      <c r="CP1037" t="s">
        <v>119</v>
      </c>
      <c r="CQ1037">
        <v>465</v>
      </c>
      <c r="CR1037">
        <v>0</v>
      </c>
      <c r="CW1037">
        <v>4718521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"08/29/2020 06:15:02.645"</f>
        <v>08/29/2020 06:15:02.645</v>
      </c>
      <c r="C1038" t="str">
        <f t="shared" si="48"/>
        <v>FFDFD3C0</v>
      </c>
      <c r="D1038" t="s">
        <v>113</v>
      </c>
      <c r="E1038">
        <v>5</v>
      </c>
      <c r="H1038">
        <v>163</v>
      </c>
      <c r="I1038" t="s">
        <v>114</v>
      </c>
      <c r="J1038" t="s">
        <v>115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"06:15:05.820"</f>
        <v>06:15:05.820</v>
      </c>
      <c r="U1038" t="str">
        <f t="shared" si="49"/>
        <v>A7E2E0</v>
      </c>
      <c r="V1038">
        <v>0</v>
      </c>
      <c r="W1038">
        <v>0</v>
      </c>
      <c r="X1038">
        <v>1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0</v>
      </c>
      <c r="AI1038" t="s">
        <v>809</v>
      </c>
      <c r="AJ1038">
        <v>39.067104</v>
      </c>
      <c r="AK1038" t="s">
        <v>810</v>
      </c>
      <c r="AL1038">
        <v>-87.506231999999997</v>
      </c>
      <c r="AM1038">
        <v>100</v>
      </c>
      <c r="AN1038">
        <v>2800</v>
      </c>
      <c r="AO1038" t="s">
        <v>118</v>
      </c>
      <c r="AP1038">
        <v>-100</v>
      </c>
      <c r="AQ1038">
        <v>-133</v>
      </c>
      <c r="AR1038">
        <v>-64</v>
      </c>
      <c r="AZ1038">
        <v>4552</v>
      </c>
      <c r="BA1038">
        <v>1</v>
      </c>
      <c r="BB1038" t="str">
        <f t="shared" si="50"/>
        <v xml:space="preserve">N607SR  </v>
      </c>
      <c r="BC1038">
        <v>1</v>
      </c>
      <c r="BE1038">
        <v>0</v>
      </c>
      <c r="BF1038">
        <v>0</v>
      </c>
      <c r="BG1038">
        <v>0</v>
      </c>
      <c r="BH1038">
        <v>2600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"06:15:05.828"</f>
        <v>06:15:05.828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4</v>
      </c>
      <c r="CP1038" t="s">
        <v>119</v>
      </c>
      <c r="CQ1038">
        <v>465</v>
      </c>
      <c r="CR1038">
        <v>0</v>
      </c>
      <c r="CW1038">
        <v>4718521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"08/29/2020 06:15:03.005"</f>
        <v>08/29/2020 06:15:03.005</v>
      </c>
      <c r="C1039" t="str">
        <f t="shared" si="48"/>
        <v>FFDFD3C0</v>
      </c>
      <c r="D1039" t="s">
        <v>121</v>
      </c>
      <c r="E1039">
        <v>11</v>
      </c>
      <c r="F1039">
        <v>1011</v>
      </c>
      <c r="G1039" t="s">
        <v>125</v>
      </c>
      <c r="J1039" t="s">
        <v>123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"06:15:06.234"</f>
        <v>06:15:06.234</v>
      </c>
      <c r="T1039" t="str">
        <f>"06:15:05.834"</f>
        <v>06:15:05.834</v>
      </c>
      <c r="U1039" t="str">
        <f t="shared" si="49"/>
        <v>A7E2E0</v>
      </c>
      <c r="V1039">
        <v>0</v>
      </c>
      <c r="W1039">
        <v>0</v>
      </c>
      <c r="X1039">
        <v>1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0</v>
      </c>
      <c r="AI1039" t="s">
        <v>811</v>
      </c>
      <c r="AJ1039">
        <v>39.066867999999999</v>
      </c>
      <c r="AK1039" t="s">
        <v>812</v>
      </c>
      <c r="AL1039">
        <v>-87.506467999999998</v>
      </c>
      <c r="AM1039">
        <v>100</v>
      </c>
      <c r="AN1039">
        <v>2800</v>
      </c>
      <c r="AO1039" t="s">
        <v>118</v>
      </c>
      <c r="AP1039">
        <v>-100</v>
      </c>
      <c r="AQ1039">
        <v>-133</v>
      </c>
      <c r="AR1039">
        <v>-64</v>
      </c>
      <c r="AZ1039">
        <v>4552</v>
      </c>
      <c r="BA1039">
        <v>1</v>
      </c>
      <c r="BB1039" t="str">
        <f t="shared" si="50"/>
        <v xml:space="preserve">N607SR  </v>
      </c>
      <c r="BC1039">
        <v>1</v>
      </c>
      <c r="BE1039">
        <v>0</v>
      </c>
      <c r="BF1039">
        <v>0</v>
      </c>
      <c r="BG1039">
        <v>0</v>
      </c>
      <c r="BH1039">
        <v>2600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"06:15:06.237"</f>
        <v>06:15:06.237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457</v>
      </c>
      <c r="CR1039">
        <v>0</v>
      </c>
      <c r="CW1039">
        <v>15514653</v>
      </c>
      <c r="CY1039">
        <v>1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"08/29/2020 06:15:03.005"</f>
        <v>08/29/2020 06:15:03.005</v>
      </c>
      <c r="C1040" t="str">
        <f t="shared" si="48"/>
        <v>FFDFD3C0</v>
      </c>
      <c r="D1040" t="s">
        <v>121</v>
      </c>
      <c r="E1040">
        <v>10</v>
      </c>
      <c r="F1040">
        <v>1010</v>
      </c>
      <c r="G1040" t="s">
        <v>114</v>
      </c>
      <c r="J1040" t="s">
        <v>123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"06:15:06.234"</f>
        <v>06:15:06.234</v>
      </c>
      <c r="T1040" t="str">
        <f>"06:15:05.834"</f>
        <v>06:15:05.834</v>
      </c>
      <c r="U1040" t="str">
        <f t="shared" si="49"/>
        <v>A7E2E0</v>
      </c>
      <c r="V1040">
        <v>0</v>
      </c>
      <c r="W1040">
        <v>0</v>
      </c>
      <c r="X1040">
        <v>1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0</v>
      </c>
      <c r="AI1040" t="s">
        <v>811</v>
      </c>
      <c r="AJ1040">
        <v>39.066867999999999</v>
      </c>
      <c r="AK1040" t="s">
        <v>812</v>
      </c>
      <c r="AL1040">
        <v>-87.506467999999998</v>
      </c>
      <c r="AM1040">
        <v>100</v>
      </c>
      <c r="AN1040">
        <v>2800</v>
      </c>
      <c r="AO1040" t="s">
        <v>118</v>
      </c>
      <c r="AP1040">
        <v>-100</v>
      </c>
      <c r="AQ1040">
        <v>-133</v>
      </c>
      <c r="AR1040">
        <v>-64</v>
      </c>
      <c r="AZ1040">
        <v>4552</v>
      </c>
      <c r="BA1040">
        <v>1</v>
      </c>
      <c r="BB1040" t="str">
        <f t="shared" si="50"/>
        <v xml:space="preserve">N607SR  </v>
      </c>
      <c r="BC1040">
        <v>1</v>
      </c>
      <c r="BE1040">
        <v>0</v>
      </c>
      <c r="BF1040">
        <v>0</v>
      </c>
      <c r="BG1040">
        <v>0</v>
      </c>
      <c r="BH1040">
        <v>2600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"06:15:06.237"</f>
        <v>06:15:06.237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457</v>
      </c>
      <c r="CR1040">
        <v>0</v>
      </c>
      <c r="CW1040">
        <v>15514653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"08/29/2020 06:15:03.005"</f>
        <v>08/29/2020 06:15:03.005</v>
      </c>
      <c r="C1041" t="str">
        <f t="shared" si="48"/>
        <v>FFDFD3C0</v>
      </c>
      <c r="D1041" t="s">
        <v>121</v>
      </c>
      <c r="E1041">
        <v>13</v>
      </c>
      <c r="F1041">
        <v>1013</v>
      </c>
      <c r="G1041" t="s">
        <v>122</v>
      </c>
      <c r="J1041" t="s">
        <v>123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"06:15:06.234"</f>
        <v>06:15:06.234</v>
      </c>
      <c r="T1041" t="str">
        <f>"06:15:05.834"</f>
        <v>06:15:05.834</v>
      </c>
      <c r="U1041" t="str">
        <f t="shared" si="49"/>
        <v>A7E2E0</v>
      </c>
      <c r="V1041">
        <v>0</v>
      </c>
      <c r="W1041">
        <v>0</v>
      </c>
      <c r="X1041">
        <v>1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0</v>
      </c>
      <c r="AI1041" t="s">
        <v>811</v>
      </c>
      <c r="AJ1041">
        <v>39.066867999999999</v>
      </c>
      <c r="AK1041" t="s">
        <v>812</v>
      </c>
      <c r="AL1041">
        <v>-87.506467999999998</v>
      </c>
      <c r="AM1041">
        <v>100</v>
      </c>
      <c r="AN1041">
        <v>2800</v>
      </c>
      <c r="AO1041" t="s">
        <v>118</v>
      </c>
      <c r="AP1041">
        <v>-100</v>
      </c>
      <c r="AQ1041">
        <v>-133</v>
      </c>
      <c r="AR1041">
        <v>-64</v>
      </c>
      <c r="AZ1041">
        <v>4552</v>
      </c>
      <c r="BA1041">
        <v>1</v>
      </c>
      <c r="BB1041" t="str">
        <f t="shared" si="50"/>
        <v xml:space="preserve">N607SR  </v>
      </c>
      <c r="BC1041">
        <v>1</v>
      </c>
      <c r="BE1041">
        <v>0</v>
      </c>
      <c r="BF1041">
        <v>0</v>
      </c>
      <c r="BG1041">
        <v>0</v>
      </c>
      <c r="BH1041">
        <v>2600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"06:15:06.237"</f>
        <v>06:15:06.237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457</v>
      </c>
      <c r="CR1041">
        <v>0</v>
      </c>
      <c r="CW1041">
        <v>15514653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"08/29/2020 06:15:03.456"</f>
        <v>08/29/2020 06:15:03.456</v>
      </c>
      <c r="C1042" t="str">
        <f t="shared" si="48"/>
        <v>FFDFD3C0</v>
      </c>
      <c r="D1042" t="s">
        <v>113</v>
      </c>
      <c r="E1042">
        <v>5</v>
      </c>
      <c r="H1042">
        <v>163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"06:15:06.633"</f>
        <v>06:15:06.633</v>
      </c>
      <c r="T1042" t="str">
        <f>"06:15:06.333"</f>
        <v>06:15:06.333</v>
      </c>
      <c r="U1042" t="str">
        <f t="shared" si="49"/>
        <v>A7E2E0</v>
      </c>
      <c r="V1042">
        <v>0</v>
      </c>
      <c r="W1042">
        <v>0</v>
      </c>
      <c r="X1042">
        <v>1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0</v>
      </c>
      <c r="AI1042" t="s">
        <v>813</v>
      </c>
      <c r="AJ1042">
        <v>39.066589</v>
      </c>
      <c r="AK1042" t="s">
        <v>814</v>
      </c>
      <c r="AL1042">
        <v>-87.506660999999994</v>
      </c>
      <c r="AM1042">
        <v>100</v>
      </c>
      <c r="AN1042">
        <v>2800</v>
      </c>
      <c r="AO1042" t="s">
        <v>118</v>
      </c>
      <c r="AP1042">
        <v>-100</v>
      </c>
      <c r="AQ1042">
        <v>-133</v>
      </c>
      <c r="AR1042">
        <v>-64</v>
      </c>
      <c r="AZ1042">
        <v>4552</v>
      </c>
      <c r="BA1042">
        <v>1</v>
      </c>
      <c r="BB1042" t="str">
        <f t="shared" si="50"/>
        <v xml:space="preserve">N607SR  </v>
      </c>
      <c r="BC1042">
        <v>1</v>
      </c>
      <c r="BE1042">
        <v>0</v>
      </c>
      <c r="BF1042">
        <v>0</v>
      </c>
      <c r="BG1042">
        <v>0</v>
      </c>
      <c r="BH1042">
        <v>2600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"06:15:06.639"</f>
        <v>06:15:06.639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457</v>
      </c>
      <c r="CR1042">
        <v>0</v>
      </c>
      <c r="CW1042">
        <v>15514662</v>
      </c>
      <c r="CY1042">
        <v>1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"08/29/2020 06:15:03.456"</f>
        <v>08/29/2020 06:15:03.456</v>
      </c>
      <c r="C1043" t="str">
        <f t="shared" si="48"/>
        <v>FFDFD3C0</v>
      </c>
      <c r="D1043" t="s">
        <v>128</v>
      </c>
      <c r="E1043">
        <v>5</v>
      </c>
      <c r="H1043">
        <v>241</v>
      </c>
      <c r="I1043" t="s">
        <v>129</v>
      </c>
      <c r="J1043" t="s">
        <v>130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"06:15:06.633"</f>
        <v>06:15:06.633</v>
      </c>
      <c r="T1043" t="str">
        <f>"06:15:06.333"</f>
        <v>06:15:06.333</v>
      </c>
      <c r="U1043" t="str">
        <f t="shared" si="49"/>
        <v>A7E2E0</v>
      </c>
      <c r="V1043">
        <v>0</v>
      </c>
      <c r="W1043">
        <v>0</v>
      </c>
      <c r="X1043">
        <v>1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0</v>
      </c>
      <c r="AI1043" t="s">
        <v>813</v>
      </c>
      <c r="AJ1043">
        <v>39.066589</v>
      </c>
      <c r="AK1043" t="s">
        <v>814</v>
      </c>
      <c r="AL1043">
        <v>-87.506660999999994</v>
      </c>
      <c r="AM1043">
        <v>100</v>
      </c>
      <c r="AN1043">
        <v>2800</v>
      </c>
      <c r="AO1043" t="s">
        <v>118</v>
      </c>
      <c r="AP1043">
        <v>-100</v>
      </c>
      <c r="AQ1043">
        <v>-133</v>
      </c>
      <c r="AR1043">
        <v>-64</v>
      </c>
      <c r="AZ1043">
        <v>4552</v>
      </c>
      <c r="BA1043">
        <v>1</v>
      </c>
      <c r="BB1043" t="str">
        <f t="shared" si="50"/>
        <v xml:space="preserve">N607SR  </v>
      </c>
      <c r="BC1043">
        <v>1</v>
      </c>
      <c r="BE1043">
        <v>0</v>
      </c>
      <c r="BF1043">
        <v>0</v>
      </c>
      <c r="BG1043">
        <v>0</v>
      </c>
      <c r="BH1043">
        <v>2600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"06:15:06.639"</f>
        <v>06:15:06.639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457</v>
      </c>
      <c r="CR1043">
        <v>0</v>
      </c>
      <c r="CW1043">
        <v>15514662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"08/29/2020 06:15:03.916"</f>
        <v>08/29/2020 06:15:03.916</v>
      </c>
      <c r="C1044" t="str">
        <f t="shared" si="48"/>
        <v>FFDFD3C0</v>
      </c>
      <c r="D1044" t="s">
        <v>121</v>
      </c>
      <c r="E1044">
        <v>11</v>
      </c>
      <c r="F1044">
        <v>1011</v>
      </c>
      <c r="G1044" t="s">
        <v>125</v>
      </c>
      <c r="J1044" t="s">
        <v>123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"06:15:07.125"</f>
        <v>06:15:07.125</v>
      </c>
      <c r="T1044" t="str">
        <f>"06:15:06.725"</f>
        <v>06:15:06.725</v>
      </c>
      <c r="U1044" t="str">
        <f t="shared" si="49"/>
        <v>A7E2E0</v>
      </c>
      <c r="V1044">
        <v>0</v>
      </c>
      <c r="W1044">
        <v>0</v>
      </c>
      <c r="X1044">
        <v>1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0</v>
      </c>
      <c r="AI1044" t="s">
        <v>815</v>
      </c>
      <c r="AJ1044">
        <v>39.066288</v>
      </c>
      <c r="AK1044" t="s">
        <v>816</v>
      </c>
      <c r="AL1044">
        <v>-87.507005000000007</v>
      </c>
      <c r="AM1044">
        <v>100</v>
      </c>
      <c r="AN1044">
        <v>2800</v>
      </c>
      <c r="AO1044" t="s">
        <v>118</v>
      </c>
      <c r="AP1044">
        <v>-100</v>
      </c>
      <c r="AQ1044">
        <v>-133</v>
      </c>
      <c r="AR1044">
        <v>-64</v>
      </c>
      <c r="AZ1044">
        <v>4552</v>
      </c>
      <c r="BA1044">
        <v>1</v>
      </c>
      <c r="BB1044" t="str">
        <f t="shared" si="50"/>
        <v xml:space="preserve">N607SR  </v>
      </c>
      <c r="BC1044">
        <v>1</v>
      </c>
      <c r="BE1044">
        <v>0</v>
      </c>
      <c r="BF1044">
        <v>0</v>
      </c>
      <c r="BG1044">
        <v>0</v>
      </c>
      <c r="BH1044">
        <v>2600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"06:15:07.125"</f>
        <v>06:15:07.125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457</v>
      </c>
      <c r="CR1044">
        <v>0</v>
      </c>
      <c r="CW1044">
        <v>15514681</v>
      </c>
      <c r="CY1044">
        <v>1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"08/29/2020 06:15:03.916"</f>
        <v>08/29/2020 06:15:03.916</v>
      </c>
      <c r="C1045" t="str">
        <f t="shared" si="48"/>
        <v>FFDFD3C0</v>
      </c>
      <c r="D1045" t="s">
        <v>121</v>
      </c>
      <c r="E1045">
        <v>10</v>
      </c>
      <c r="F1045">
        <v>1010</v>
      </c>
      <c r="G1045" t="s">
        <v>114</v>
      </c>
      <c r="J1045" t="s">
        <v>123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"06:15:07.125"</f>
        <v>06:15:07.125</v>
      </c>
      <c r="U1045" t="str">
        <f t="shared" si="49"/>
        <v>A7E2E0</v>
      </c>
      <c r="V1045">
        <v>0</v>
      </c>
      <c r="W1045">
        <v>0</v>
      </c>
      <c r="X1045">
        <v>1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0</v>
      </c>
      <c r="AI1045" t="s">
        <v>815</v>
      </c>
      <c r="AJ1045">
        <v>39.066288</v>
      </c>
      <c r="AK1045" t="s">
        <v>816</v>
      </c>
      <c r="AL1045">
        <v>-87.507005000000007</v>
      </c>
      <c r="AM1045">
        <v>100</v>
      </c>
      <c r="AN1045">
        <v>2800</v>
      </c>
      <c r="AO1045" t="s">
        <v>118</v>
      </c>
      <c r="AP1045">
        <v>-101</v>
      </c>
      <c r="AQ1045">
        <v>-133</v>
      </c>
      <c r="AR1045">
        <v>-64</v>
      </c>
      <c r="AZ1045">
        <v>4552</v>
      </c>
      <c r="BA1045">
        <v>1</v>
      </c>
      <c r="BB1045" t="str">
        <f t="shared" si="50"/>
        <v xml:space="preserve">N607SR  </v>
      </c>
      <c r="BC1045">
        <v>1</v>
      </c>
      <c r="BE1045">
        <v>0</v>
      </c>
      <c r="BF1045">
        <v>0</v>
      </c>
      <c r="BG1045">
        <v>0</v>
      </c>
      <c r="BH1045">
        <v>2600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"06:15:07.125"</f>
        <v>06:15:07.125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4</v>
      </c>
      <c r="CP1045" t="s">
        <v>119</v>
      </c>
      <c r="CQ1045">
        <v>465</v>
      </c>
      <c r="CR1045">
        <v>0</v>
      </c>
      <c r="CW1045">
        <v>4718562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"08/29/2020 06:15:03.916"</f>
        <v>08/29/2020 06:15:03.916</v>
      </c>
      <c r="C1046" t="str">
        <f t="shared" si="48"/>
        <v>FFDFD3C0</v>
      </c>
      <c r="D1046" t="s">
        <v>121</v>
      </c>
      <c r="E1046">
        <v>13</v>
      </c>
      <c r="F1046">
        <v>1013</v>
      </c>
      <c r="G1046" t="s">
        <v>122</v>
      </c>
      <c r="J1046" t="s">
        <v>123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"06:15:07.125"</f>
        <v>06:15:07.125</v>
      </c>
      <c r="U1046" t="str">
        <f t="shared" si="49"/>
        <v>A7E2E0</v>
      </c>
      <c r="V1046">
        <v>0</v>
      </c>
      <c r="W1046">
        <v>0</v>
      </c>
      <c r="X1046">
        <v>1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0</v>
      </c>
      <c r="AI1046" t="s">
        <v>815</v>
      </c>
      <c r="AJ1046">
        <v>39.066288</v>
      </c>
      <c r="AK1046" t="s">
        <v>816</v>
      </c>
      <c r="AL1046">
        <v>-87.507005000000007</v>
      </c>
      <c r="AM1046">
        <v>100</v>
      </c>
      <c r="AN1046">
        <v>2800</v>
      </c>
      <c r="AO1046" t="s">
        <v>118</v>
      </c>
      <c r="AP1046">
        <v>-101</v>
      </c>
      <c r="AQ1046">
        <v>-133</v>
      </c>
      <c r="AR1046">
        <v>-64</v>
      </c>
      <c r="AZ1046">
        <v>4552</v>
      </c>
      <c r="BA1046">
        <v>1</v>
      </c>
      <c r="BB1046" t="str">
        <f t="shared" si="50"/>
        <v xml:space="preserve">N607SR  </v>
      </c>
      <c r="BC1046">
        <v>1</v>
      </c>
      <c r="BE1046">
        <v>0</v>
      </c>
      <c r="BF1046">
        <v>0</v>
      </c>
      <c r="BG1046">
        <v>0</v>
      </c>
      <c r="BH1046">
        <v>2600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"06:15:07.125"</f>
        <v>06:15:07.125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4</v>
      </c>
      <c r="CP1046" t="s">
        <v>119</v>
      </c>
      <c r="CQ1046">
        <v>465</v>
      </c>
      <c r="CR1046">
        <v>0</v>
      </c>
      <c r="CW1046">
        <v>4718562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"08/29/2020 06:15:04.521"</f>
        <v>08/29/2020 06:15:04.521</v>
      </c>
      <c r="C1047" t="str">
        <f t="shared" si="48"/>
        <v>FFDFD3C0</v>
      </c>
      <c r="D1047" t="s">
        <v>113</v>
      </c>
      <c r="E1047">
        <v>5</v>
      </c>
      <c r="H1047">
        <v>163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"06:15:07.703"</f>
        <v>06:15:07.703</v>
      </c>
      <c r="T1047" t="str">
        <f>"06:15:07.203"</f>
        <v>06:15:07.203</v>
      </c>
      <c r="U1047" t="str">
        <f t="shared" si="49"/>
        <v>A7E2E0</v>
      </c>
      <c r="V1047">
        <v>0</v>
      </c>
      <c r="W1047">
        <v>0</v>
      </c>
      <c r="X1047">
        <v>1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0</v>
      </c>
      <c r="AI1047" t="s">
        <v>817</v>
      </c>
      <c r="AJ1047">
        <v>39.065924000000003</v>
      </c>
      <c r="AK1047" t="s">
        <v>818</v>
      </c>
      <c r="AL1047">
        <v>-87.507347999999993</v>
      </c>
      <c r="AM1047">
        <v>100</v>
      </c>
      <c r="AN1047">
        <v>2800</v>
      </c>
      <c r="AO1047" t="s">
        <v>118</v>
      </c>
      <c r="AP1047">
        <v>-101</v>
      </c>
      <c r="AQ1047">
        <v>-133</v>
      </c>
      <c r="AR1047">
        <v>-64</v>
      </c>
      <c r="AZ1047">
        <v>4552</v>
      </c>
      <c r="BA1047">
        <v>1</v>
      </c>
      <c r="BB1047" t="str">
        <f t="shared" si="50"/>
        <v xml:space="preserve">N607SR  </v>
      </c>
      <c r="BC1047">
        <v>1</v>
      </c>
      <c r="BE1047">
        <v>0</v>
      </c>
      <c r="BF1047">
        <v>0</v>
      </c>
      <c r="BG1047">
        <v>0</v>
      </c>
      <c r="BH1047">
        <v>2600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"06:15:07.710"</f>
        <v>06:15:07.710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457</v>
      </c>
      <c r="CR1047">
        <v>0</v>
      </c>
      <c r="CW1047">
        <v>15514697</v>
      </c>
      <c r="CY1047">
        <v>1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"08/29/2020 06:15:04.521"</f>
        <v>08/29/2020 06:15:04.521</v>
      </c>
      <c r="C1048" t="str">
        <f t="shared" si="48"/>
        <v>FFDFD3C0</v>
      </c>
      <c r="D1048" t="s">
        <v>128</v>
      </c>
      <c r="E1048">
        <v>5</v>
      </c>
      <c r="H1048">
        <v>241</v>
      </c>
      <c r="I1048" t="s">
        <v>129</v>
      </c>
      <c r="J1048" t="s">
        <v>130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"06:15:07.703"</f>
        <v>06:15:07.703</v>
      </c>
      <c r="T1048" t="str">
        <f>"06:15:07.203"</f>
        <v>06:15:07.203</v>
      </c>
      <c r="U1048" t="str">
        <f t="shared" si="49"/>
        <v>A7E2E0</v>
      </c>
      <c r="V1048">
        <v>0</v>
      </c>
      <c r="W1048">
        <v>0</v>
      </c>
      <c r="X1048">
        <v>1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0</v>
      </c>
      <c r="AI1048" t="s">
        <v>817</v>
      </c>
      <c r="AJ1048">
        <v>39.065924000000003</v>
      </c>
      <c r="AK1048" t="s">
        <v>818</v>
      </c>
      <c r="AL1048">
        <v>-87.507347999999993</v>
      </c>
      <c r="AM1048">
        <v>100</v>
      </c>
      <c r="AN1048">
        <v>2800</v>
      </c>
      <c r="AO1048" t="s">
        <v>118</v>
      </c>
      <c r="AP1048">
        <v>-101</v>
      </c>
      <c r="AQ1048">
        <v>-133</v>
      </c>
      <c r="AR1048">
        <v>-64</v>
      </c>
      <c r="AZ1048">
        <v>4552</v>
      </c>
      <c r="BA1048">
        <v>1</v>
      </c>
      <c r="BB1048" t="str">
        <f t="shared" si="50"/>
        <v xml:space="preserve">N607SR  </v>
      </c>
      <c r="BC1048">
        <v>1</v>
      </c>
      <c r="BE1048">
        <v>0</v>
      </c>
      <c r="BF1048">
        <v>0</v>
      </c>
      <c r="BG1048">
        <v>0</v>
      </c>
      <c r="BH1048">
        <v>2600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"06:15:07.710"</f>
        <v>06:15:07.710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457</v>
      </c>
      <c r="CR1048">
        <v>0</v>
      </c>
      <c r="CW1048">
        <v>15514697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"08/29/2020 06:15:04.923"</f>
        <v>08/29/2020 06:15:04.923</v>
      </c>
      <c r="C1049" t="str">
        <f t="shared" si="48"/>
        <v>FFDFD3C0</v>
      </c>
      <c r="D1049" t="s">
        <v>121</v>
      </c>
      <c r="E1049">
        <v>13</v>
      </c>
      <c r="F1049">
        <v>1013</v>
      </c>
      <c r="G1049" t="s">
        <v>122</v>
      </c>
      <c r="J1049" t="s">
        <v>123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"06:15:08.117"</f>
        <v>06:15:08.117</v>
      </c>
      <c r="T1049" t="str">
        <f>"06:15:07.717"</f>
        <v>06:15:07.717</v>
      </c>
      <c r="U1049" t="str">
        <f t="shared" si="49"/>
        <v>A7E2E0</v>
      </c>
      <c r="V1049">
        <v>0</v>
      </c>
      <c r="W1049">
        <v>0</v>
      </c>
      <c r="X1049">
        <v>1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0</v>
      </c>
      <c r="AI1049" t="s">
        <v>819</v>
      </c>
      <c r="AJ1049">
        <v>39.065688000000002</v>
      </c>
      <c r="AK1049" t="s">
        <v>820</v>
      </c>
      <c r="AL1049">
        <v>-87.507605999999996</v>
      </c>
      <c r="AM1049">
        <v>100</v>
      </c>
      <c r="AN1049">
        <v>2800</v>
      </c>
      <c r="AO1049" t="s">
        <v>118</v>
      </c>
      <c r="AP1049">
        <v>-101</v>
      </c>
      <c r="AQ1049">
        <v>-133</v>
      </c>
      <c r="AR1049">
        <v>-64</v>
      </c>
      <c r="AZ1049">
        <v>4552</v>
      </c>
      <c r="BA1049">
        <v>1</v>
      </c>
      <c r="BB1049" t="str">
        <f t="shared" si="50"/>
        <v xml:space="preserve">N607SR  </v>
      </c>
      <c r="BC1049">
        <v>1</v>
      </c>
      <c r="BE1049">
        <v>0</v>
      </c>
      <c r="BF1049">
        <v>0</v>
      </c>
      <c r="BG1049">
        <v>0</v>
      </c>
      <c r="BH1049">
        <v>2600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"06:15:08.120"</f>
        <v>06:15:08.120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6</v>
      </c>
      <c r="CP1049" t="s">
        <v>119</v>
      </c>
      <c r="CQ1049">
        <v>457</v>
      </c>
      <c r="CR1049">
        <v>0</v>
      </c>
      <c r="CW1049">
        <v>15514713</v>
      </c>
      <c r="CY1049">
        <v>1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"08/29/2020 06:15:04.923"</f>
        <v>08/29/2020 06:15:04.923</v>
      </c>
      <c r="C1050" t="str">
        <f t="shared" si="48"/>
        <v>FFDFD3C0</v>
      </c>
      <c r="D1050" t="s">
        <v>121</v>
      </c>
      <c r="E1050">
        <v>11</v>
      </c>
      <c r="F1050">
        <v>1011</v>
      </c>
      <c r="G1050" t="s">
        <v>125</v>
      </c>
      <c r="J1050" t="s">
        <v>123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"06:15:08.117"</f>
        <v>06:15:08.117</v>
      </c>
      <c r="T1050" t="str">
        <f>"06:15:07.717"</f>
        <v>06:15:07.717</v>
      </c>
      <c r="U1050" t="str">
        <f t="shared" si="49"/>
        <v>A7E2E0</v>
      </c>
      <c r="V1050">
        <v>0</v>
      </c>
      <c r="W1050">
        <v>0</v>
      </c>
      <c r="X1050">
        <v>1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0</v>
      </c>
      <c r="AI1050" t="s">
        <v>819</v>
      </c>
      <c r="AJ1050">
        <v>39.065688000000002</v>
      </c>
      <c r="AK1050" t="s">
        <v>820</v>
      </c>
      <c r="AL1050">
        <v>-87.507605999999996</v>
      </c>
      <c r="AM1050">
        <v>100</v>
      </c>
      <c r="AN1050">
        <v>2800</v>
      </c>
      <c r="AO1050" t="s">
        <v>118</v>
      </c>
      <c r="AP1050">
        <v>-101</v>
      </c>
      <c r="AQ1050">
        <v>-133</v>
      </c>
      <c r="AR1050">
        <v>-64</v>
      </c>
      <c r="AZ1050">
        <v>4552</v>
      </c>
      <c r="BA1050">
        <v>1</v>
      </c>
      <c r="BB1050" t="str">
        <f t="shared" si="50"/>
        <v xml:space="preserve">N607SR  </v>
      </c>
      <c r="BC1050">
        <v>1</v>
      </c>
      <c r="BE1050">
        <v>0</v>
      </c>
      <c r="BF1050">
        <v>0</v>
      </c>
      <c r="BG1050">
        <v>0</v>
      </c>
      <c r="BH1050">
        <v>2600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"06:15:08.120"</f>
        <v>06:15:08.120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6</v>
      </c>
      <c r="CP1050" t="s">
        <v>119</v>
      </c>
      <c r="CQ1050">
        <v>457</v>
      </c>
      <c r="CR1050">
        <v>0</v>
      </c>
      <c r="CW1050">
        <v>15514713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"08/29/2020 06:15:04.923"</f>
        <v>08/29/2020 06:15:04.923</v>
      </c>
      <c r="C1051" t="str">
        <f t="shared" si="48"/>
        <v>FFDFD3C0</v>
      </c>
      <c r="D1051" t="s">
        <v>121</v>
      </c>
      <c r="E1051">
        <v>10</v>
      </c>
      <c r="F1051">
        <v>1010</v>
      </c>
      <c r="G1051" t="s">
        <v>114</v>
      </c>
      <c r="J1051" t="s">
        <v>123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"06:15:08.117"</f>
        <v>06:15:08.117</v>
      </c>
      <c r="T1051" t="str">
        <f>"06:15:07.717"</f>
        <v>06:15:07.717</v>
      </c>
      <c r="U1051" t="str">
        <f t="shared" si="49"/>
        <v>A7E2E0</v>
      </c>
      <c r="V1051">
        <v>0</v>
      </c>
      <c r="W1051">
        <v>0</v>
      </c>
      <c r="X1051">
        <v>1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0</v>
      </c>
      <c r="AI1051" t="s">
        <v>819</v>
      </c>
      <c r="AJ1051">
        <v>39.065688000000002</v>
      </c>
      <c r="AK1051" t="s">
        <v>820</v>
      </c>
      <c r="AL1051">
        <v>-87.507605999999996</v>
      </c>
      <c r="AM1051">
        <v>100</v>
      </c>
      <c r="AN1051">
        <v>2800</v>
      </c>
      <c r="AO1051" t="s">
        <v>118</v>
      </c>
      <c r="AP1051">
        <v>-101</v>
      </c>
      <c r="AQ1051">
        <v>-133</v>
      </c>
      <c r="AR1051">
        <v>-64</v>
      </c>
      <c r="AZ1051">
        <v>4552</v>
      </c>
      <c r="BA1051">
        <v>1</v>
      </c>
      <c r="BB1051" t="str">
        <f t="shared" si="50"/>
        <v xml:space="preserve">N607SR  </v>
      </c>
      <c r="BC1051">
        <v>1</v>
      </c>
      <c r="BE1051">
        <v>0</v>
      </c>
      <c r="BF1051">
        <v>0</v>
      </c>
      <c r="BG1051">
        <v>0</v>
      </c>
      <c r="BH1051">
        <v>2600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"06:15:08.120"</f>
        <v>06:15:08.120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6</v>
      </c>
      <c r="CP1051" t="s">
        <v>119</v>
      </c>
      <c r="CQ1051">
        <v>457</v>
      </c>
      <c r="CR1051">
        <v>0</v>
      </c>
      <c r="CW1051">
        <v>15514713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"08/29/2020 06:15:05.535"</f>
        <v>08/29/2020 06:15:05.535</v>
      </c>
      <c r="C1052" t="str">
        <f t="shared" si="48"/>
        <v>FFDFD3C0</v>
      </c>
      <c r="D1052" t="s">
        <v>113</v>
      </c>
      <c r="E1052">
        <v>5</v>
      </c>
      <c r="H1052">
        <v>163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"06:15:08.711"</f>
        <v>06:15:08.711</v>
      </c>
      <c r="U1052" t="str">
        <f t="shared" si="49"/>
        <v>A7E2E0</v>
      </c>
      <c r="V1052">
        <v>0</v>
      </c>
      <c r="W1052">
        <v>0</v>
      </c>
      <c r="X1052">
        <v>1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0</v>
      </c>
      <c r="AI1052" t="s">
        <v>821</v>
      </c>
      <c r="AJ1052">
        <v>39.065322999999999</v>
      </c>
      <c r="AK1052" t="s">
        <v>822</v>
      </c>
      <c r="AL1052">
        <v>-87.507948999999996</v>
      </c>
      <c r="AM1052">
        <v>100</v>
      </c>
      <c r="AN1052">
        <v>2800</v>
      </c>
      <c r="AO1052" t="s">
        <v>118</v>
      </c>
      <c r="AP1052">
        <v>-101</v>
      </c>
      <c r="AQ1052">
        <v>-133</v>
      </c>
      <c r="AR1052">
        <v>0</v>
      </c>
      <c r="AZ1052">
        <v>4552</v>
      </c>
      <c r="BA1052">
        <v>1</v>
      </c>
      <c r="BB1052" t="str">
        <f t="shared" si="50"/>
        <v xml:space="preserve">N607SR  </v>
      </c>
      <c r="BC1052">
        <v>1</v>
      </c>
      <c r="BE1052">
        <v>0</v>
      </c>
      <c r="BF1052">
        <v>0</v>
      </c>
      <c r="BG1052">
        <v>0</v>
      </c>
      <c r="BH1052">
        <v>2600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"06:15:08.716"</f>
        <v>06:15:08.716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5</v>
      </c>
      <c r="CP1052" t="s">
        <v>119</v>
      </c>
      <c r="CQ1052">
        <v>465</v>
      </c>
      <c r="CR1052">
        <v>0</v>
      </c>
      <c r="CW1052">
        <v>4718615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"08/29/2020 06:15:05.535"</f>
        <v>08/29/2020 06:15:05.535</v>
      </c>
      <c r="C1053" t="str">
        <f t="shared" si="48"/>
        <v>FFDFD3C0</v>
      </c>
      <c r="D1053" t="s">
        <v>128</v>
      </c>
      <c r="E1053">
        <v>5</v>
      </c>
      <c r="H1053">
        <v>241</v>
      </c>
      <c r="I1053" t="s">
        <v>129</v>
      </c>
      <c r="J1053" t="s">
        <v>130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"06:15:08.711"</f>
        <v>06:15:08.711</v>
      </c>
      <c r="U1053" t="str">
        <f t="shared" si="49"/>
        <v>A7E2E0</v>
      </c>
      <c r="V1053">
        <v>0</v>
      </c>
      <c r="W1053">
        <v>0</v>
      </c>
      <c r="X1053">
        <v>1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0</v>
      </c>
      <c r="AI1053" t="s">
        <v>821</v>
      </c>
      <c r="AJ1053">
        <v>39.065322999999999</v>
      </c>
      <c r="AK1053" t="s">
        <v>822</v>
      </c>
      <c r="AL1053">
        <v>-87.507948999999996</v>
      </c>
      <c r="AM1053">
        <v>100</v>
      </c>
      <c r="AN1053">
        <v>2800</v>
      </c>
      <c r="AO1053" t="s">
        <v>118</v>
      </c>
      <c r="AP1053">
        <v>-101</v>
      </c>
      <c r="AQ1053">
        <v>-133</v>
      </c>
      <c r="AR1053">
        <v>0</v>
      </c>
      <c r="AZ1053">
        <v>4552</v>
      </c>
      <c r="BA1053">
        <v>1</v>
      </c>
      <c r="BB1053" t="str">
        <f t="shared" si="50"/>
        <v xml:space="preserve">N607SR  </v>
      </c>
      <c r="BC1053">
        <v>1</v>
      </c>
      <c r="BE1053">
        <v>0</v>
      </c>
      <c r="BF1053">
        <v>0</v>
      </c>
      <c r="BG1053">
        <v>0</v>
      </c>
      <c r="BH1053">
        <v>2600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"06:15:08.716"</f>
        <v>06:15:08.716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5</v>
      </c>
      <c r="CP1053" t="s">
        <v>119</v>
      </c>
      <c r="CQ1053">
        <v>465</v>
      </c>
      <c r="CR1053">
        <v>0</v>
      </c>
      <c r="CW1053">
        <v>4718615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"08/29/2020 06:15:05.944"</f>
        <v>08/29/2020 06:15:05.944</v>
      </c>
      <c r="C1054" t="str">
        <f t="shared" si="48"/>
        <v>FFDFD3C0</v>
      </c>
      <c r="D1054" t="s">
        <v>121</v>
      </c>
      <c r="E1054">
        <v>11</v>
      </c>
      <c r="F1054">
        <v>1011</v>
      </c>
      <c r="G1054" t="s">
        <v>125</v>
      </c>
      <c r="J1054" t="s">
        <v>123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"06:15:09.141"</f>
        <v>06:15:09.141</v>
      </c>
      <c r="T1054" t="str">
        <f>"06:15:08.741"</f>
        <v>06:15:08.741</v>
      </c>
      <c r="U1054" t="str">
        <f t="shared" si="49"/>
        <v>A7E2E0</v>
      </c>
      <c r="V1054">
        <v>0</v>
      </c>
      <c r="W1054">
        <v>0</v>
      </c>
      <c r="X1054">
        <v>1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0</v>
      </c>
      <c r="AI1054" t="s">
        <v>823</v>
      </c>
      <c r="AJ1054">
        <v>39.065044</v>
      </c>
      <c r="AK1054" t="s">
        <v>824</v>
      </c>
      <c r="AL1054">
        <v>-87.508184999999997</v>
      </c>
      <c r="AM1054">
        <v>100</v>
      </c>
      <c r="AN1054">
        <v>2800</v>
      </c>
      <c r="AO1054" t="s">
        <v>118</v>
      </c>
      <c r="AP1054">
        <v>-101</v>
      </c>
      <c r="AQ1054">
        <v>-133</v>
      </c>
      <c r="AR1054">
        <v>0</v>
      </c>
      <c r="AZ1054">
        <v>4552</v>
      </c>
      <c r="BA1054">
        <v>1</v>
      </c>
      <c r="BB1054" t="str">
        <f t="shared" si="50"/>
        <v xml:space="preserve">N607SR  </v>
      </c>
      <c r="BC1054">
        <v>1</v>
      </c>
      <c r="BE1054">
        <v>0</v>
      </c>
      <c r="BF1054">
        <v>0</v>
      </c>
      <c r="BG1054">
        <v>0</v>
      </c>
      <c r="BH1054">
        <v>2600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"06:15:09.147"</f>
        <v>06:15:09.147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6</v>
      </c>
      <c r="CP1054" t="s">
        <v>119</v>
      </c>
      <c r="CQ1054">
        <v>177</v>
      </c>
      <c r="CR1054">
        <v>2</v>
      </c>
      <c r="CW1054">
        <v>1633174</v>
      </c>
      <c r="CY1054">
        <v>1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"08/29/2020 06:15:05.944"</f>
        <v>08/29/2020 06:15:05.944</v>
      </c>
      <c r="C1055" t="str">
        <f t="shared" si="48"/>
        <v>FFDFD3C0</v>
      </c>
      <c r="D1055" t="s">
        <v>121</v>
      </c>
      <c r="E1055">
        <v>10</v>
      </c>
      <c r="F1055">
        <v>1010</v>
      </c>
      <c r="G1055" t="s">
        <v>114</v>
      </c>
      <c r="J1055" t="s">
        <v>123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"06:15:09.141"</f>
        <v>06:15:09.141</v>
      </c>
      <c r="T1055" t="str">
        <f>"06:15:08.741"</f>
        <v>06:15:08.741</v>
      </c>
      <c r="U1055" t="str">
        <f t="shared" si="49"/>
        <v>A7E2E0</v>
      </c>
      <c r="V1055">
        <v>0</v>
      </c>
      <c r="W1055">
        <v>0</v>
      </c>
      <c r="X1055">
        <v>1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0</v>
      </c>
      <c r="AI1055" t="s">
        <v>823</v>
      </c>
      <c r="AJ1055">
        <v>39.065044</v>
      </c>
      <c r="AK1055" t="s">
        <v>824</v>
      </c>
      <c r="AL1055">
        <v>-87.508184999999997</v>
      </c>
      <c r="AM1055">
        <v>100</v>
      </c>
      <c r="AN1055">
        <v>2800</v>
      </c>
      <c r="AO1055" t="s">
        <v>118</v>
      </c>
      <c r="AP1055">
        <v>-101</v>
      </c>
      <c r="AQ1055">
        <v>-133</v>
      </c>
      <c r="AR1055">
        <v>0</v>
      </c>
      <c r="AZ1055">
        <v>4552</v>
      </c>
      <c r="BA1055">
        <v>1</v>
      </c>
      <c r="BB1055" t="str">
        <f t="shared" si="50"/>
        <v xml:space="preserve">N607SR  </v>
      </c>
      <c r="BC1055">
        <v>1</v>
      </c>
      <c r="BE1055">
        <v>0</v>
      </c>
      <c r="BF1055">
        <v>0</v>
      </c>
      <c r="BG1055">
        <v>0</v>
      </c>
      <c r="BH1055">
        <v>2600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"06:15:09.147"</f>
        <v>06:15:09.147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6</v>
      </c>
      <c r="CP1055" t="s">
        <v>119</v>
      </c>
      <c r="CQ1055">
        <v>457</v>
      </c>
      <c r="CR1055">
        <v>0</v>
      </c>
      <c r="CW1055">
        <v>15514745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"08/29/2020 06:15:05.944"</f>
        <v>08/29/2020 06:15:05.944</v>
      </c>
      <c r="C1056" t="str">
        <f t="shared" si="48"/>
        <v>FFDFD3C0</v>
      </c>
      <c r="D1056" t="s">
        <v>121</v>
      </c>
      <c r="E1056">
        <v>13</v>
      </c>
      <c r="F1056">
        <v>1013</v>
      </c>
      <c r="G1056" t="s">
        <v>122</v>
      </c>
      <c r="J1056" t="s">
        <v>123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"06:15:09.141"</f>
        <v>06:15:09.141</v>
      </c>
      <c r="T1056" t="str">
        <f>"06:15:08.741"</f>
        <v>06:15:08.741</v>
      </c>
      <c r="U1056" t="str">
        <f t="shared" si="49"/>
        <v>A7E2E0</v>
      </c>
      <c r="V1056">
        <v>0</v>
      </c>
      <c r="W1056">
        <v>0</v>
      </c>
      <c r="X1056">
        <v>1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0</v>
      </c>
      <c r="AI1056" t="s">
        <v>823</v>
      </c>
      <c r="AJ1056">
        <v>39.065044</v>
      </c>
      <c r="AK1056" t="s">
        <v>824</v>
      </c>
      <c r="AL1056">
        <v>-87.508184999999997</v>
      </c>
      <c r="AM1056">
        <v>100</v>
      </c>
      <c r="AN1056">
        <v>2800</v>
      </c>
      <c r="AO1056" t="s">
        <v>118</v>
      </c>
      <c r="AP1056">
        <v>-101</v>
      </c>
      <c r="AQ1056">
        <v>-133</v>
      </c>
      <c r="AR1056">
        <v>0</v>
      </c>
      <c r="AZ1056">
        <v>4552</v>
      </c>
      <c r="BA1056">
        <v>1</v>
      </c>
      <c r="BB1056" t="str">
        <f t="shared" si="50"/>
        <v xml:space="preserve">N607SR  </v>
      </c>
      <c r="BC1056">
        <v>1</v>
      </c>
      <c r="BE1056">
        <v>0</v>
      </c>
      <c r="BF1056">
        <v>0</v>
      </c>
      <c r="BG1056">
        <v>0</v>
      </c>
      <c r="BH1056">
        <v>2600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"06:15:09.147"</f>
        <v>06:15:09.147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6</v>
      </c>
      <c r="CP1056" t="s">
        <v>119</v>
      </c>
      <c r="CQ1056">
        <v>177</v>
      </c>
      <c r="CR1056">
        <v>2</v>
      </c>
      <c r="CW1056">
        <v>1633174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"08/29/2020 06:15:06.446"</f>
        <v>08/29/2020 06:15:06.446</v>
      </c>
      <c r="C1057" t="str">
        <f t="shared" si="48"/>
        <v>FFDFD3C0</v>
      </c>
      <c r="D1057" t="s">
        <v>113</v>
      </c>
      <c r="E1057">
        <v>5</v>
      </c>
      <c r="H1057">
        <v>163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"06:15:09.617"</f>
        <v>06:15:09.617</v>
      </c>
      <c r="T1057" t="str">
        <f>"06:15:09.217"</f>
        <v>06:15:09.217</v>
      </c>
      <c r="U1057" t="str">
        <f t="shared" si="49"/>
        <v>A7E2E0</v>
      </c>
      <c r="V1057">
        <v>0</v>
      </c>
      <c r="W1057">
        <v>0</v>
      </c>
      <c r="X1057">
        <v>1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0</v>
      </c>
      <c r="AI1057" t="s">
        <v>825</v>
      </c>
      <c r="AJ1057">
        <v>39.064785999999998</v>
      </c>
      <c r="AK1057" t="s">
        <v>826</v>
      </c>
      <c r="AL1057">
        <v>-87.508484999999993</v>
      </c>
      <c r="AM1057">
        <v>100</v>
      </c>
      <c r="AN1057">
        <v>2800</v>
      </c>
      <c r="AO1057" t="s">
        <v>118</v>
      </c>
      <c r="AP1057">
        <v>-101</v>
      </c>
      <c r="AQ1057">
        <v>-133</v>
      </c>
      <c r="AR1057">
        <v>-64</v>
      </c>
      <c r="AZ1057">
        <v>4552</v>
      </c>
      <c r="BA1057">
        <v>1</v>
      </c>
      <c r="BB1057" t="str">
        <f t="shared" si="50"/>
        <v xml:space="preserve">N607SR  </v>
      </c>
      <c r="BC1057">
        <v>1</v>
      </c>
      <c r="BE1057">
        <v>0</v>
      </c>
      <c r="BF1057">
        <v>0</v>
      </c>
      <c r="BG1057">
        <v>0</v>
      </c>
      <c r="BH1057">
        <v>2600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"06:15:09.619"</f>
        <v>06:15:09.619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6</v>
      </c>
      <c r="CP1057" t="s">
        <v>119</v>
      </c>
      <c r="CQ1057">
        <v>457</v>
      </c>
      <c r="CR1057">
        <v>0</v>
      </c>
      <c r="CW1057">
        <v>15514754</v>
      </c>
      <c r="CY1057">
        <v>1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"08/29/2020 06:15:06.446"</f>
        <v>08/29/2020 06:15:06.446</v>
      </c>
      <c r="C1058" t="str">
        <f t="shared" si="48"/>
        <v>FFDFD3C0</v>
      </c>
      <c r="D1058" t="s">
        <v>128</v>
      </c>
      <c r="E1058">
        <v>5</v>
      </c>
      <c r="H1058">
        <v>241</v>
      </c>
      <c r="I1058" t="s">
        <v>129</v>
      </c>
      <c r="J1058" t="s">
        <v>130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"06:15:09.617"</f>
        <v>06:15:09.617</v>
      </c>
      <c r="T1058" t="str">
        <f>"06:15:09.217"</f>
        <v>06:15:09.217</v>
      </c>
      <c r="U1058" t="str">
        <f t="shared" si="49"/>
        <v>A7E2E0</v>
      </c>
      <c r="V1058">
        <v>0</v>
      </c>
      <c r="W1058">
        <v>0</v>
      </c>
      <c r="X1058">
        <v>1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0</v>
      </c>
      <c r="AI1058" t="s">
        <v>825</v>
      </c>
      <c r="AJ1058">
        <v>39.064785999999998</v>
      </c>
      <c r="AK1058" t="s">
        <v>826</v>
      </c>
      <c r="AL1058">
        <v>-87.508484999999993</v>
      </c>
      <c r="AM1058">
        <v>100</v>
      </c>
      <c r="AN1058">
        <v>2800</v>
      </c>
      <c r="AO1058" t="s">
        <v>118</v>
      </c>
      <c r="AP1058">
        <v>-101</v>
      </c>
      <c r="AQ1058">
        <v>-133</v>
      </c>
      <c r="AR1058">
        <v>-64</v>
      </c>
      <c r="AZ1058">
        <v>4552</v>
      </c>
      <c r="BA1058">
        <v>1</v>
      </c>
      <c r="BB1058" t="str">
        <f t="shared" si="50"/>
        <v xml:space="preserve">N607SR  </v>
      </c>
      <c r="BC1058">
        <v>1</v>
      </c>
      <c r="BE1058">
        <v>0</v>
      </c>
      <c r="BF1058">
        <v>0</v>
      </c>
      <c r="BG1058">
        <v>0</v>
      </c>
      <c r="BH1058">
        <v>2600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"06:15:09.619"</f>
        <v>06:15:09.619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6</v>
      </c>
      <c r="CP1058" t="s">
        <v>119</v>
      </c>
      <c r="CQ1058">
        <v>457</v>
      </c>
      <c r="CR1058">
        <v>0</v>
      </c>
      <c r="CW1058">
        <v>15514754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"08/29/2020 06:15:06.909"</f>
        <v>08/29/2020 06:15:06.909</v>
      </c>
      <c r="C1059" t="str">
        <f t="shared" si="48"/>
        <v>FFDFD3C0</v>
      </c>
      <c r="D1059" t="s">
        <v>121</v>
      </c>
      <c r="E1059">
        <v>11</v>
      </c>
      <c r="F1059">
        <v>1011</v>
      </c>
      <c r="G1059" t="s">
        <v>125</v>
      </c>
      <c r="J1059" t="s">
        <v>123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"06:15:10.094"</f>
        <v>06:15:10.094</v>
      </c>
      <c r="T1059" t="str">
        <f>"06:15:09.694"</f>
        <v>06:15:09.694</v>
      </c>
      <c r="U1059" t="str">
        <f t="shared" si="49"/>
        <v>A7E2E0</v>
      </c>
      <c r="V1059">
        <v>0</v>
      </c>
      <c r="W1059">
        <v>0</v>
      </c>
      <c r="X1059">
        <v>1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0</v>
      </c>
      <c r="AI1059" t="s">
        <v>827</v>
      </c>
      <c r="AJ1059">
        <v>39.064486000000002</v>
      </c>
      <c r="AK1059" t="s">
        <v>828</v>
      </c>
      <c r="AL1059">
        <v>-87.508720999999994</v>
      </c>
      <c r="AM1059">
        <v>100</v>
      </c>
      <c r="AN1059">
        <v>2800</v>
      </c>
      <c r="AO1059" t="s">
        <v>118</v>
      </c>
      <c r="AP1059">
        <v>-101</v>
      </c>
      <c r="AQ1059">
        <v>-133</v>
      </c>
      <c r="AR1059">
        <v>0</v>
      </c>
      <c r="AZ1059">
        <v>4552</v>
      </c>
      <c r="BA1059">
        <v>1</v>
      </c>
      <c r="BB1059" t="str">
        <f t="shared" si="50"/>
        <v xml:space="preserve">N607SR  </v>
      </c>
      <c r="BC1059">
        <v>1</v>
      </c>
      <c r="BE1059">
        <v>0</v>
      </c>
      <c r="BF1059">
        <v>0</v>
      </c>
      <c r="BG1059">
        <v>0</v>
      </c>
      <c r="BH1059">
        <v>2600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"06:15:10.096"</f>
        <v>06:15:10.096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6</v>
      </c>
      <c r="CP1059" t="s">
        <v>119</v>
      </c>
      <c r="CQ1059">
        <v>177</v>
      </c>
      <c r="CR1059">
        <v>2</v>
      </c>
      <c r="CW1059">
        <v>1633311</v>
      </c>
      <c r="CY1059">
        <v>1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"08/29/2020 06:15:06.909"</f>
        <v>08/29/2020 06:15:06.909</v>
      </c>
      <c r="C1060" t="str">
        <f t="shared" si="48"/>
        <v>FFDFD3C0</v>
      </c>
      <c r="D1060" t="s">
        <v>121</v>
      </c>
      <c r="E1060">
        <v>10</v>
      </c>
      <c r="F1060">
        <v>1010</v>
      </c>
      <c r="G1060" t="s">
        <v>114</v>
      </c>
      <c r="J1060" t="s">
        <v>123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"06:15:10.094"</f>
        <v>06:15:10.094</v>
      </c>
      <c r="U1060" t="str">
        <f t="shared" si="49"/>
        <v>A7E2E0</v>
      </c>
      <c r="V1060">
        <v>0</v>
      </c>
      <c r="W1060">
        <v>0</v>
      </c>
      <c r="X1060">
        <v>1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0</v>
      </c>
      <c r="AI1060" t="s">
        <v>827</v>
      </c>
      <c r="AJ1060">
        <v>39.064486000000002</v>
      </c>
      <c r="AK1060" t="s">
        <v>828</v>
      </c>
      <c r="AL1060">
        <v>-87.508720999999994</v>
      </c>
      <c r="AM1060">
        <v>100</v>
      </c>
      <c r="AN1060">
        <v>2800</v>
      </c>
      <c r="AO1060" t="s">
        <v>118</v>
      </c>
      <c r="AP1060">
        <v>-101</v>
      </c>
      <c r="AQ1060">
        <v>-133</v>
      </c>
      <c r="AR1060">
        <v>0</v>
      </c>
      <c r="AZ1060">
        <v>4552</v>
      </c>
      <c r="BA1060">
        <v>1</v>
      </c>
      <c r="BB1060" t="str">
        <f t="shared" si="50"/>
        <v xml:space="preserve">N607SR  </v>
      </c>
      <c r="BC1060">
        <v>1</v>
      </c>
      <c r="BE1060">
        <v>0</v>
      </c>
      <c r="BF1060">
        <v>0</v>
      </c>
      <c r="BG1060">
        <v>0</v>
      </c>
      <c r="BH1060">
        <v>2600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"06:15:10.096"</f>
        <v>06:15:10.096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5</v>
      </c>
      <c r="CP1060" t="s">
        <v>119</v>
      </c>
      <c r="CQ1060">
        <v>517</v>
      </c>
      <c r="CR1060">
        <v>1</v>
      </c>
      <c r="CW1060">
        <v>2479532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"08/29/2020 06:15:06.909"</f>
        <v>08/29/2020 06:15:06.909</v>
      </c>
      <c r="C1061" t="str">
        <f t="shared" si="48"/>
        <v>FFDFD3C0</v>
      </c>
      <c r="D1061" t="s">
        <v>121</v>
      </c>
      <c r="E1061">
        <v>13</v>
      </c>
      <c r="F1061">
        <v>1013</v>
      </c>
      <c r="G1061" t="s">
        <v>122</v>
      </c>
      <c r="J1061" t="s">
        <v>123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"06:15:10.094"</f>
        <v>06:15:10.094</v>
      </c>
      <c r="U1061" t="str">
        <f t="shared" si="49"/>
        <v>A7E2E0</v>
      </c>
      <c r="V1061">
        <v>0</v>
      </c>
      <c r="W1061">
        <v>0</v>
      </c>
      <c r="X1061">
        <v>1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0</v>
      </c>
      <c r="AI1061" t="s">
        <v>827</v>
      </c>
      <c r="AJ1061">
        <v>39.064486000000002</v>
      </c>
      <c r="AK1061" t="s">
        <v>828</v>
      </c>
      <c r="AL1061">
        <v>-87.508720999999994</v>
      </c>
      <c r="AM1061">
        <v>100</v>
      </c>
      <c r="AN1061">
        <v>2800</v>
      </c>
      <c r="AO1061" t="s">
        <v>118</v>
      </c>
      <c r="AP1061">
        <v>-101</v>
      </c>
      <c r="AQ1061">
        <v>-133</v>
      </c>
      <c r="AR1061">
        <v>0</v>
      </c>
      <c r="AZ1061">
        <v>4552</v>
      </c>
      <c r="BA1061">
        <v>1</v>
      </c>
      <c r="BB1061" t="str">
        <f t="shared" si="50"/>
        <v xml:space="preserve">N607SR  </v>
      </c>
      <c r="BC1061">
        <v>1</v>
      </c>
      <c r="BE1061">
        <v>0</v>
      </c>
      <c r="BF1061">
        <v>0</v>
      </c>
      <c r="BG1061">
        <v>0</v>
      </c>
      <c r="BH1061">
        <v>2600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"06:15:10.096"</f>
        <v>06:15:10.096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5</v>
      </c>
      <c r="CP1061" t="s">
        <v>119</v>
      </c>
      <c r="CQ1061">
        <v>517</v>
      </c>
      <c r="CR1061">
        <v>1</v>
      </c>
      <c r="CW1061">
        <v>2479532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"08/29/2020 06:15:07.409"</f>
        <v>08/29/2020 06:15:07.409</v>
      </c>
      <c r="C1062" t="str">
        <f t="shared" si="48"/>
        <v>FFDFD3C0</v>
      </c>
      <c r="D1062" t="s">
        <v>113</v>
      </c>
      <c r="E1062">
        <v>5</v>
      </c>
      <c r="H1062">
        <v>163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"06:15:10.578"</f>
        <v>06:15:10.578</v>
      </c>
      <c r="T1062" t="str">
        <f>"06:15:10.178"</f>
        <v>06:15:10.178</v>
      </c>
      <c r="U1062" t="str">
        <f t="shared" si="49"/>
        <v>A7E2E0</v>
      </c>
      <c r="V1062">
        <v>0</v>
      </c>
      <c r="W1062">
        <v>0</v>
      </c>
      <c r="X1062">
        <v>1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0</v>
      </c>
      <c r="AI1062" t="s">
        <v>829</v>
      </c>
      <c r="AJ1062">
        <v>39.064228999999997</v>
      </c>
      <c r="AK1062" t="s">
        <v>830</v>
      </c>
      <c r="AL1062">
        <v>-87.509022000000002</v>
      </c>
      <c r="AM1062">
        <v>100</v>
      </c>
      <c r="AN1062">
        <v>2800</v>
      </c>
      <c r="AO1062" t="s">
        <v>118</v>
      </c>
      <c r="AP1062">
        <v>-101</v>
      </c>
      <c r="AQ1062">
        <v>-133</v>
      </c>
      <c r="AR1062">
        <v>0</v>
      </c>
      <c r="AZ1062">
        <v>4552</v>
      </c>
      <c r="BA1062">
        <v>1</v>
      </c>
      <c r="BB1062" t="str">
        <f t="shared" si="50"/>
        <v xml:space="preserve">N607SR  </v>
      </c>
      <c r="BC1062">
        <v>1</v>
      </c>
      <c r="BE1062">
        <v>0</v>
      </c>
      <c r="BF1062">
        <v>0</v>
      </c>
      <c r="BG1062">
        <v>0</v>
      </c>
      <c r="BH1062">
        <v>2600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"06:15:10.579"</f>
        <v>06:15:10.579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457</v>
      </c>
      <c r="CR1062">
        <v>0</v>
      </c>
      <c r="CW1062">
        <v>15514784</v>
      </c>
      <c r="CY1062">
        <v>1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"08/29/2020 06:15:07.409"</f>
        <v>08/29/2020 06:15:07.409</v>
      </c>
      <c r="C1063" t="str">
        <f t="shared" si="48"/>
        <v>FFDFD3C0</v>
      </c>
      <c r="D1063" t="s">
        <v>128</v>
      </c>
      <c r="E1063">
        <v>5</v>
      </c>
      <c r="H1063">
        <v>241</v>
      </c>
      <c r="I1063" t="s">
        <v>129</v>
      </c>
      <c r="J1063" t="s">
        <v>130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"06:15:10.578"</f>
        <v>06:15:10.578</v>
      </c>
      <c r="T1063" t="str">
        <f>"06:15:10.178"</f>
        <v>06:15:10.178</v>
      </c>
      <c r="U1063" t="str">
        <f t="shared" si="49"/>
        <v>A7E2E0</v>
      </c>
      <c r="V1063">
        <v>0</v>
      </c>
      <c r="W1063">
        <v>0</v>
      </c>
      <c r="X1063">
        <v>1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0</v>
      </c>
      <c r="AI1063" t="s">
        <v>829</v>
      </c>
      <c r="AJ1063">
        <v>39.064228999999997</v>
      </c>
      <c r="AK1063" t="s">
        <v>830</v>
      </c>
      <c r="AL1063">
        <v>-87.509022000000002</v>
      </c>
      <c r="AM1063">
        <v>100</v>
      </c>
      <c r="AN1063">
        <v>2800</v>
      </c>
      <c r="AO1063" t="s">
        <v>118</v>
      </c>
      <c r="AP1063">
        <v>-101</v>
      </c>
      <c r="AQ1063">
        <v>-133</v>
      </c>
      <c r="AR1063">
        <v>0</v>
      </c>
      <c r="AZ1063">
        <v>4552</v>
      </c>
      <c r="BA1063">
        <v>1</v>
      </c>
      <c r="BB1063" t="str">
        <f t="shared" si="50"/>
        <v xml:space="preserve">N607SR  </v>
      </c>
      <c r="BC1063">
        <v>1</v>
      </c>
      <c r="BE1063">
        <v>0</v>
      </c>
      <c r="BF1063">
        <v>0</v>
      </c>
      <c r="BG1063">
        <v>0</v>
      </c>
      <c r="BH1063">
        <v>2600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"06:15:10.579"</f>
        <v>06:15:10.579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457</v>
      </c>
      <c r="CR1063">
        <v>0</v>
      </c>
      <c r="CW1063">
        <v>15514784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"08/29/2020 06:15:07.820"</f>
        <v>08/29/2020 06:15:07.820</v>
      </c>
      <c r="C1064" t="str">
        <f t="shared" si="48"/>
        <v>FFDFD3C0</v>
      </c>
      <c r="D1064" t="s">
        <v>121</v>
      </c>
      <c r="E1064">
        <v>11</v>
      </c>
      <c r="F1064">
        <v>1011</v>
      </c>
      <c r="G1064" t="s">
        <v>125</v>
      </c>
      <c r="J1064" t="s">
        <v>123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"06:15:11.008"</f>
        <v>06:15:11.008</v>
      </c>
      <c r="T1064" t="str">
        <f>"06:15:10.608"</f>
        <v>06:15:10.608</v>
      </c>
      <c r="U1064" t="str">
        <f t="shared" si="49"/>
        <v>A7E2E0</v>
      </c>
      <c r="V1064">
        <v>0</v>
      </c>
      <c r="W1064">
        <v>0</v>
      </c>
      <c r="X1064">
        <v>1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0</v>
      </c>
      <c r="AI1064" t="s">
        <v>831</v>
      </c>
      <c r="AJ1064">
        <v>39.063884999999999</v>
      </c>
      <c r="AK1064" t="s">
        <v>832</v>
      </c>
      <c r="AL1064">
        <v>-87.509343999999999</v>
      </c>
      <c r="AM1064">
        <v>100</v>
      </c>
      <c r="AN1064">
        <v>2800</v>
      </c>
      <c r="AO1064" t="s">
        <v>118</v>
      </c>
      <c r="AP1064">
        <v>-101</v>
      </c>
      <c r="AQ1064">
        <v>-133</v>
      </c>
      <c r="AR1064">
        <v>0</v>
      </c>
      <c r="AZ1064">
        <v>4552</v>
      </c>
      <c r="BA1064">
        <v>1</v>
      </c>
      <c r="BB1064" t="str">
        <f t="shared" si="50"/>
        <v xml:space="preserve">N607SR  </v>
      </c>
      <c r="BC1064">
        <v>1</v>
      </c>
      <c r="BE1064">
        <v>0</v>
      </c>
      <c r="BF1064">
        <v>0</v>
      </c>
      <c r="BG1064">
        <v>0</v>
      </c>
      <c r="BH1064">
        <v>2600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"06:15:11.015"</f>
        <v>06:15:11.015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457</v>
      </c>
      <c r="CR1064">
        <v>0</v>
      </c>
      <c r="CW1064">
        <v>15514797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"08/29/2020 06:15:07.820"</f>
        <v>08/29/2020 06:15:07.820</v>
      </c>
      <c r="C1065" t="str">
        <f t="shared" si="48"/>
        <v>FFDFD3C0</v>
      </c>
      <c r="D1065" t="s">
        <v>121</v>
      </c>
      <c r="E1065">
        <v>10</v>
      </c>
      <c r="F1065">
        <v>1010</v>
      </c>
      <c r="G1065" t="s">
        <v>114</v>
      </c>
      <c r="J1065" t="s">
        <v>123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"06:15:11.008"</f>
        <v>06:15:11.008</v>
      </c>
      <c r="U1065" t="str">
        <f t="shared" si="49"/>
        <v>A7E2E0</v>
      </c>
      <c r="V1065">
        <v>0</v>
      </c>
      <c r="W1065">
        <v>0</v>
      </c>
      <c r="X1065">
        <v>1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0</v>
      </c>
      <c r="AI1065" t="s">
        <v>831</v>
      </c>
      <c r="AJ1065">
        <v>39.063884999999999</v>
      </c>
      <c r="AK1065" t="s">
        <v>832</v>
      </c>
      <c r="AL1065">
        <v>-87.509343999999999</v>
      </c>
      <c r="AM1065">
        <v>100</v>
      </c>
      <c r="AN1065">
        <v>2800</v>
      </c>
      <c r="AO1065" t="s">
        <v>118</v>
      </c>
      <c r="AP1065">
        <v>-101</v>
      </c>
      <c r="AQ1065">
        <v>-133</v>
      </c>
      <c r="AR1065">
        <v>0</v>
      </c>
      <c r="AZ1065">
        <v>4552</v>
      </c>
      <c r="BA1065">
        <v>1</v>
      </c>
      <c r="BB1065" t="str">
        <f t="shared" si="50"/>
        <v xml:space="preserve">N607SR  </v>
      </c>
      <c r="BC1065">
        <v>1</v>
      </c>
      <c r="BE1065">
        <v>0</v>
      </c>
      <c r="BF1065">
        <v>0</v>
      </c>
      <c r="BG1065">
        <v>0</v>
      </c>
      <c r="BH1065">
        <v>2600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"06:15:11.015"</f>
        <v>06:15:11.015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5</v>
      </c>
      <c r="CP1065" t="s">
        <v>119</v>
      </c>
      <c r="CQ1065">
        <v>517</v>
      </c>
      <c r="CR1065">
        <v>1</v>
      </c>
      <c r="CW1065">
        <v>2479559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"08/29/2020 06:15:07.820"</f>
        <v>08/29/2020 06:15:07.820</v>
      </c>
      <c r="C1066" t="str">
        <f t="shared" si="48"/>
        <v>FFDFD3C0</v>
      </c>
      <c r="D1066" t="s">
        <v>121</v>
      </c>
      <c r="E1066">
        <v>13</v>
      </c>
      <c r="F1066">
        <v>1013</v>
      </c>
      <c r="G1066" t="s">
        <v>122</v>
      </c>
      <c r="J1066" t="s">
        <v>123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"06:15:11.008"</f>
        <v>06:15:11.008</v>
      </c>
      <c r="U1066" t="str">
        <f t="shared" si="49"/>
        <v>A7E2E0</v>
      </c>
      <c r="V1066">
        <v>0</v>
      </c>
      <c r="W1066">
        <v>0</v>
      </c>
      <c r="X1066">
        <v>1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0</v>
      </c>
      <c r="AI1066" t="s">
        <v>831</v>
      </c>
      <c r="AJ1066">
        <v>39.063884999999999</v>
      </c>
      <c r="AK1066" t="s">
        <v>832</v>
      </c>
      <c r="AL1066">
        <v>-87.509343999999999</v>
      </c>
      <c r="AM1066">
        <v>100</v>
      </c>
      <c r="AN1066">
        <v>2800</v>
      </c>
      <c r="AO1066" t="s">
        <v>118</v>
      </c>
      <c r="AP1066">
        <v>-101</v>
      </c>
      <c r="AQ1066">
        <v>-133</v>
      </c>
      <c r="AR1066">
        <v>0</v>
      </c>
      <c r="AZ1066">
        <v>4552</v>
      </c>
      <c r="BA1066">
        <v>1</v>
      </c>
      <c r="BB1066" t="str">
        <f t="shared" si="50"/>
        <v xml:space="preserve">N607SR  </v>
      </c>
      <c r="BC1066">
        <v>1</v>
      </c>
      <c r="BE1066">
        <v>0</v>
      </c>
      <c r="BF1066">
        <v>0</v>
      </c>
      <c r="BG1066">
        <v>0</v>
      </c>
      <c r="BH1066">
        <v>2600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"06:15:11.015"</f>
        <v>06:15:11.015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5</v>
      </c>
      <c r="CP1066" t="s">
        <v>119</v>
      </c>
      <c r="CQ1066">
        <v>517</v>
      </c>
      <c r="CR1066">
        <v>1</v>
      </c>
      <c r="CW1066">
        <v>2479559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"08/29/2020 06:15:08.371"</f>
        <v>08/29/2020 06:15:08.371</v>
      </c>
      <c r="C1067" t="str">
        <f t="shared" si="48"/>
        <v>FFDFD3C0</v>
      </c>
      <c r="D1067" t="s">
        <v>113</v>
      </c>
      <c r="E1067">
        <v>5</v>
      </c>
      <c r="H1067">
        <v>163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"06:15:11.578"</f>
        <v>06:15:11.578</v>
      </c>
      <c r="T1067" t="str">
        <f>"06:15:11.078"</f>
        <v>06:15:11.078</v>
      </c>
      <c r="U1067" t="str">
        <f t="shared" si="49"/>
        <v>A7E2E0</v>
      </c>
      <c r="V1067">
        <v>0</v>
      </c>
      <c r="W1067">
        <v>0</v>
      </c>
      <c r="X1067">
        <v>1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0</v>
      </c>
      <c r="AI1067" t="s">
        <v>833</v>
      </c>
      <c r="AJ1067">
        <v>39.063585000000003</v>
      </c>
      <c r="AK1067" t="s">
        <v>834</v>
      </c>
      <c r="AL1067">
        <v>-87.509623000000005</v>
      </c>
      <c r="AM1067">
        <v>100</v>
      </c>
      <c r="AN1067">
        <v>2800</v>
      </c>
      <c r="AO1067" t="s">
        <v>118</v>
      </c>
      <c r="AP1067">
        <v>-101</v>
      </c>
      <c r="AQ1067">
        <v>-133</v>
      </c>
      <c r="AR1067">
        <v>0</v>
      </c>
      <c r="AZ1067">
        <v>4552</v>
      </c>
      <c r="BA1067">
        <v>1</v>
      </c>
      <c r="BB1067" t="str">
        <f t="shared" si="50"/>
        <v xml:space="preserve">N607SR  </v>
      </c>
      <c r="BC1067">
        <v>1</v>
      </c>
      <c r="BE1067">
        <v>0</v>
      </c>
      <c r="BF1067">
        <v>0</v>
      </c>
      <c r="BG1067">
        <v>0</v>
      </c>
      <c r="BH1067">
        <v>2600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"06:15:11.582"</f>
        <v>06:15:11.582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457</v>
      </c>
      <c r="CR1067">
        <v>0</v>
      </c>
      <c r="CW1067">
        <v>15514809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"08/29/2020 06:15:08.371"</f>
        <v>08/29/2020 06:15:08.371</v>
      </c>
      <c r="C1068" t="str">
        <f t="shared" si="48"/>
        <v>FFDFD3C0</v>
      </c>
      <c r="D1068" t="s">
        <v>128</v>
      </c>
      <c r="E1068">
        <v>5</v>
      </c>
      <c r="H1068">
        <v>241</v>
      </c>
      <c r="I1068" t="s">
        <v>129</v>
      </c>
      <c r="J1068" t="s">
        <v>130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"06:15:11.578"</f>
        <v>06:15:11.578</v>
      </c>
      <c r="T1068" t="str">
        <f>"06:15:11.078"</f>
        <v>06:15:11.078</v>
      </c>
      <c r="U1068" t="str">
        <f t="shared" si="49"/>
        <v>A7E2E0</v>
      </c>
      <c r="V1068">
        <v>0</v>
      </c>
      <c r="W1068">
        <v>0</v>
      </c>
      <c r="X1068">
        <v>1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0</v>
      </c>
      <c r="AI1068" t="s">
        <v>833</v>
      </c>
      <c r="AJ1068">
        <v>39.063585000000003</v>
      </c>
      <c r="AK1068" t="s">
        <v>834</v>
      </c>
      <c r="AL1068">
        <v>-87.509623000000005</v>
      </c>
      <c r="AM1068">
        <v>100</v>
      </c>
      <c r="AN1068">
        <v>2800</v>
      </c>
      <c r="AO1068" t="s">
        <v>118</v>
      </c>
      <c r="AP1068">
        <v>-101</v>
      </c>
      <c r="AQ1068">
        <v>-133</v>
      </c>
      <c r="AR1068">
        <v>0</v>
      </c>
      <c r="AZ1068">
        <v>4552</v>
      </c>
      <c r="BA1068">
        <v>1</v>
      </c>
      <c r="BB1068" t="str">
        <f t="shared" si="50"/>
        <v xml:space="preserve">N607SR  </v>
      </c>
      <c r="BC1068">
        <v>1</v>
      </c>
      <c r="BE1068">
        <v>0</v>
      </c>
      <c r="BF1068">
        <v>0</v>
      </c>
      <c r="BG1068">
        <v>0</v>
      </c>
      <c r="BH1068">
        <v>2600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"06:15:11.582"</f>
        <v>06:15:11.582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457</v>
      </c>
      <c r="CR1068">
        <v>0</v>
      </c>
      <c r="CW1068">
        <v>15514809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"08/29/2020 06:15:08.875"</f>
        <v>08/29/2020 06:15:08.875</v>
      </c>
      <c r="C1069" t="str">
        <f t="shared" si="48"/>
        <v>FFDFD3C0</v>
      </c>
      <c r="D1069" t="s">
        <v>121</v>
      </c>
      <c r="E1069">
        <v>13</v>
      </c>
      <c r="F1069">
        <v>1013</v>
      </c>
      <c r="G1069" t="s">
        <v>122</v>
      </c>
      <c r="J1069" t="s">
        <v>123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"06:15:12.078"</f>
        <v>06:15:12.078</v>
      </c>
      <c r="T1069" t="str">
        <f>"06:15:11.678"</f>
        <v>06:15:11.678</v>
      </c>
      <c r="U1069" t="str">
        <f t="shared" si="49"/>
        <v>A7E2E0</v>
      </c>
      <c r="V1069">
        <v>0</v>
      </c>
      <c r="W1069">
        <v>0</v>
      </c>
      <c r="X1069">
        <v>1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0</v>
      </c>
      <c r="AI1069" t="s">
        <v>835</v>
      </c>
      <c r="AJ1069">
        <v>39.063284000000003</v>
      </c>
      <c r="AK1069" t="s">
        <v>836</v>
      </c>
      <c r="AL1069">
        <v>-87.509879999999995</v>
      </c>
      <c r="AM1069">
        <v>100</v>
      </c>
      <c r="AN1069">
        <v>2800</v>
      </c>
      <c r="AO1069" t="s">
        <v>118</v>
      </c>
      <c r="AP1069">
        <v>-101</v>
      </c>
      <c r="AQ1069">
        <v>-133</v>
      </c>
      <c r="AR1069">
        <v>0</v>
      </c>
      <c r="AZ1069">
        <v>4552</v>
      </c>
      <c r="BA1069">
        <v>1</v>
      </c>
      <c r="BB1069" t="str">
        <f t="shared" si="50"/>
        <v xml:space="preserve">N607SR  </v>
      </c>
      <c r="BC1069">
        <v>1</v>
      </c>
      <c r="BE1069">
        <v>0</v>
      </c>
      <c r="BF1069">
        <v>0</v>
      </c>
      <c r="BG1069">
        <v>0</v>
      </c>
      <c r="BH1069">
        <v>2600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"06:15:12.082"</f>
        <v>06:15:12.082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177</v>
      </c>
      <c r="CR1069">
        <v>2</v>
      </c>
      <c r="CW1069">
        <v>1633676</v>
      </c>
      <c r="CY1069">
        <v>1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"08/29/2020 06:15:08.875"</f>
        <v>08/29/2020 06:15:08.875</v>
      </c>
      <c r="C1070" t="str">
        <f t="shared" si="48"/>
        <v>FFDFD3C0</v>
      </c>
      <c r="D1070" t="s">
        <v>121</v>
      </c>
      <c r="E1070">
        <v>10</v>
      </c>
      <c r="F1070">
        <v>1010</v>
      </c>
      <c r="G1070" t="s">
        <v>114</v>
      </c>
      <c r="J1070" t="s">
        <v>123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"06:15:12.078"</f>
        <v>06:15:12.078</v>
      </c>
      <c r="T1070" t="str">
        <f>"06:15:11.678"</f>
        <v>06:15:11.678</v>
      </c>
      <c r="U1070" t="str">
        <f t="shared" si="49"/>
        <v>A7E2E0</v>
      </c>
      <c r="V1070">
        <v>0</v>
      </c>
      <c r="W1070">
        <v>0</v>
      </c>
      <c r="X1070">
        <v>1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0</v>
      </c>
      <c r="AI1070" t="s">
        <v>835</v>
      </c>
      <c r="AJ1070">
        <v>39.063284000000003</v>
      </c>
      <c r="AK1070" t="s">
        <v>836</v>
      </c>
      <c r="AL1070">
        <v>-87.509879999999995</v>
      </c>
      <c r="AM1070">
        <v>100</v>
      </c>
      <c r="AN1070">
        <v>2800</v>
      </c>
      <c r="AO1070" t="s">
        <v>118</v>
      </c>
      <c r="AP1070">
        <v>-101</v>
      </c>
      <c r="AQ1070">
        <v>-133</v>
      </c>
      <c r="AR1070">
        <v>0</v>
      </c>
      <c r="AZ1070">
        <v>4552</v>
      </c>
      <c r="BA1070">
        <v>1</v>
      </c>
      <c r="BB1070" t="str">
        <f t="shared" si="50"/>
        <v xml:space="preserve">N607SR  </v>
      </c>
      <c r="BC1070">
        <v>1</v>
      </c>
      <c r="BE1070">
        <v>0</v>
      </c>
      <c r="BF1070">
        <v>0</v>
      </c>
      <c r="BG1070">
        <v>0</v>
      </c>
      <c r="BH1070">
        <v>2600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"06:15:12.082"</f>
        <v>06:15:12.082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6</v>
      </c>
      <c r="CP1070" t="s">
        <v>119</v>
      </c>
      <c r="CQ1070">
        <v>177</v>
      </c>
      <c r="CR1070">
        <v>2</v>
      </c>
      <c r="CW1070">
        <v>1633676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"08/29/2020 06:15:08.875"</f>
        <v>08/29/2020 06:15:08.875</v>
      </c>
      <c r="C1071" t="str">
        <f t="shared" si="48"/>
        <v>FFDFD3C0</v>
      </c>
      <c r="D1071" t="s">
        <v>121</v>
      </c>
      <c r="E1071">
        <v>11</v>
      </c>
      <c r="F1071">
        <v>1011</v>
      </c>
      <c r="G1071" t="s">
        <v>125</v>
      </c>
      <c r="J1071" t="s">
        <v>123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"06:15:12.078"</f>
        <v>06:15:12.078</v>
      </c>
      <c r="T1071" t="str">
        <f>"06:15:11.678"</f>
        <v>06:15:11.678</v>
      </c>
      <c r="U1071" t="str">
        <f t="shared" si="49"/>
        <v>A7E2E0</v>
      </c>
      <c r="V1071">
        <v>0</v>
      </c>
      <c r="W1071">
        <v>0</v>
      </c>
      <c r="X1071">
        <v>1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0</v>
      </c>
      <c r="AI1071" t="s">
        <v>835</v>
      </c>
      <c r="AJ1071">
        <v>39.063284000000003</v>
      </c>
      <c r="AK1071" t="s">
        <v>836</v>
      </c>
      <c r="AL1071">
        <v>-87.509879999999995</v>
      </c>
      <c r="AM1071">
        <v>100</v>
      </c>
      <c r="AN1071">
        <v>2800</v>
      </c>
      <c r="AO1071" t="s">
        <v>118</v>
      </c>
      <c r="AP1071">
        <v>-101</v>
      </c>
      <c r="AQ1071">
        <v>-133</v>
      </c>
      <c r="AR1071">
        <v>0</v>
      </c>
      <c r="AZ1071">
        <v>4552</v>
      </c>
      <c r="BA1071">
        <v>1</v>
      </c>
      <c r="BB1071" t="str">
        <f t="shared" si="50"/>
        <v xml:space="preserve">N607SR  </v>
      </c>
      <c r="BC1071">
        <v>1</v>
      </c>
      <c r="BE1071">
        <v>0</v>
      </c>
      <c r="BF1071">
        <v>0</v>
      </c>
      <c r="BG1071">
        <v>0</v>
      </c>
      <c r="BH1071">
        <v>2600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"06:15:12.082"</f>
        <v>06:15:12.082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6</v>
      </c>
      <c r="CP1071" t="s">
        <v>119</v>
      </c>
      <c r="CQ1071">
        <v>177</v>
      </c>
      <c r="CR1071">
        <v>2</v>
      </c>
      <c r="CW1071">
        <v>1633676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"08/29/2020 06:15:09.284"</f>
        <v>08/29/2020 06:15:09.284</v>
      </c>
      <c r="C1072" t="str">
        <f t="shared" si="48"/>
        <v>FFDFD3C0</v>
      </c>
      <c r="D1072" t="s">
        <v>113</v>
      </c>
      <c r="E1072">
        <v>5</v>
      </c>
      <c r="H1072">
        <v>163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"06:15:12.477"</f>
        <v>06:15:12.477</v>
      </c>
      <c r="T1072" t="str">
        <f>"06:15:12.177"</f>
        <v>06:15:12.177</v>
      </c>
      <c r="U1072" t="str">
        <f t="shared" si="49"/>
        <v>A7E2E0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0</v>
      </c>
      <c r="AI1072" t="s">
        <v>837</v>
      </c>
      <c r="AJ1072">
        <v>39.063048000000002</v>
      </c>
      <c r="AK1072" t="s">
        <v>838</v>
      </c>
      <c r="AL1072">
        <v>-87.510137999999998</v>
      </c>
      <c r="AM1072">
        <v>100</v>
      </c>
      <c r="AN1072">
        <v>2800</v>
      </c>
      <c r="AO1072" t="s">
        <v>118</v>
      </c>
      <c r="AP1072">
        <v>-101</v>
      </c>
      <c r="AQ1072">
        <v>-133</v>
      </c>
      <c r="AR1072">
        <v>0</v>
      </c>
      <c r="AZ1072">
        <v>4552</v>
      </c>
      <c r="BA1072">
        <v>1</v>
      </c>
      <c r="BB1072" t="str">
        <f t="shared" si="50"/>
        <v xml:space="preserve">N607SR  </v>
      </c>
      <c r="BC1072">
        <v>1</v>
      </c>
      <c r="BE1072">
        <v>0</v>
      </c>
      <c r="BF1072">
        <v>0</v>
      </c>
      <c r="BG1072">
        <v>0</v>
      </c>
      <c r="BH1072">
        <v>2600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"06:15:12.483"</f>
        <v>06:15:12.483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6</v>
      </c>
      <c r="CP1072" t="s">
        <v>119</v>
      </c>
      <c r="CQ1072">
        <v>457</v>
      </c>
      <c r="CR1072">
        <v>0</v>
      </c>
      <c r="CW1072">
        <v>15514837</v>
      </c>
      <c r="CY1072">
        <v>1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"08/29/2020 06:15:09.284"</f>
        <v>08/29/2020 06:15:09.284</v>
      </c>
      <c r="C1073" t="str">
        <f t="shared" si="48"/>
        <v>FFDFD3C0</v>
      </c>
      <c r="D1073" t="s">
        <v>128</v>
      </c>
      <c r="E1073">
        <v>5</v>
      </c>
      <c r="H1073">
        <v>241</v>
      </c>
      <c r="I1073" t="s">
        <v>129</v>
      </c>
      <c r="J1073" t="s">
        <v>130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"06:15:12.477"</f>
        <v>06:15:12.477</v>
      </c>
      <c r="T1073" t="str">
        <f>"06:15:12.177"</f>
        <v>06:15:12.177</v>
      </c>
      <c r="U1073" t="str">
        <f t="shared" si="49"/>
        <v>A7E2E0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0</v>
      </c>
      <c r="AI1073" t="s">
        <v>837</v>
      </c>
      <c r="AJ1073">
        <v>39.063048000000002</v>
      </c>
      <c r="AK1073" t="s">
        <v>838</v>
      </c>
      <c r="AL1073">
        <v>-87.510137999999998</v>
      </c>
      <c r="AM1073">
        <v>100</v>
      </c>
      <c r="AN1073">
        <v>2800</v>
      </c>
      <c r="AO1073" t="s">
        <v>118</v>
      </c>
      <c r="AP1073">
        <v>-101</v>
      </c>
      <c r="AQ1073">
        <v>-133</v>
      </c>
      <c r="AR1073">
        <v>0</v>
      </c>
      <c r="AZ1073">
        <v>4552</v>
      </c>
      <c r="BA1073">
        <v>1</v>
      </c>
      <c r="BB1073" t="str">
        <f t="shared" si="50"/>
        <v xml:space="preserve">N607SR  </v>
      </c>
      <c r="BC1073">
        <v>1</v>
      </c>
      <c r="BE1073">
        <v>0</v>
      </c>
      <c r="BF1073">
        <v>0</v>
      </c>
      <c r="BG1073">
        <v>0</v>
      </c>
      <c r="BH1073">
        <v>2600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"06:15:12.483"</f>
        <v>06:15:12.483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6</v>
      </c>
      <c r="CP1073" t="s">
        <v>119</v>
      </c>
      <c r="CQ1073">
        <v>457</v>
      </c>
      <c r="CR1073">
        <v>0</v>
      </c>
      <c r="CW1073">
        <v>15514837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"08/29/2020 06:15:09.736"</f>
        <v>08/29/2020 06:15:09.736</v>
      </c>
      <c r="C1074" t="str">
        <f t="shared" si="48"/>
        <v>FFDFD3C0</v>
      </c>
      <c r="D1074" t="s">
        <v>121</v>
      </c>
      <c r="E1074">
        <v>13</v>
      </c>
      <c r="F1074">
        <v>1013</v>
      </c>
      <c r="G1074" t="s">
        <v>122</v>
      </c>
      <c r="J1074" t="s">
        <v>123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"06:15:12.914"</f>
        <v>06:15:12.914</v>
      </c>
      <c r="T1074" t="str">
        <f>"06:15:12.514"</f>
        <v>06:15:12.514</v>
      </c>
      <c r="U1074" t="str">
        <f t="shared" si="49"/>
        <v>A7E2E0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0</v>
      </c>
      <c r="AI1074" t="s">
        <v>839</v>
      </c>
      <c r="AJ1074">
        <v>39.062705000000001</v>
      </c>
      <c r="AK1074" t="s">
        <v>840</v>
      </c>
      <c r="AL1074">
        <v>-87.510458999999997</v>
      </c>
      <c r="AM1074">
        <v>100</v>
      </c>
      <c r="AN1074">
        <v>2800</v>
      </c>
      <c r="AO1074" t="s">
        <v>118</v>
      </c>
      <c r="AP1074">
        <v>-101</v>
      </c>
      <c r="AQ1074">
        <v>-133</v>
      </c>
      <c r="AR1074">
        <v>-64</v>
      </c>
      <c r="AZ1074">
        <v>4552</v>
      </c>
      <c r="BA1074">
        <v>1</v>
      </c>
      <c r="BB1074" t="str">
        <f t="shared" si="50"/>
        <v xml:space="preserve">N607SR  </v>
      </c>
      <c r="BC1074">
        <v>1</v>
      </c>
      <c r="BE1074">
        <v>0</v>
      </c>
      <c r="BF1074">
        <v>0</v>
      </c>
      <c r="BG1074">
        <v>0</v>
      </c>
      <c r="BH1074">
        <v>2600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"06:15:12.919"</f>
        <v>06:15:12.919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457</v>
      </c>
      <c r="CR1074">
        <v>0</v>
      </c>
      <c r="CW1074">
        <v>15514853</v>
      </c>
      <c r="CY1074">
        <v>1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"08/29/2020 06:15:09.736"</f>
        <v>08/29/2020 06:15:09.736</v>
      </c>
      <c r="C1075" t="str">
        <f t="shared" si="48"/>
        <v>FFDFD3C0</v>
      </c>
      <c r="D1075" t="s">
        <v>121</v>
      </c>
      <c r="E1075">
        <v>10</v>
      </c>
      <c r="F1075">
        <v>1010</v>
      </c>
      <c r="G1075" t="s">
        <v>114</v>
      </c>
      <c r="J1075" t="s">
        <v>123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"06:15:12.914"</f>
        <v>06:15:12.914</v>
      </c>
      <c r="T1075" t="str">
        <f>"06:15:12.514"</f>
        <v>06:15:12.514</v>
      </c>
      <c r="U1075" t="str">
        <f t="shared" si="49"/>
        <v>A7E2E0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0</v>
      </c>
      <c r="AI1075" t="s">
        <v>839</v>
      </c>
      <c r="AJ1075">
        <v>39.062705000000001</v>
      </c>
      <c r="AK1075" t="s">
        <v>840</v>
      </c>
      <c r="AL1075">
        <v>-87.510458999999997</v>
      </c>
      <c r="AM1075">
        <v>100</v>
      </c>
      <c r="AN1075">
        <v>2800</v>
      </c>
      <c r="AO1075" t="s">
        <v>118</v>
      </c>
      <c r="AP1075">
        <v>-101</v>
      </c>
      <c r="AQ1075">
        <v>-133</v>
      </c>
      <c r="AR1075">
        <v>-64</v>
      </c>
      <c r="AZ1075">
        <v>4552</v>
      </c>
      <c r="BA1075">
        <v>1</v>
      </c>
      <c r="BB1075" t="str">
        <f t="shared" si="50"/>
        <v xml:space="preserve">N607SR  </v>
      </c>
      <c r="BC1075">
        <v>1</v>
      </c>
      <c r="BE1075">
        <v>0</v>
      </c>
      <c r="BF1075">
        <v>0</v>
      </c>
      <c r="BG1075">
        <v>0</v>
      </c>
      <c r="BH1075">
        <v>2600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"06:15:12.919"</f>
        <v>06:15:12.919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457</v>
      </c>
      <c r="CR1075">
        <v>0</v>
      </c>
      <c r="CW1075">
        <v>15514853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"08/29/2020 06:15:09.736"</f>
        <v>08/29/2020 06:15:09.736</v>
      </c>
      <c r="C1076" t="str">
        <f t="shared" si="48"/>
        <v>FFDFD3C0</v>
      </c>
      <c r="D1076" t="s">
        <v>121</v>
      </c>
      <c r="E1076">
        <v>11</v>
      </c>
      <c r="F1076">
        <v>1011</v>
      </c>
      <c r="G1076" t="s">
        <v>125</v>
      </c>
      <c r="J1076" t="s">
        <v>123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"06:15:12.914"</f>
        <v>06:15:12.914</v>
      </c>
      <c r="T1076" t="str">
        <f>"06:15:12.514"</f>
        <v>06:15:12.514</v>
      </c>
      <c r="U1076" t="str">
        <f t="shared" si="49"/>
        <v>A7E2E0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0</v>
      </c>
      <c r="AI1076" t="s">
        <v>839</v>
      </c>
      <c r="AJ1076">
        <v>39.062705000000001</v>
      </c>
      <c r="AK1076" t="s">
        <v>840</v>
      </c>
      <c r="AL1076">
        <v>-87.510458999999997</v>
      </c>
      <c r="AM1076">
        <v>100</v>
      </c>
      <c r="AN1076">
        <v>2800</v>
      </c>
      <c r="AO1076" t="s">
        <v>118</v>
      </c>
      <c r="AP1076">
        <v>-101</v>
      </c>
      <c r="AQ1076">
        <v>-133</v>
      </c>
      <c r="AR1076">
        <v>-64</v>
      </c>
      <c r="AZ1076">
        <v>4552</v>
      </c>
      <c r="BA1076">
        <v>1</v>
      </c>
      <c r="BB1076" t="str">
        <f t="shared" si="50"/>
        <v xml:space="preserve">N607SR  </v>
      </c>
      <c r="BC1076">
        <v>1</v>
      </c>
      <c r="BE1076">
        <v>0</v>
      </c>
      <c r="BF1076">
        <v>0</v>
      </c>
      <c r="BG1076">
        <v>0</v>
      </c>
      <c r="BH1076">
        <v>2600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"06:15:12.919"</f>
        <v>06:15:12.919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457</v>
      </c>
      <c r="CR1076">
        <v>0</v>
      </c>
      <c r="CW1076">
        <v>15514853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"08/29/2020 06:15:10.143"</f>
        <v>08/29/2020 06:15:10.143</v>
      </c>
      <c r="C1077" t="str">
        <f t="shared" si="48"/>
        <v>FFDFD3C0</v>
      </c>
      <c r="D1077" t="s">
        <v>113</v>
      </c>
      <c r="E1077">
        <v>5</v>
      </c>
      <c r="H1077">
        <v>163</v>
      </c>
      <c r="I1077" t="s">
        <v>114</v>
      </c>
      <c r="J1077" t="s">
        <v>115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"06:15:13.344"</f>
        <v>06:15:13.344</v>
      </c>
      <c r="T1077" t="str">
        <f>"06:15:12.944"</f>
        <v>06:15:12.944</v>
      </c>
      <c r="U1077" t="str">
        <f t="shared" si="49"/>
        <v>A7E2E0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0</v>
      </c>
      <c r="AI1077" t="s">
        <v>841</v>
      </c>
      <c r="AJ1077">
        <v>39.062489999999997</v>
      </c>
      <c r="AK1077" t="s">
        <v>842</v>
      </c>
      <c r="AL1077">
        <v>-87.510694999999998</v>
      </c>
      <c r="AM1077">
        <v>100</v>
      </c>
      <c r="AN1077">
        <v>2800</v>
      </c>
      <c r="AO1077" t="s">
        <v>118</v>
      </c>
      <c r="AP1077">
        <v>-101</v>
      </c>
      <c r="AQ1077">
        <v>-133</v>
      </c>
      <c r="AR1077">
        <v>-64</v>
      </c>
      <c r="AZ1077">
        <v>4552</v>
      </c>
      <c r="BA1077">
        <v>1</v>
      </c>
      <c r="BB1077" t="str">
        <f t="shared" si="50"/>
        <v xml:space="preserve">N607SR  </v>
      </c>
      <c r="BC1077">
        <v>1</v>
      </c>
      <c r="BE1077">
        <v>0</v>
      </c>
      <c r="BF1077">
        <v>0</v>
      </c>
      <c r="BG1077">
        <v>0</v>
      </c>
      <c r="BH1077">
        <v>2600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"06:15:13.345"</f>
        <v>06:15:13.345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457</v>
      </c>
      <c r="CR1077">
        <v>0</v>
      </c>
      <c r="CW1077">
        <v>15514864</v>
      </c>
      <c r="CY1077">
        <v>1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"08/29/2020 06:15:10.143"</f>
        <v>08/29/2020 06:15:10.143</v>
      </c>
      <c r="C1078" t="str">
        <f t="shared" si="48"/>
        <v>FFDFD3C0</v>
      </c>
      <c r="D1078" t="s">
        <v>128</v>
      </c>
      <c r="E1078">
        <v>5</v>
      </c>
      <c r="H1078">
        <v>241</v>
      </c>
      <c r="I1078" t="s">
        <v>129</v>
      </c>
      <c r="J1078" t="s">
        <v>130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"06:15:13.344"</f>
        <v>06:15:13.344</v>
      </c>
      <c r="T1078" t="str">
        <f>"06:15:12.944"</f>
        <v>06:15:12.944</v>
      </c>
      <c r="U1078" t="str">
        <f t="shared" si="49"/>
        <v>A7E2E0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0</v>
      </c>
      <c r="AI1078" t="s">
        <v>841</v>
      </c>
      <c r="AJ1078">
        <v>39.062489999999997</v>
      </c>
      <c r="AK1078" t="s">
        <v>842</v>
      </c>
      <c r="AL1078">
        <v>-87.510694999999998</v>
      </c>
      <c r="AM1078">
        <v>100</v>
      </c>
      <c r="AN1078">
        <v>2800</v>
      </c>
      <c r="AO1078" t="s">
        <v>118</v>
      </c>
      <c r="AP1078">
        <v>-101</v>
      </c>
      <c r="AQ1078">
        <v>-133</v>
      </c>
      <c r="AR1078">
        <v>-64</v>
      </c>
      <c r="AZ1078">
        <v>4552</v>
      </c>
      <c r="BA1078">
        <v>1</v>
      </c>
      <c r="BB1078" t="str">
        <f t="shared" si="50"/>
        <v xml:space="preserve">N607SR  </v>
      </c>
      <c r="BC1078">
        <v>1</v>
      </c>
      <c r="BE1078">
        <v>0</v>
      </c>
      <c r="BF1078">
        <v>0</v>
      </c>
      <c r="BG1078">
        <v>0</v>
      </c>
      <c r="BH1078">
        <v>2600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"06:15:13.345"</f>
        <v>06:15:13.345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457</v>
      </c>
      <c r="CR1078">
        <v>0</v>
      </c>
      <c r="CW1078">
        <v>15514864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"08/29/2020 06:15:10.546"</f>
        <v>08/29/2020 06:15:10.546</v>
      </c>
      <c r="C1079" t="str">
        <f t="shared" si="48"/>
        <v>FFDFD3C0</v>
      </c>
      <c r="D1079" t="s">
        <v>121</v>
      </c>
      <c r="E1079">
        <v>10</v>
      </c>
      <c r="F1079">
        <v>1010</v>
      </c>
      <c r="G1079" t="s">
        <v>114</v>
      </c>
      <c r="J1079" t="s">
        <v>123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"06:15:13.758"</f>
        <v>06:15:13.758</v>
      </c>
      <c r="T1079" t="str">
        <f>"06:15:13.358"</f>
        <v>06:15:13.358</v>
      </c>
      <c r="U1079" t="str">
        <f t="shared" si="49"/>
        <v>A7E2E0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0</v>
      </c>
      <c r="AI1079" t="s">
        <v>843</v>
      </c>
      <c r="AJ1079">
        <v>39.062212000000002</v>
      </c>
      <c r="AK1079" t="s">
        <v>844</v>
      </c>
      <c r="AL1079">
        <v>-87.510930999999999</v>
      </c>
      <c r="AM1079">
        <v>100</v>
      </c>
      <c r="AN1079">
        <v>2800</v>
      </c>
      <c r="AO1079" t="s">
        <v>118</v>
      </c>
      <c r="AP1079">
        <v>-101</v>
      </c>
      <c r="AQ1079">
        <v>-133</v>
      </c>
      <c r="AR1079">
        <v>-64</v>
      </c>
      <c r="AZ1079">
        <v>4552</v>
      </c>
      <c r="BA1079">
        <v>1</v>
      </c>
      <c r="BB1079" t="str">
        <f t="shared" si="50"/>
        <v xml:space="preserve">N607SR  </v>
      </c>
      <c r="BC1079">
        <v>1</v>
      </c>
      <c r="BE1079">
        <v>0</v>
      </c>
      <c r="BF1079">
        <v>0</v>
      </c>
      <c r="BG1079">
        <v>0</v>
      </c>
      <c r="BH1079">
        <v>2600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"06:15:13.761"</f>
        <v>06:15:13.761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457</v>
      </c>
      <c r="CR1079">
        <v>0</v>
      </c>
      <c r="CW1079">
        <v>15514875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"08/29/2020 06:15:10.546"</f>
        <v>08/29/2020 06:15:10.546</v>
      </c>
      <c r="C1080" t="str">
        <f t="shared" si="48"/>
        <v>FFDFD3C0</v>
      </c>
      <c r="D1080" t="s">
        <v>121</v>
      </c>
      <c r="E1080">
        <v>13</v>
      </c>
      <c r="F1080">
        <v>1013</v>
      </c>
      <c r="G1080" t="s">
        <v>122</v>
      </c>
      <c r="J1080" t="s">
        <v>123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"06:15:13.758"</f>
        <v>06:15:13.758</v>
      </c>
      <c r="T1080" t="str">
        <f>"06:15:13.358"</f>
        <v>06:15:13.358</v>
      </c>
      <c r="U1080" t="str">
        <f t="shared" si="49"/>
        <v>A7E2E0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0</v>
      </c>
      <c r="AI1080" t="s">
        <v>843</v>
      </c>
      <c r="AJ1080">
        <v>39.062212000000002</v>
      </c>
      <c r="AK1080" t="s">
        <v>844</v>
      </c>
      <c r="AL1080">
        <v>-87.510930999999999</v>
      </c>
      <c r="AM1080">
        <v>100</v>
      </c>
      <c r="AN1080">
        <v>2800</v>
      </c>
      <c r="AO1080" t="s">
        <v>118</v>
      </c>
      <c r="AP1080">
        <v>-101</v>
      </c>
      <c r="AQ1080">
        <v>-133</v>
      </c>
      <c r="AR1080">
        <v>-64</v>
      </c>
      <c r="AZ1080">
        <v>4552</v>
      </c>
      <c r="BA1080">
        <v>1</v>
      </c>
      <c r="BB1080" t="str">
        <f t="shared" si="50"/>
        <v xml:space="preserve">N607SR  </v>
      </c>
      <c r="BC1080">
        <v>1</v>
      </c>
      <c r="BE1080">
        <v>0</v>
      </c>
      <c r="BF1080">
        <v>0</v>
      </c>
      <c r="BG1080">
        <v>0</v>
      </c>
      <c r="BH1080">
        <v>2600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"06:15:13.761"</f>
        <v>06:15:13.761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457</v>
      </c>
      <c r="CR1080">
        <v>0</v>
      </c>
      <c r="CW1080">
        <v>15514875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"08/29/2020 06:15:10.546"</f>
        <v>08/29/2020 06:15:10.546</v>
      </c>
      <c r="C1081" t="str">
        <f t="shared" si="48"/>
        <v>FFDFD3C0</v>
      </c>
      <c r="D1081" t="s">
        <v>121</v>
      </c>
      <c r="E1081">
        <v>11</v>
      </c>
      <c r="F1081">
        <v>1011</v>
      </c>
      <c r="G1081" t="s">
        <v>125</v>
      </c>
      <c r="J1081" t="s">
        <v>123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"06:15:13.758"</f>
        <v>06:15:13.758</v>
      </c>
      <c r="T1081" t="str">
        <f>"06:15:13.358"</f>
        <v>06:15:13.358</v>
      </c>
      <c r="U1081" t="str">
        <f t="shared" si="49"/>
        <v>A7E2E0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0</v>
      </c>
      <c r="AI1081" t="s">
        <v>843</v>
      </c>
      <c r="AJ1081">
        <v>39.062212000000002</v>
      </c>
      <c r="AK1081" t="s">
        <v>844</v>
      </c>
      <c r="AL1081">
        <v>-87.510930999999999</v>
      </c>
      <c r="AM1081">
        <v>100</v>
      </c>
      <c r="AN1081">
        <v>2800</v>
      </c>
      <c r="AO1081" t="s">
        <v>118</v>
      </c>
      <c r="AP1081">
        <v>-101</v>
      </c>
      <c r="AQ1081">
        <v>-133</v>
      </c>
      <c r="AR1081">
        <v>-64</v>
      </c>
      <c r="AZ1081">
        <v>4552</v>
      </c>
      <c r="BA1081">
        <v>1</v>
      </c>
      <c r="BB1081" t="str">
        <f t="shared" si="50"/>
        <v xml:space="preserve">N607SR  </v>
      </c>
      <c r="BC1081">
        <v>1</v>
      </c>
      <c r="BE1081">
        <v>0</v>
      </c>
      <c r="BF1081">
        <v>0</v>
      </c>
      <c r="BG1081">
        <v>0</v>
      </c>
      <c r="BH1081">
        <v>2600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"06:15:13.761"</f>
        <v>06:15:13.761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457</v>
      </c>
      <c r="CR1081">
        <v>0</v>
      </c>
      <c r="CW1081">
        <v>15514875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"08/29/2020 06:15:11.108"</f>
        <v>08/29/2020 06:15:11.108</v>
      </c>
      <c r="C1082" t="str">
        <f t="shared" si="48"/>
        <v>FFDFD3C0</v>
      </c>
      <c r="D1082" t="s">
        <v>128</v>
      </c>
      <c r="E1082">
        <v>5</v>
      </c>
      <c r="H1082">
        <v>241</v>
      </c>
      <c r="I1082" t="s">
        <v>129</v>
      </c>
      <c r="J1082" t="s">
        <v>130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"06:15:14.352"</f>
        <v>06:15:14.352</v>
      </c>
      <c r="U1082" t="str">
        <f t="shared" si="49"/>
        <v>A7E2E0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0</v>
      </c>
      <c r="AI1082" t="s">
        <v>845</v>
      </c>
      <c r="AJ1082">
        <v>39.061847</v>
      </c>
      <c r="AK1082" t="s">
        <v>846</v>
      </c>
      <c r="AL1082">
        <v>-87.511296000000002</v>
      </c>
      <c r="AM1082">
        <v>100</v>
      </c>
      <c r="AN1082">
        <v>2800</v>
      </c>
      <c r="AO1082" t="s">
        <v>118</v>
      </c>
      <c r="AP1082">
        <v>-101</v>
      </c>
      <c r="AQ1082">
        <v>-133</v>
      </c>
      <c r="AR1082">
        <v>-64</v>
      </c>
      <c r="AZ1082">
        <v>4552</v>
      </c>
      <c r="BA1082">
        <v>1</v>
      </c>
      <c r="BB1082" t="str">
        <f t="shared" si="50"/>
        <v xml:space="preserve">N607SR  </v>
      </c>
      <c r="BC1082">
        <v>1</v>
      </c>
      <c r="BE1082">
        <v>0</v>
      </c>
      <c r="BF1082">
        <v>0</v>
      </c>
      <c r="BG1082">
        <v>0</v>
      </c>
      <c r="BH1082">
        <v>2600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"06:15:14.356"</f>
        <v>06:15:14.356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5</v>
      </c>
      <c r="CP1082" t="s">
        <v>119</v>
      </c>
      <c r="CQ1082">
        <v>517</v>
      </c>
      <c r="CR1082">
        <v>1</v>
      </c>
      <c r="CW1082">
        <v>2479650</v>
      </c>
      <c r="CY1082">
        <v>1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"08/29/2020 06:15:11.108"</f>
        <v>08/29/2020 06:15:11.108</v>
      </c>
      <c r="C1083" t="str">
        <f t="shared" si="48"/>
        <v>FFDFD3C0</v>
      </c>
      <c r="D1083" t="s">
        <v>113</v>
      </c>
      <c r="E1083">
        <v>5</v>
      </c>
      <c r="H1083">
        <v>163</v>
      </c>
      <c r="I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"06:15:14.352"</f>
        <v>06:15:14.352</v>
      </c>
      <c r="U1083" t="str">
        <f t="shared" si="49"/>
        <v>A7E2E0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0</v>
      </c>
      <c r="AI1083" t="s">
        <v>845</v>
      </c>
      <c r="AJ1083">
        <v>39.061847</v>
      </c>
      <c r="AK1083" t="s">
        <v>846</v>
      </c>
      <c r="AL1083">
        <v>-87.511296000000002</v>
      </c>
      <c r="AM1083">
        <v>100</v>
      </c>
      <c r="AN1083">
        <v>2800</v>
      </c>
      <c r="AO1083" t="s">
        <v>118</v>
      </c>
      <c r="AP1083">
        <v>-101</v>
      </c>
      <c r="AQ1083">
        <v>-133</v>
      </c>
      <c r="AR1083">
        <v>-64</v>
      </c>
      <c r="AZ1083">
        <v>4552</v>
      </c>
      <c r="BA1083">
        <v>1</v>
      </c>
      <c r="BB1083" t="str">
        <f t="shared" si="50"/>
        <v xml:space="preserve">N607SR  </v>
      </c>
      <c r="BC1083">
        <v>1</v>
      </c>
      <c r="BE1083">
        <v>0</v>
      </c>
      <c r="BF1083">
        <v>0</v>
      </c>
      <c r="BG1083">
        <v>0</v>
      </c>
      <c r="BH1083">
        <v>2600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"06:15:14.356"</f>
        <v>06:15:14.356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5</v>
      </c>
      <c r="CP1083" t="s">
        <v>119</v>
      </c>
      <c r="CQ1083">
        <v>517</v>
      </c>
      <c r="CR1083">
        <v>1</v>
      </c>
      <c r="CW1083">
        <v>2479650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"08/29/2020 06:15:11.660"</f>
        <v>08/29/2020 06:15:11.660</v>
      </c>
      <c r="C1084" t="str">
        <f t="shared" si="48"/>
        <v>FFDFD3C0</v>
      </c>
      <c r="D1084" t="s">
        <v>121</v>
      </c>
      <c r="E1084">
        <v>10</v>
      </c>
      <c r="F1084">
        <v>1010</v>
      </c>
      <c r="G1084" t="s">
        <v>114</v>
      </c>
      <c r="J1084" t="s">
        <v>123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"06:15:14.859"</f>
        <v>06:15:14.859</v>
      </c>
      <c r="T1084" t="str">
        <f>"06:15:14.359"</f>
        <v>06:15:14.359</v>
      </c>
      <c r="U1084" t="str">
        <f t="shared" si="49"/>
        <v>A7E2E0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0</v>
      </c>
      <c r="AI1084" t="s">
        <v>847</v>
      </c>
      <c r="AJ1084">
        <v>39.061568000000001</v>
      </c>
      <c r="AK1084" t="s">
        <v>848</v>
      </c>
      <c r="AL1084">
        <v>-87.511596999999995</v>
      </c>
      <c r="AM1084">
        <v>100</v>
      </c>
      <c r="AN1084">
        <v>2800</v>
      </c>
      <c r="AO1084" t="s">
        <v>118</v>
      </c>
      <c r="AP1084">
        <v>-101</v>
      </c>
      <c r="AQ1084">
        <v>-133</v>
      </c>
      <c r="AR1084">
        <v>-64</v>
      </c>
      <c r="AZ1084">
        <v>4552</v>
      </c>
      <c r="BA1084">
        <v>1</v>
      </c>
      <c r="BB1084" t="str">
        <f t="shared" si="50"/>
        <v xml:space="preserve">N607SR  </v>
      </c>
      <c r="BC1084">
        <v>1</v>
      </c>
      <c r="BE1084">
        <v>0</v>
      </c>
      <c r="BF1084">
        <v>0</v>
      </c>
      <c r="BG1084">
        <v>0</v>
      </c>
      <c r="BH1084">
        <v>2600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"06:15:14.867"</f>
        <v>06:15:14.867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457</v>
      </c>
      <c r="CR1084">
        <v>0</v>
      </c>
      <c r="CW1084">
        <v>15514912</v>
      </c>
      <c r="CY1084">
        <v>1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"08/29/2020 06:15:11.660"</f>
        <v>08/29/2020 06:15:11.660</v>
      </c>
      <c r="C1085" t="str">
        <f t="shared" si="48"/>
        <v>FFDFD3C0</v>
      </c>
      <c r="D1085" t="s">
        <v>121</v>
      </c>
      <c r="E1085">
        <v>13</v>
      </c>
      <c r="F1085">
        <v>1013</v>
      </c>
      <c r="G1085" t="s">
        <v>122</v>
      </c>
      <c r="J1085" t="s">
        <v>123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"06:15:14.859"</f>
        <v>06:15:14.859</v>
      </c>
      <c r="T1085" t="str">
        <f>"06:15:14.359"</f>
        <v>06:15:14.359</v>
      </c>
      <c r="U1085" t="str">
        <f t="shared" si="49"/>
        <v>A7E2E0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0</v>
      </c>
      <c r="AI1085" t="s">
        <v>847</v>
      </c>
      <c r="AJ1085">
        <v>39.061568000000001</v>
      </c>
      <c r="AK1085" t="s">
        <v>848</v>
      </c>
      <c r="AL1085">
        <v>-87.511596999999995</v>
      </c>
      <c r="AM1085">
        <v>100</v>
      </c>
      <c r="AN1085">
        <v>2800</v>
      </c>
      <c r="AO1085" t="s">
        <v>118</v>
      </c>
      <c r="AP1085">
        <v>-101</v>
      </c>
      <c r="AQ1085">
        <v>-133</v>
      </c>
      <c r="AR1085">
        <v>-64</v>
      </c>
      <c r="AZ1085">
        <v>4552</v>
      </c>
      <c r="BA1085">
        <v>1</v>
      </c>
      <c r="BB1085" t="str">
        <f t="shared" si="50"/>
        <v xml:space="preserve">N607SR  </v>
      </c>
      <c r="BC1085">
        <v>1</v>
      </c>
      <c r="BE1085">
        <v>0</v>
      </c>
      <c r="BF1085">
        <v>0</v>
      </c>
      <c r="BG1085">
        <v>0</v>
      </c>
      <c r="BH1085">
        <v>2600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"06:15:14.867"</f>
        <v>06:15:14.867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457</v>
      </c>
      <c r="CR1085">
        <v>0</v>
      </c>
      <c r="CW1085">
        <v>15514912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"08/29/2020 06:15:11.660"</f>
        <v>08/29/2020 06:15:11.660</v>
      </c>
      <c r="C1086" t="str">
        <f t="shared" si="48"/>
        <v>FFDFD3C0</v>
      </c>
      <c r="D1086" t="s">
        <v>121</v>
      </c>
      <c r="E1086">
        <v>11</v>
      </c>
      <c r="F1086">
        <v>1011</v>
      </c>
      <c r="G1086" t="s">
        <v>125</v>
      </c>
      <c r="J1086" t="s">
        <v>123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"06:15:14.859"</f>
        <v>06:15:14.859</v>
      </c>
      <c r="T1086" t="str">
        <f>"06:15:14.359"</f>
        <v>06:15:14.359</v>
      </c>
      <c r="U1086" t="str">
        <f t="shared" si="49"/>
        <v>A7E2E0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0</v>
      </c>
      <c r="AI1086" t="s">
        <v>847</v>
      </c>
      <c r="AJ1086">
        <v>39.061568000000001</v>
      </c>
      <c r="AK1086" t="s">
        <v>848</v>
      </c>
      <c r="AL1086">
        <v>-87.511596999999995</v>
      </c>
      <c r="AM1086">
        <v>100</v>
      </c>
      <c r="AN1086">
        <v>2800</v>
      </c>
      <c r="AO1086" t="s">
        <v>118</v>
      </c>
      <c r="AP1086">
        <v>-101</v>
      </c>
      <c r="AQ1086">
        <v>-133</v>
      </c>
      <c r="AR1086">
        <v>-64</v>
      </c>
      <c r="AZ1086">
        <v>4552</v>
      </c>
      <c r="BA1086">
        <v>1</v>
      </c>
      <c r="BB1086" t="str">
        <f t="shared" si="50"/>
        <v xml:space="preserve">N607SR  </v>
      </c>
      <c r="BC1086">
        <v>1</v>
      </c>
      <c r="BE1086">
        <v>0</v>
      </c>
      <c r="BF1086">
        <v>0</v>
      </c>
      <c r="BG1086">
        <v>0</v>
      </c>
      <c r="BH1086">
        <v>2600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"06:15:14.867"</f>
        <v>06:15:14.867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457</v>
      </c>
      <c r="CR1086">
        <v>0</v>
      </c>
      <c r="CW1086">
        <v>15514912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"08/29/2020 06:15:12.218"</f>
        <v>08/29/2020 06:15:12.218</v>
      </c>
      <c r="C1087" t="str">
        <f t="shared" si="48"/>
        <v>FFDFD3C0</v>
      </c>
      <c r="D1087" t="s">
        <v>113</v>
      </c>
      <c r="E1087">
        <v>5</v>
      </c>
      <c r="H1087">
        <v>163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"06:15:15.453"</f>
        <v>06:15:15.453</v>
      </c>
      <c r="T1087" t="str">
        <f>"06:15:14.953"</f>
        <v>06:15:14.953</v>
      </c>
      <c r="U1087" t="str">
        <f t="shared" si="49"/>
        <v>A7E2E0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0</v>
      </c>
      <c r="AI1087" t="s">
        <v>849</v>
      </c>
      <c r="AJ1087">
        <v>39.061182000000002</v>
      </c>
      <c r="AK1087" t="s">
        <v>850</v>
      </c>
      <c r="AL1087">
        <v>-87.511960999999999</v>
      </c>
      <c r="AM1087">
        <v>100</v>
      </c>
      <c r="AN1087">
        <v>2800</v>
      </c>
      <c r="AO1087" t="s">
        <v>118</v>
      </c>
      <c r="AP1087">
        <v>-101</v>
      </c>
      <c r="AQ1087">
        <v>-133</v>
      </c>
      <c r="AR1087">
        <v>0</v>
      </c>
      <c r="AZ1087">
        <v>4552</v>
      </c>
      <c r="BA1087">
        <v>1</v>
      </c>
      <c r="BB1087" t="str">
        <f t="shared" si="50"/>
        <v xml:space="preserve">N607SR  </v>
      </c>
      <c r="BC1087">
        <v>1</v>
      </c>
      <c r="BE1087">
        <v>0</v>
      </c>
      <c r="BF1087">
        <v>0</v>
      </c>
      <c r="BG1087">
        <v>0</v>
      </c>
      <c r="BH1087">
        <v>2600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"06:15:15.457"</f>
        <v>06:15:15.457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457</v>
      </c>
      <c r="CR1087">
        <v>0</v>
      </c>
      <c r="CW1087">
        <v>15514934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"08/29/2020 06:15:12.218"</f>
        <v>08/29/2020 06:15:12.218</v>
      </c>
      <c r="C1088" t="str">
        <f t="shared" si="48"/>
        <v>FFDFD3C0</v>
      </c>
      <c r="D1088" t="s">
        <v>128</v>
      </c>
      <c r="E1088">
        <v>5</v>
      </c>
      <c r="H1088">
        <v>241</v>
      </c>
      <c r="I1088" t="s">
        <v>129</v>
      </c>
      <c r="J1088" t="s">
        <v>130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"06:15:15.453"</f>
        <v>06:15:15.453</v>
      </c>
      <c r="T1088" t="str">
        <f>"06:15:14.953"</f>
        <v>06:15:14.953</v>
      </c>
      <c r="U1088" t="str">
        <f t="shared" si="49"/>
        <v>A7E2E0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0</v>
      </c>
      <c r="AI1088" t="s">
        <v>849</v>
      </c>
      <c r="AJ1088">
        <v>39.061182000000002</v>
      </c>
      <c r="AK1088" t="s">
        <v>850</v>
      </c>
      <c r="AL1088">
        <v>-87.511960999999999</v>
      </c>
      <c r="AM1088">
        <v>100</v>
      </c>
      <c r="AN1088">
        <v>2800</v>
      </c>
      <c r="AO1088" t="s">
        <v>118</v>
      </c>
      <c r="AP1088">
        <v>-101</v>
      </c>
      <c r="AQ1088">
        <v>-133</v>
      </c>
      <c r="AR1088">
        <v>0</v>
      </c>
      <c r="AZ1088">
        <v>4552</v>
      </c>
      <c r="BA1088">
        <v>1</v>
      </c>
      <c r="BB1088" t="str">
        <f t="shared" si="50"/>
        <v xml:space="preserve">N607SR  </v>
      </c>
      <c r="BC1088">
        <v>1</v>
      </c>
      <c r="BE1088">
        <v>0</v>
      </c>
      <c r="BF1088">
        <v>0</v>
      </c>
      <c r="BG1088">
        <v>0</v>
      </c>
      <c r="BH1088">
        <v>2600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"06:15:15.457"</f>
        <v>06:15:15.457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457</v>
      </c>
      <c r="CR1088">
        <v>0</v>
      </c>
      <c r="CW1088">
        <v>15514934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"08/29/2020 06:15:12.772"</f>
        <v>08/29/2020 06:15:12.772</v>
      </c>
      <c r="C1089" t="str">
        <f t="shared" si="48"/>
        <v>FFDFD3C0</v>
      </c>
      <c r="D1089" t="s">
        <v>121</v>
      </c>
      <c r="E1089">
        <v>10</v>
      </c>
      <c r="F1089">
        <v>1010</v>
      </c>
      <c r="G1089" t="s">
        <v>114</v>
      </c>
      <c r="J1089" t="s">
        <v>123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"06:15:15.977"</f>
        <v>06:15:15.977</v>
      </c>
      <c r="T1089" t="str">
        <f>"06:15:15.477"</f>
        <v>06:15:15.477</v>
      </c>
      <c r="U1089" t="str">
        <f t="shared" si="49"/>
        <v>A7E2E0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0</v>
      </c>
      <c r="AI1089" t="s">
        <v>851</v>
      </c>
      <c r="AJ1089">
        <v>39.060881000000002</v>
      </c>
      <c r="AK1089" t="s">
        <v>852</v>
      </c>
      <c r="AL1089">
        <v>-87.512262000000007</v>
      </c>
      <c r="AM1089">
        <v>100</v>
      </c>
      <c r="AN1089">
        <v>2800</v>
      </c>
      <c r="AO1089" t="s">
        <v>118</v>
      </c>
      <c r="AP1089">
        <v>-101</v>
      </c>
      <c r="AQ1089">
        <v>-133</v>
      </c>
      <c r="AR1089">
        <v>0</v>
      </c>
      <c r="AZ1089">
        <v>4552</v>
      </c>
      <c r="BA1089">
        <v>1</v>
      </c>
      <c r="BB1089" t="str">
        <f t="shared" si="50"/>
        <v xml:space="preserve">N607SR  </v>
      </c>
      <c r="BC1089">
        <v>1</v>
      </c>
      <c r="BE1089">
        <v>0</v>
      </c>
      <c r="BF1089">
        <v>0</v>
      </c>
      <c r="BG1089">
        <v>0</v>
      </c>
      <c r="BH1089">
        <v>2600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"06:15:15.984"</f>
        <v>06:15:15.984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457</v>
      </c>
      <c r="CR1089">
        <v>0</v>
      </c>
      <c r="CW1089">
        <v>15514949</v>
      </c>
      <c r="CY1089">
        <v>1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"08/29/2020 06:15:12.772"</f>
        <v>08/29/2020 06:15:12.772</v>
      </c>
      <c r="C1090" t="str">
        <f t="shared" ref="C1090:C1153" si="51">"FFDFD3C0"</f>
        <v>FFDFD3C0</v>
      </c>
      <c r="D1090" t="s">
        <v>121</v>
      </c>
      <c r="E1090">
        <v>13</v>
      </c>
      <c r="F1090">
        <v>1013</v>
      </c>
      <c r="G1090" t="s">
        <v>122</v>
      </c>
      <c r="J1090" t="s">
        <v>123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"06:15:15.977"</f>
        <v>06:15:15.977</v>
      </c>
      <c r="T1090" t="str">
        <f>"06:15:15.477"</f>
        <v>06:15:15.477</v>
      </c>
      <c r="U1090" t="str">
        <f t="shared" ref="U1090:U1153" si="52">"A7E2E0"</f>
        <v>A7E2E0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0</v>
      </c>
      <c r="AI1090" t="s">
        <v>851</v>
      </c>
      <c r="AJ1090">
        <v>39.060881000000002</v>
      </c>
      <c r="AK1090" t="s">
        <v>852</v>
      </c>
      <c r="AL1090">
        <v>-87.512262000000007</v>
      </c>
      <c r="AM1090">
        <v>100</v>
      </c>
      <c r="AN1090">
        <v>2800</v>
      </c>
      <c r="AO1090" t="s">
        <v>118</v>
      </c>
      <c r="AP1090">
        <v>-101</v>
      </c>
      <c r="AQ1090">
        <v>-133</v>
      </c>
      <c r="AR1090">
        <v>0</v>
      </c>
      <c r="AZ1090">
        <v>4552</v>
      </c>
      <c r="BA1090">
        <v>1</v>
      </c>
      <c r="BB1090" t="str">
        <f t="shared" ref="BB1090:BB1153" si="53">"N607SR  "</f>
        <v xml:space="preserve">N607SR  </v>
      </c>
      <c r="BC1090">
        <v>1</v>
      </c>
      <c r="BE1090">
        <v>0</v>
      </c>
      <c r="BF1090">
        <v>0</v>
      </c>
      <c r="BG1090">
        <v>0</v>
      </c>
      <c r="BH1090">
        <v>2600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"06:15:15.984"</f>
        <v>06:15:15.984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457</v>
      </c>
      <c r="CR1090">
        <v>0</v>
      </c>
      <c r="CW1090">
        <v>15514949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"08/29/2020 06:15:12.772"</f>
        <v>08/29/2020 06:15:12.772</v>
      </c>
      <c r="C1091" t="str">
        <f t="shared" si="51"/>
        <v>FFDFD3C0</v>
      </c>
      <c r="D1091" t="s">
        <v>121</v>
      </c>
      <c r="E1091">
        <v>11</v>
      </c>
      <c r="F1091">
        <v>1011</v>
      </c>
      <c r="G1091" t="s">
        <v>125</v>
      </c>
      <c r="J1091" t="s">
        <v>123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"06:15:15.977"</f>
        <v>06:15:15.977</v>
      </c>
      <c r="T1091" t="str">
        <f>"06:15:15.477"</f>
        <v>06:15:15.477</v>
      </c>
      <c r="U1091" t="str">
        <f t="shared" si="52"/>
        <v>A7E2E0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0</v>
      </c>
      <c r="AI1091" t="s">
        <v>851</v>
      </c>
      <c r="AJ1091">
        <v>39.060881000000002</v>
      </c>
      <c r="AK1091" t="s">
        <v>852</v>
      </c>
      <c r="AL1091">
        <v>-87.512262000000007</v>
      </c>
      <c r="AM1091">
        <v>100</v>
      </c>
      <c r="AN1091">
        <v>2800</v>
      </c>
      <c r="AO1091" t="s">
        <v>118</v>
      </c>
      <c r="AP1091">
        <v>-101</v>
      </c>
      <c r="AQ1091">
        <v>-133</v>
      </c>
      <c r="AR1091">
        <v>0</v>
      </c>
      <c r="AZ1091">
        <v>4552</v>
      </c>
      <c r="BA1091">
        <v>1</v>
      </c>
      <c r="BB1091" t="str">
        <f t="shared" si="53"/>
        <v xml:space="preserve">N607SR  </v>
      </c>
      <c r="BC1091">
        <v>1</v>
      </c>
      <c r="BE1091">
        <v>0</v>
      </c>
      <c r="BF1091">
        <v>0</v>
      </c>
      <c r="BG1091">
        <v>0</v>
      </c>
      <c r="BH1091">
        <v>2600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"06:15:15.984"</f>
        <v>06:15:15.984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457</v>
      </c>
      <c r="CR1091">
        <v>0</v>
      </c>
      <c r="CW1091">
        <v>15514949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"08/29/2020 06:15:13.284"</f>
        <v>08/29/2020 06:15:13.284</v>
      </c>
      <c r="C1092" t="str">
        <f t="shared" si="51"/>
        <v>FFDFD3C0</v>
      </c>
      <c r="D1092" t="s">
        <v>113</v>
      </c>
      <c r="E1092">
        <v>5</v>
      </c>
      <c r="H1092">
        <v>163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"06:15:16.484"</f>
        <v>06:15:16.484</v>
      </c>
      <c r="T1092" t="str">
        <f>"06:15:16.084"</f>
        <v>06:15:16.084</v>
      </c>
      <c r="U1092" t="str">
        <f t="shared" si="52"/>
        <v>A7E2E0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0</v>
      </c>
      <c r="AI1092" t="s">
        <v>853</v>
      </c>
      <c r="AJ1092">
        <v>39.060538000000001</v>
      </c>
      <c r="AK1092" t="s">
        <v>854</v>
      </c>
      <c r="AL1092">
        <v>-87.512584000000004</v>
      </c>
      <c r="AM1092">
        <v>100</v>
      </c>
      <c r="AN1092">
        <v>2800</v>
      </c>
      <c r="AO1092" t="s">
        <v>118</v>
      </c>
      <c r="AP1092">
        <v>-101</v>
      </c>
      <c r="AQ1092">
        <v>-133</v>
      </c>
      <c r="AR1092">
        <v>-64</v>
      </c>
      <c r="AZ1092">
        <v>4552</v>
      </c>
      <c r="BA1092">
        <v>1</v>
      </c>
      <c r="BB1092" t="str">
        <f t="shared" si="53"/>
        <v xml:space="preserve">N607SR  </v>
      </c>
      <c r="BC1092">
        <v>1</v>
      </c>
      <c r="BE1092">
        <v>0</v>
      </c>
      <c r="BF1092">
        <v>0</v>
      </c>
      <c r="BG1092">
        <v>0</v>
      </c>
      <c r="BH1092">
        <v>2600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"06:15:16.486"</f>
        <v>06:15:16.486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457</v>
      </c>
      <c r="CR1092">
        <v>0</v>
      </c>
      <c r="CW1092">
        <v>15514965</v>
      </c>
      <c r="CY1092">
        <v>1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"08/29/2020 06:15:13.284"</f>
        <v>08/29/2020 06:15:13.284</v>
      </c>
      <c r="C1093" t="str">
        <f t="shared" si="51"/>
        <v>FFDFD3C0</v>
      </c>
      <c r="D1093" t="s">
        <v>128</v>
      </c>
      <c r="E1093">
        <v>5</v>
      </c>
      <c r="H1093">
        <v>241</v>
      </c>
      <c r="I1093" t="s">
        <v>129</v>
      </c>
      <c r="J1093" t="s">
        <v>130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"06:15:16.484"</f>
        <v>06:15:16.484</v>
      </c>
      <c r="T1093" t="str">
        <f>"06:15:16.084"</f>
        <v>06:15:16.084</v>
      </c>
      <c r="U1093" t="str">
        <f t="shared" si="52"/>
        <v>A7E2E0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0</v>
      </c>
      <c r="AI1093" t="s">
        <v>853</v>
      </c>
      <c r="AJ1093">
        <v>39.060538000000001</v>
      </c>
      <c r="AK1093" t="s">
        <v>854</v>
      </c>
      <c r="AL1093">
        <v>-87.512584000000004</v>
      </c>
      <c r="AM1093">
        <v>100</v>
      </c>
      <c r="AN1093">
        <v>2800</v>
      </c>
      <c r="AO1093" t="s">
        <v>118</v>
      </c>
      <c r="AP1093">
        <v>-101</v>
      </c>
      <c r="AQ1093">
        <v>-133</v>
      </c>
      <c r="AR1093">
        <v>-64</v>
      </c>
      <c r="AZ1093">
        <v>4552</v>
      </c>
      <c r="BA1093">
        <v>1</v>
      </c>
      <c r="BB1093" t="str">
        <f t="shared" si="53"/>
        <v xml:space="preserve">N607SR  </v>
      </c>
      <c r="BC1093">
        <v>1</v>
      </c>
      <c r="BE1093">
        <v>0</v>
      </c>
      <c r="BF1093">
        <v>0</v>
      </c>
      <c r="BG1093">
        <v>0</v>
      </c>
      <c r="BH1093">
        <v>2600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"06:15:16.486"</f>
        <v>06:15:16.486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457</v>
      </c>
      <c r="CR1093">
        <v>0</v>
      </c>
      <c r="CW1093">
        <v>15514965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"08/29/2020 06:15:13.783"</f>
        <v>08/29/2020 06:15:13.783</v>
      </c>
      <c r="C1094" t="str">
        <f t="shared" si="51"/>
        <v>FFDFD3C0</v>
      </c>
      <c r="D1094" t="s">
        <v>121</v>
      </c>
      <c r="E1094">
        <v>10</v>
      </c>
      <c r="F1094">
        <v>1010</v>
      </c>
      <c r="G1094" t="s">
        <v>114</v>
      </c>
      <c r="J1094" t="s">
        <v>123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"06:15:17.008"</f>
        <v>06:15:17.008</v>
      </c>
      <c r="T1094" t="str">
        <f>"06:15:16.508"</f>
        <v>06:15:16.508</v>
      </c>
      <c r="U1094" t="str">
        <f t="shared" si="52"/>
        <v>A7E2E0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0</v>
      </c>
      <c r="AI1094" t="s">
        <v>855</v>
      </c>
      <c r="AJ1094">
        <v>39.060172999999999</v>
      </c>
      <c r="AK1094" t="s">
        <v>856</v>
      </c>
      <c r="AL1094">
        <v>-87.512949000000006</v>
      </c>
      <c r="AM1094">
        <v>100</v>
      </c>
      <c r="AN1094">
        <v>2800</v>
      </c>
      <c r="AO1094" t="s">
        <v>118</v>
      </c>
      <c r="AP1094">
        <v>-101</v>
      </c>
      <c r="AQ1094">
        <v>-133</v>
      </c>
      <c r="AR1094">
        <v>-64</v>
      </c>
      <c r="AZ1094">
        <v>4552</v>
      </c>
      <c r="BA1094">
        <v>1</v>
      </c>
      <c r="BB1094" t="str">
        <f t="shared" si="53"/>
        <v xml:space="preserve">N607SR  </v>
      </c>
      <c r="BC1094">
        <v>1</v>
      </c>
      <c r="BE1094">
        <v>0</v>
      </c>
      <c r="BF1094">
        <v>0</v>
      </c>
      <c r="BG1094">
        <v>0</v>
      </c>
      <c r="BH1094">
        <v>2600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"06:15:17.010"</f>
        <v>06:15:17.010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457</v>
      </c>
      <c r="CR1094">
        <v>0</v>
      </c>
      <c r="CW1094">
        <v>15514983</v>
      </c>
      <c r="CY1094">
        <v>1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"08/29/2020 06:15:13.783"</f>
        <v>08/29/2020 06:15:13.783</v>
      </c>
      <c r="C1095" t="str">
        <f t="shared" si="51"/>
        <v>FFDFD3C0</v>
      </c>
      <c r="D1095" t="s">
        <v>121</v>
      </c>
      <c r="E1095">
        <v>13</v>
      </c>
      <c r="F1095">
        <v>1013</v>
      </c>
      <c r="G1095" t="s">
        <v>122</v>
      </c>
      <c r="J1095" t="s">
        <v>123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"06:15:17.008"</f>
        <v>06:15:17.008</v>
      </c>
      <c r="T1095" t="str">
        <f>"06:15:16.508"</f>
        <v>06:15:16.508</v>
      </c>
      <c r="U1095" t="str">
        <f t="shared" si="52"/>
        <v>A7E2E0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0</v>
      </c>
      <c r="AI1095" t="s">
        <v>855</v>
      </c>
      <c r="AJ1095">
        <v>39.060172999999999</v>
      </c>
      <c r="AK1095" t="s">
        <v>856</v>
      </c>
      <c r="AL1095">
        <v>-87.512949000000006</v>
      </c>
      <c r="AM1095">
        <v>100</v>
      </c>
      <c r="AN1095">
        <v>2800</v>
      </c>
      <c r="AO1095" t="s">
        <v>118</v>
      </c>
      <c r="AP1095">
        <v>-101</v>
      </c>
      <c r="AQ1095">
        <v>-133</v>
      </c>
      <c r="AR1095">
        <v>-64</v>
      </c>
      <c r="AZ1095">
        <v>4552</v>
      </c>
      <c r="BA1095">
        <v>1</v>
      </c>
      <c r="BB1095" t="str">
        <f t="shared" si="53"/>
        <v xml:space="preserve">N607SR  </v>
      </c>
      <c r="BC1095">
        <v>1</v>
      </c>
      <c r="BE1095">
        <v>0</v>
      </c>
      <c r="BF1095">
        <v>0</v>
      </c>
      <c r="BG1095">
        <v>0</v>
      </c>
      <c r="BH1095">
        <v>2600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"06:15:17.010"</f>
        <v>06:15:17.010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457</v>
      </c>
      <c r="CR1095">
        <v>0</v>
      </c>
      <c r="CW1095">
        <v>15514983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"08/29/2020 06:15:13.783"</f>
        <v>08/29/2020 06:15:13.783</v>
      </c>
      <c r="C1096" t="str">
        <f t="shared" si="51"/>
        <v>FFDFD3C0</v>
      </c>
      <c r="D1096" t="s">
        <v>121</v>
      </c>
      <c r="E1096">
        <v>11</v>
      </c>
      <c r="F1096">
        <v>1011</v>
      </c>
      <c r="G1096" t="s">
        <v>125</v>
      </c>
      <c r="J1096" t="s">
        <v>123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"06:15:17.008"</f>
        <v>06:15:17.008</v>
      </c>
      <c r="T1096" t="str">
        <f>"06:15:16.508"</f>
        <v>06:15:16.508</v>
      </c>
      <c r="U1096" t="str">
        <f t="shared" si="52"/>
        <v>A7E2E0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0</v>
      </c>
      <c r="AI1096" t="s">
        <v>855</v>
      </c>
      <c r="AJ1096">
        <v>39.060172999999999</v>
      </c>
      <c r="AK1096" t="s">
        <v>856</v>
      </c>
      <c r="AL1096">
        <v>-87.512949000000006</v>
      </c>
      <c r="AM1096">
        <v>100</v>
      </c>
      <c r="AN1096">
        <v>2800</v>
      </c>
      <c r="AO1096" t="s">
        <v>118</v>
      </c>
      <c r="AP1096">
        <v>-101</v>
      </c>
      <c r="AQ1096">
        <v>-133</v>
      </c>
      <c r="AR1096">
        <v>-64</v>
      </c>
      <c r="AZ1096">
        <v>4552</v>
      </c>
      <c r="BA1096">
        <v>1</v>
      </c>
      <c r="BB1096" t="str">
        <f t="shared" si="53"/>
        <v xml:space="preserve">N607SR  </v>
      </c>
      <c r="BC1096">
        <v>1</v>
      </c>
      <c r="BE1096">
        <v>0</v>
      </c>
      <c r="BF1096">
        <v>0</v>
      </c>
      <c r="BG1096">
        <v>0</v>
      </c>
      <c r="BH1096">
        <v>2600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"06:15:17.010"</f>
        <v>06:15:17.010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457</v>
      </c>
      <c r="CR1096">
        <v>0</v>
      </c>
      <c r="CW1096">
        <v>15514983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"08/29/2020 06:15:14.298"</f>
        <v>08/29/2020 06:15:14.298</v>
      </c>
      <c r="C1097" t="str">
        <f t="shared" si="51"/>
        <v>FFDFD3C0</v>
      </c>
      <c r="D1097" t="s">
        <v>113</v>
      </c>
      <c r="E1097">
        <v>5</v>
      </c>
      <c r="H1097">
        <v>163</v>
      </c>
      <c r="I1097" t="s">
        <v>114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"06:15:17.500"</f>
        <v>06:15:17.500</v>
      </c>
      <c r="T1097" t="str">
        <f>"06:15:17.100"</f>
        <v>06:15:17.100</v>
      </c>
      <c r="U1097" t="str">
        <f t="shared" si="52"/>
        <v>A7E2E0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0</v>
      </c>
      <c r="AI1097" t="s">
        <v>857</v>
      </c>
      <c r="AJ1097">
        <v>39.059873000000003</v>
      </c>
      <c r="AK1097" t="s">
        <v>858</v>
      </c>
      <c r="AL1097">
        <v>-87.513205999999997</v>
      </c>
      <c r="AM1097">
        <v>100</v>
      </c>
      <c r="AN1097">
        <v>2800</v>
      </c>
      <c r="AO1097" t="s">
        <v>118</v>
      </c>
      <c r="AP1097">
        <v>-101</v>
      </c>
      <c r="AQ1097">
        <v>-133</v>
      </c>
      <c r="AR1097">
        <v>-64</v>
      </c>
      <c r="AZ1097">
        <v>4552</v>
      </c>
      <c r="BA1097">
        <v>1</v>
      </c>
      <c r="BB1097" t="str">
        <f t="shared" si="53"/>
        <v xml:space="preserve">N607SR  </v>
      </c>
      <c r="BC1097">
        <v>1</v>
      </c>
      <c r="BE1097">
        <v>0</v>
      </c>
      <c r="BF1097">
        <v>0</v>
      </c>
      <c r="BG1097">
        <v>0</v>
      </c>
      <c r="BH1097">
        <v>2600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"06:15:17.505"</f>
        <v>06:15:17.505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457</v>
      </c>
      <c r="CR1097">
        <v>0</v>
      </c>
      <c r="CW1097">
        <v>15514997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"08/29/2020 06:15:14.298"</f>
        <v>08/29/2020 06:15:14.298</v>
      </c>
      <c r="C1098" t="str">
        <f t="shared" si="51"/>
        <v>FFDFD3C0</v>
      </c>
      <c r="D1098" t="s">
        <v>128</v>
      </c>
      <c r="E1098">
        <v>5</v>
      </c>
      <c r="H1098">
        <v>241</v>
      </c>
      <c r="I1098" t="s">
        <v>129</v>
      </c>
      <c r="J1098" t="s">
        <v>130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"06:15:17.500"</f>
        <v>06:15:17.500</v>
      </c>
      <c r="T1098" t="str">
        <f>"06:15:17.100"</f>
        <v>06:15:17.100</v>
      </c>
      <c r="U1098" t="str">
        <f t="shared" si="52"/>
        <v>A7E2E0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0</v>
      </c>
      <c r="AI1098" t="s">
        <v>857</v>
      </c>
      <c r="AJ1098">
        <v>39.059873000000003</v>
      </c>
      <c r="AK1098" t="s">
        <v>858</v>
      </c>
      <c r="AL1098">
        <v>-87.513205999999997</v>
      </c>
      <c r="AM1098">
        <v>100</v>
      </c>
      <c r="AN1098">
        <v>2800</v>
      </c>
      <c r="AO1098" t="s">
        <v>118</v>
      </c>
      <c r="AP1098">
        <v>-101</v>
      </c>
      <c r="AQ1098">
        <v>-133</v>
      </c>
      <c r="AR1098">
        <v>-64</v>
      </c>
      <c r="AZ1098">
        <v>4552</v>
      </c>
      <c r="BA1098">
        <v>1</v>
      </c>
      <c r="BB1098" t="str">
        <f t="shared" si="53"/>
        <v xml:space="preserve">N607SR  </v>
      </c>
      <c r="BC1098">
        <v>1</v>
      </c>
      <c r="BE1098">
        <v>0</v>
      </c>
      <c r="BF1098">
        <v>0</v>
      </c>
      <c r="BG1098">
        <v>0</v>
      </c>
      <c r="BH1098">
        <v>2600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"06:15:17.505"</f>
        <v>06:15:17.505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457</v>
      </c>
      <c r="CR1098">
        <v>0</v>
      </c>
      <c r="CW1098">
        <v>15514997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"08/29/2020 06:15:14.872"</f>
        <v>08/29/2020 06:15:14.872</v>
      </c>
      <c r="C1099" t="str">
        <f t="shared" si="51"/>
        <v>FFDFD3C0</v>
      </c>
      <c r="D1099" t="s">
        <v>121</v>
      </c>
      <c r="E1099">
        <v>11</v>
      </c>
      <c r="F1099">
        <v>1011</v>
      </c>
      <c r="G1099" t="s">
        <v>125</v>
      </c>
      <c r="J1099" t="s">
        <v>123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"06:15:18.063"</f>
        <v>06:15:18.063</v>
      </c>
      <c r="T1099" t="str">
        <f>"06:15:17.563"</f>
        <v>06:15:17.563</v>
      </c>
      <c r="U1099" t="str">
        <f t="shared" si="52"/>
        <v>A7E2E0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0</v>
      </c>
      <c r="AI1099" t="s">
        <v>859</v>
      </c>
      <c r="AJ1099">
        <v>39.059572000000003</v>
      </c>
      <c r="AK1099" t="s">
        <v>860</v>
      </c>
      <c r="AL1099">
        <v>-87.513485000000003</v>
      </c>
      <c r="AM1099">
        <v>100</v>
      </c>
      <c r="AN1099">
        <v>2800</v>
      </c>
      <c r="AO1099" t="s">
        <v>118</v>
      </c>
      <c r="AP1099">
        <v>-101</v>
      </c>
      <c r="AQ1099">
        <v>-133</v>
      </c>
      <c r="AR1099">
        <v>0</v>
      </c>
      <c r="AZ1099">
        <v>4552</v>
      </c>
      <c r="BA1099">
        <v>1</v>
      </c>
      <c r="BB1099" t="str">
        <f t="shared" si="53"/>
        <v xml:space="preserve">N607SR  </v>
      </c>
      <c r="BC1099">
        <v>1</v>
      </c>
      <c r="BE1099">
        <v>0</v>
      </c>
      <c r="BF1099">
        <v>0</v>
      </c>
      <c r="BG1099">
        <v>0</v>
      </c>
      <c r="BH1099">
        <v>2600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"06:15:18.067"</f>
        <v>06:15:18.067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6</v>
      </c>
      <c r="CP1099" t="s">
        <v>119</v>
      </c>
      <c r="CQ1099">
        <v>177</v>
      </c>
      <c r="CR1099">
        <v>2</v>
      </c>
      <c r="CW1099">
        <v>1634599</v>
      </c>
      <c r="CY1099">
        <v>1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"08/29/2020 06:15:14.872"</f>
        <v>08/29/2020 06:15:14.872</v>
      </c>
      <c r="C1100" t="str">
        <f t="shared" si="51"/>
        <v>FFDFD3C0</v>
      </c>
      <c r="D1100" t="s">
        <v>121</v>
      </c>
      <c r="E1100">
        <v>10</v>
      </c>
      <c r="F1100">
        <v>1010</v>
      </c>
      <c r="G1100" t="s">
        <v>114</v>
      </c>
      <c r="J1100" t="s">
        <v>123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"06:15:18.063"</f>
        <v>06:15:18.063</v>
      </c>
      <c r="T1100" t="str">
        <f>"06:15:17.563"</f>
        <v>06:15:17.563</v>
      </c>
      <c r="U1100" t="str">
        <f t="shared" si="52"/>
        <v>A7E2E0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0</v>
      </c>
      <c r="AI1100" t="s">
        <v>859</v>
      </c>
      <c r="AJ1100">
        <v>39.059572000000003</v>
      </c>
      <c r="AK1100" t="s">
        <v>860</v>
      </c>
      <c r="AL1100">
        <v>-87.513485000000003</v>
      </c>
      <c r="AM1100">
        <v>100</v>
      </c>
      <c r="AN1100">
        <v>2800</v>
      </c>
      <c r="AO1100" t="s">
        <v>118</v>
      </c>
      <c r="AP1100">
        <v>-101</v>
      </c>
      <c r="AQ1100">
        <v>-133</v>
      </c>
      <c r="AR1100">
        <v>0</v>
      </c>
      <c r="AZ1100">
        <v>4552</v>
      </c>
      <c r="BA1100">
        <v>1</v>
      </c>
      <c r="BB1100" t="str">
        <f t="shared" si="53"/>
        <v xml:space="preserve">N607SR  </v>
      </c>
      <c r="BC1100">
        <v>1</v>
      </c>
      <c r="BE1100">
        <v>0</v>
      </c>
      <c r="BF1100">
        <v>0</v>
      </c>
      <c r="BG1100">
        <v>0</v>
      </c>
      <c r="BH1100">
        <v>2600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"06:15:18.067"</f>
        <v>06:15:18.067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6</v>
      </c>
      <c r="CP1100" t="s">
        <v>119</v>
      </c>
      <c r="CQ1100">
        <v>177</v>
      </c>
      <c r="CR1100">
        <v>2</v>
      </c>
      <c r="CW1100">
        <v>1634599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"08/29/2020 06:15:14.872"</f>
        <v>08/29/2020 06:15:14.872</v>
      </c>
      <c r="C1101" t="str">
        <f t="shared" si="51"/>
        <v>FFDFD3C0</v>
      </c>
      <c r="D1101" t="s">
        <v>121</v>
      </c>
      <c r="E1101">
        <v>13</v>
      </c>
      <c r="F1101">
        <v>1013</v>
      </c>
      <c r="G1101" t="s">
        <v>122</v>
      </c>
      <c r="J1101" t="s">
        <v>123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"06:15:18.063"</f>
        <v>06:15:18.063</v>
      </c>
      <c r="T1101" t="str">
        <f>"06:15:17.563"</f>
        <v>06:15:17.563</v>
      </c>
      <c r="U1101" t="str">
        <f t="shared" si="52"/>
        <v>A7E2E0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0</v>
      </c>
      <c r="AI1101" t="s">
        <v>859</v>
      </c>
      <c r="AJ1101">
        <v>39.059572000000003</v>
      </c>
      <c r="AK1101" t="s">
        <v>860</v>
      </c>
      <c r="AL1101">
        <v>-87.513485000000003</v>
      </c>
      <c r="AM1101">
        <v>100</v>
      </c>
      <c r="AN1101">
        <v>2800</v>
      </c>
      <c r="AO1101" t="s">
        <v>118</v>
      </c>
      <c r="AP1101">
        <v>-101</v>
      </c>
      <c r="AQ1101">
        <v>-133</v>
      </c>
      <c r="AR1101">
        <v>0</v>
      </c>
      <c r="AZ1101">
        <v>4552</v>
      </c>
      <c r="BA1101">
        <v>1</v>
      </c>
      <c r="BB1101" t="str">
        <f t="shared" si="53"/>
        <v xml:space="preserve">N607SR  </v>
      </c>
      <c r="BC1101">
        <v>1</v>
      </c>
      <c r="BE1101">
        <v>0</v>
      </c>
      <c r="BF1101">
        <v>0</v>
      </c>
      <c r="BG1101">
        <v>0</v>
      </c>
      <c r="BH1101">
        <v>2600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"06:15:18.067"</f>
        <v>06:15:18.067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6</v>
      </c>
      <c r="CP1101" t="s">
        <v>119</v>
      </c>
      <c r="CQ1101">
        <v>177</v>
      </c>
      <c r="CR1101">
        <v>2</v>
      </c>
      <c r="CW1101">
        <v>1634599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"08/29/2020 06:15:15.363"</f>
        <v>08/29/2020 06:15:15.363</v>
      </c>
      <c r="C1102" t="str">
        <f t="shared" si="51"/>
        <v>FFDFD3C0</v>
      </c>
      <c r="D1102" t="s">
        <v>113</v>
      </c>
      <c r="E1102">
        <v>5</v>
      </c>
      <c r="H1102">
        <v>163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"06:15:18.555"</f>
        <v>06:15:18.555</v>
      </c>
      <c r="U1102" t="str">
        <f t="shared" si="52"/>
        <v>A7E2E0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0</v>
      </c>
      <c r="AI1102" t="s">
        <v>861</v>
      </c>
      <c r="AJ1102">
        <v>39.059272</v>
      </c>
      <c r="AK1102" t="s">
        <v>862</v>
      </c>
      <c r="AL1102">
        <v>-87.513807</v>
      </c>
      <c r="AM1102">
        <v>100</v>
      </c>
      <c r="AN1102">
        <v>2800</v>
      </c>
      <c r="AO1102" t="s">
        <v>118</v>
      </c>
      <c r="AP1102">
        <v>-101</v>
      </c>
      <c r="AQ1102">
        <v>-133</v>
      </c>
      <c r="AR1102">
        <v>0</v>
      </c>
      <c r="AZ1102">
        <v>4552</v>
      </c>
      <c r="BA1102">
        <v>1</v>
      </c>
      <c r="BB1102" t="str">
        <f t="shared" si="53"/>
        <v xml:space="preserve">N607SR  </v>
      </c>
      <c r="BC1102">
        <v>1</v>
      </c>
      <c r="BE1102">
        <v>0</v>
      </c>
      <c r="BF1102">
        <v>0</v>
      </c>
      <c r="BG1102">
        <v>0</v>
      </c>
      <c r="BH1102">
        <v>2600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"06:15:18.558"</f>
        <v>06:15:18.558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5</v>
      </c>
      <c r="CP1102" t="s">
        <v>119</v>
      </c>
      <c r="CQ1102">
        <v>517</v>
      </c>
      <c r="CR1102">
        <v>1</v>
      </c>
      <c r="CW1102">
        <v>2479769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"08/29/2020 06:15:15.363"</f>
        <v>08/29/2020 06:15:15.363</v>
      </c>
      <c r="C1103" t="str">
        <f t="shared" si="51"/>
        <v>FFDFD3C0</v>
      </c>
      <c r="D1103" t="s">
        <v>128</v>
      </c>
      <c r="E1103">
        <v>5</v>
      </c>
      <c r="H1103">
        <v>241</v>
      </c>
      <c r="I1103" t="s">
        <v>129</v>
      </c>
      <c r="J1103" t="s">
        <v>130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"06:15:18.555"</f>
        <v>06:15:18.555</v>
      </c>
      <c r="U1103" t="str">
        <f t="shared" si="52"/>
        <v>A7E2E0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0</v>
      </c>
      <c r="AI1103" t="s">
        <v>861</v>
      </c>
      <c r="AJ1103">
        <v>39.059272</v>
      </c>
      <c r="AK1103" t="s">
        <v>862</v>
      </c>
      <c r="AL1103">
        <v>-87.513807</v>
      </c>
      <c r="AM1103">
        <v>100</v>
      </c>
      <c r="AN1103">
        <v>2800</v>
      </c>
      <c r="AO1103" t="s">
        <v>118</v>
      </c>
      <c r="AP1103">
        <v>-101</v>
      </c>
      <c r="AQ1103">
        <v>-133</v>
      </c>
      <c r="AR1103">
        <v>0</v>
      </c>
      <c r="AZ1103">
        <v>4552</v>
      </c>
      <c r="BA1103">
        <v>1</v>
      </c>
      <c r="BB1103" t="str">
        <f t="shared" si="53"/>
        <v xml:space="preserve">N607SR  </v>
      </c>
      <c r="BC1103">
        <v>1</v>
      </c>
      <c r="BE1103">
        <v>0</v>
      </c>
      <c r="BF1103">
        <v>0</v>
      </c>
      <c r="BG1103">
        <v>0</v>
      </c>
      <c r="BH1103">
        <v>2600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"06:15:18.558"</f>
        <v>06:15:18.558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5</v>
      </c>
      <c r="CP1103" t="s">
        <v>119</v>
      </c>
      <c r="CQ1103">
        <v>517</v>
      </c>
      <c r="CR1103">
        <v>1</v>
      </c>
      <c r="CW1103">
        <v>2479769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"08/29/2020 06:15:15.767"</f>
        <v>08/29/2020 06:15:15.767</v>
      </c>
      <c r="C1104" t="str">
        <f t="shared" si="51"/>
        <v>FFDFD3C0</v>
      </c>
      <c r="D1104" t="s">
        <v>121</v>
      </c>
      <c r="E1104">
        <v>13</v>
      </c>
      <c r="F1104">
        <v>1013</v>
      </c>
      <c r="G1104" t="s">
        <v>122</v>
      </c>
      <c r="J1104" t="s">
        <v>123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"06:15:19.000"</f>
        <v>06:15:19.000</v>
      </c>
      <c r="T1104" t="str">
        <f>"06:15:18.600"</f>
        <v>06:15:18.600</v>
      </c>
      <c r="U1104" t="str">
        <f t="shared" si="52"/>
        <v>A7E2E0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0</v>
      </c>
      <c r="AI1104" t="s">
        <v>863</v>
      </c>
      <c r="AJ1104">
        <v>39.058950000000003</v>
      </c>
      <c r="AK1104" t="s">
        <v>864</v>
      </c>
      <c r="AL1104">
        <v>-87.514106999999996</v>
      </c>
      <c r="AM1104">
        <v>100</v>
      </c>
      <c r="AN1104">
        <v>2800</v>
      </c>
      <c r="AO1104" t="s">
        <v>118</v>
      </c>
      <c r="AP1104">
        <v>-101</v>
      </c>
      <c r="AQ1104">
        <v>-133</v>
      </c>
      <c r="AR1104">
        <v>0</v>
      </c>
      <c r="AZ1104">
        <v>4552</v>
      </c>
      <c r="BA1104">
        <v>1</v>
      </c>
      <c r="BB1104" t="str">
        <f t="shared" si="53"/>
        <v xml:space="preserve">N607SR  </v>
      </c>
      <c r="BC1104">
        <v>1</v>
      </c>
      <c r="BE1104">
        <v>0</v>
      </c>
      <c r="BF1104">
        <v>0</v>
      </c>
      <c r="BG1104">
        <v>0</v>
      </c>
      <c r="BH1104">
        <v>2600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"06:15:19.007"</f>
        <v>06:15:19.007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457</v>
      </c>
      <c r="CR1104">
        <v>0</v>
      </c>
      <c r="CW1104">
        <v>15515042</v>
      </c>
      <c r="CY1104">
        <v>1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"08/29/2020 06:15:15.767"</f>
        <v>08/29/2020 06:15:15.767</v>
      </c>
      <c r="C1105" t="str">
        <f t="shared" si="51"/>
        <v>FFDFD3C0</v>
      </c>
      <c r="D1105" t="s">
        <v>121</v>
      </c>
      <c r="E1105">
        <v>11</v>
      </c>
      <c r="F1105">
        <v>1011</v>
      </c>
      <c r="G1105" t="s">
        <v>125</v>
      </c>
      <c r="J1105" t="s">
        <v>123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"06:15:19.000"</f>
        <v>06:15:19.000</v>
      </c>
      <c r="T1105" t="str">
        <f>"06:15:18.600"</f>
        <v>06:15:18.600</v>
      </c>
      <c r="U1105" t="str">
        <f t="shared" si="52"/>
        <v>A7E2E0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0</v>
      </c>
      <c r="AI1105" t="s">
        <v>863</v>
      </c>
      <c r="AJ1105">
        <v>39.058950000000003</v>
      </c>
      <c r="AK1105" t="s">
        <v>864</v>
      </c>
      <c r="AL1105">
        <v>-87.514106999999996</v>
      </c>
      <c r="AM1105">
        <v>100</v>
      </c>
      <c r="AN1105">
        <v>2800</v>
      </c>
      <c r="AO1105" t="s">
        <v>118</v>
      </c>
      <c r="AP1105">
        <v>-101</v>
      </c>
      <c r="AQ1105">
        <v>-133</v>
      </c>
      <c r="AR1105">
        <v>0</v>
      </c>
      <c r="AZ1105">
        <v>4552</v>
      </c>
      <c r="BA1105">
        <v>1</v>
      </c>
      <c r="BB1105" t="str">
        <f t="shared" si="53"/>
        <v xml:space="preserve">N607SR  </v>
      </c>
      <c r="BC1105">
        <v>1</v>
      </c>
      <c r="BE1105">
        <v>0</v>
      </c>
      <c r="BF1105">
        <v>0</v>
      </c>
      <c r="BG1105">
        <v>0</v>
      </c>
      <c r="BH1105">
        <v>2600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"06:15:19.007"</f>
        <v>06:15:19.007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457</v>
      </c>
      <c r="CR1105">
        <v>0</v>
      </c>
      <c r="CW1105">
        <v>15515042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"08/29/2020 06:15:15.767"</f>
        <v>08/29/2020 06:15:15.767</v>
      </c>
      <c r="C1106" t="str">
        <f t="shared" si="51"/>
        <v>FFDFD3C0</v>
      </c>
      <c r="D1106" t="s">
        <v>121</v>
      </c>
      <c r="E1106">
        <v>10</v>
      </c>
      <c r="F1106">
        <v>1010</v>
      </c>
      <c r="G1106" t="s">
        <v>114</v>
      </c>
      <c r="J1106" t="s">
        <v>123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"06:15:19.000"</f>
        <v>06:15:19.000</v>
      </c>
      <c r="T1106" t="str">
        <f>"06:15:18.600"</f>
        <v>06:15:18.600</v>
      </c>
      <c r="U1106" t="str">
        <f t="shared" si="52"/>
        <v>A7E2E0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0</v>
      </c>
      <c r="AI1106" t="s">
        <v>863</v>
      </c>
      <c r="AJ1106">
        <v>39.058950000000003</v>
      </c>
      <c r="AK1106" t="s">
        <v>864</v>
      </c>
      <c r="AL1106">
        <v>-87.514106999999996</v>
      </c>
      <c r="AM1106">
        <v>100</v>
      </c>
      <c r="AN1106">
        <v>2800</v>
      </c>
      <c r="AO1106" t="s">
        <v>118</v>
      </c>
      <c r="AP1106">
        <v>-101</v>
      </c>
      <c r="AQ1106">
        <v>-133</v>
      </c>
      <c r="AR1106">
        <v>0</v>
      </c>
      <c r="AZ1106">
        <v>4552</v>
      </c>
      <c r="BA1106">
        <v>1</v>
      </c>
      <c r="BB1106" t="str">
        <f t="shared" si="53"/>
        <v xml:space="preserve">N607SR  </v>
      </c>
      <c r="BC1106">
        <v>1</v>
      </c>
      <c r="BE1106">
        <v>0</v>
      </c>
      <c r="BF1106">
        <v>0</v>
      </c>
      <c r="BG1106">
        <v>0</v>
      </c>
      <c r="BH1106">
        <v>2600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"06:15:19.007"</f>
        <v>06:15:19.007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457</v>
      </c>
      <c r="CR1106">
        <v>0</v>
      </c>
      <c r="CW1106">
        <v>15515042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"08/29/2020 06:15:16.279"</f>
        <v>08/29/2020 06:15:16.279</v>
      </c>
      <c r="C1107" t="str">
        <f t="shared" si="51"/>
        <v>FFDFD3C0</v>
      </c>
      <c r="D1107" t="s">
        <v>113</v>
      </c>
      <c r="E1107">
        <v>5</v>
      </c>
      <c r="H1107">
        <v>163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"06:15:19.477"</f>
        <v>06:15:19.477</v>
      </c>
      <c r="U1107" t="str">
        <f t="shared" si="52"/>
        <v>A7E2E0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0</v>
      </c>
      <c r="AI1107" t="s">
        <v>865</v>
      </c>
      <c r="AJ1107">
        <v>39.058714000000002</v>
      </c>
      <c r="AK1107" t="s">
        <v>866</v>
      </c>
      <c r="AL1107">
        <v>-87.514342999999997</v>
      </c>
      <c r="AM1107">
        <v>100</v>
      </c>
      <c r="AN1107">
        <v>2800</v>
      </c>
      <c r="AO1107" t="s">
        <v>118</v>
      </c>
      <c r="AP1107">
        <v>-101</v>
      </c>
      <c r="AQ1107">
        <v>-133</v>
      </c>
      <c r="AR1107">
        <v>0</v>
      </c>
      <c r="AZ1107">
        <v>4552</v>
      </c>
      <c r="BA1107">
        <v>1</v>
      </c>
      <c r="BB1107" t="str">
        <f t="shared" si="53"/>
        <v xml:space="preserve">N607SR  </v>
      </c>
      <c r="BC1107">
        <v>1</v>
      </c>
      <c r="BE1107">
        <v>0</v>
      </c>
      <c r="BF1107">
        <v>0</v>
      </c>
      <c r="BG1107">
        <v>0</v>
      </c>
      <c r="BH1107">
        <v>2600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"06:15:19.479"</f>
        <v>06:15:19.479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457</v>
      </c>
      <c r="CR1107">
        <v>0</v>
      </c>
      <c r="CW1107">
        <v>15515057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"08/29/2020 06:15:16.279"</f>
        <v>08/29/2020 06:15:16.279</v>
      </c>
      <c r="C1108" t="str">
        <f t="shared" si="51"/>
        <v>FFDFD3C0</v>
      </c>
      <c r="D1108" t="s">
        <v>128</v>
      </c>
      <c r="E1108">
        <v>5</v>
      </c>
      <c r="H1108">
        <v>241</v>
      </c>
      <c r="I1108" t="s">
        <v>129</v>
      </c>
      <c r="J1108" t="s">
        <v>130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"06:15:19.477"</f>
        <v>06:15:19.477</v>
      </c>
      <c r="U1108" t="str">
        <f t="shared" si="52"/>
        <v>A7E2E0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0</v>
      </c>
      <c r="AI1108" t="s">
        <v>865</v>
      </c>
      <c r="AJ1108">
        <v>39.058714000000002</v>
      </c>
      <c r="AK1108" t="s">
        <v>866</v>
      </c>
      <c r="AL1108">
        <v>-87.514342999999997</v>
      </c>
      <c r="AM1108">
        <v>100</v>
      </c>
      <c r="AN1108">
        <v>2800</v>
      </c>
      <c r="AO1108" t="s">
        <v>118</v>
      </c>
      <c r="AP1108">
        <v>-101</v>
      </c>
      <c r="AQ1108">
        <v>-133</v>
      </c>
      <c r="AR1108">
        <v>0</v>
      </c>
      <c r="AZ1108">
        <v>4552</v>
      </c>
      <c r="BA1108">
        <v>1</v>
      </c>
      <c r="BB1108" t="str">
        <f t="shared" si="53"/>
        <v xml:space="preserve">N607SR  </v>
      </c>
      <c r="BC1108">
        <v>1</v>
      </c>
      <c r="BE1108">
        <v>0</v>
      </c>
      <c r="BF1108">
        <v>0</v>
      </c>
      <c r="BG1108">
        <v>0</v>
      </c>
      <c r="BH1108">
        <v>2600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"06:15:19.479"</f>
        <v>06:15:19.479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457</v>
      </c>
      <c r="CR1108">
        <v>0</v>
      </c>
      <c r="CW1108">
        <v>15515057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"08/29/2020 06:15:16.781"</f>
        <v>08/29/2020 06:15:16.781</v>
      </c>
      <c r="C1109" t="str">
        <f t="shared" si="51"/>
        <v>FFDFD3C0</v>
      </c>
      <c r="D1109" t="s">
        <v>121</v>
      </c>
      <c r="E1109">
        <v>13</v>
      </c>
      <c r="F1109">
        <v>1013</v>
      </c>
      <c r="G1109" t="s">
        <v>122</v>
      </c>
      <c r="J1109" t="s">
        <v>123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"06:15:19.977"</f>
        <v>06:15:19.977</v>
      </c>
      <c r="T1109" t="str">
        <f>"06:15:19.577"</f>
        <v>06:15:19.577</v>
      </c>
      <c r="U1109" t="str">
        <f t="shared" si="52"/>
        <v>A7E2E0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0</v>
      </c>
      <c r="AI1109" t="s">
        <v>867</v>
      </c>
      <c r="AJ1109">
        <v>39.058413999999999</v>
      </c>
      <c r="AK1109" t="s">
        <v>868</v>
      </c>
      <c r="AL1109">
        <v>-87.514644000000004</v>
      </c>
      <c r="AM1109">
        <v>100</v>
      </c>
      <c r="AN1109">
        <v>2800</v>
      </c>
      <c r="AO1109" t="s">
        <v>118</v>
      </c>
      <c r="AP1109">
        <v>-101</v>
      </c>
      <c r="AQ1109">
        <v>-133</v>
      </c>
      <c r="AR1109">
        <v>0</v>
      </c>
      <c r="AZ1109">
        <v>4552</v>
      </c>
      <c r="BA1109">
        <v>1</v>
      </c>
      <c r="BB1109" t="str">
        <f t="shared" si="53"/>
        <v xml:space="preserve">N607SR  </v>
      </c>
      <c r="BC1109">
        <v>1</v>
      </c>
      <c r="BE1109">
        <v>0</v>
      </c>
      <c r="BF1109">
        <v>0</v>
      </c>
      <c r="BG1109">
        <v>0</v>
      </c>
      <c r="BH1109">
        <v>2600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"06:15:19.984"</f>
        <v>06:15:19.984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457</v>
      </c>
      <c r="CR1109">
        <v>0</v>
      </c>
      <c r="CW1109">
        <v>15515070</v>
      </c>
      <c r="CY1109">
        <v>1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"08/29/2020 06:15:16.781"</f>
        <v>08/29/2020 06:15:16.781</v>
      </c>
      <c r="C1110" t="str">
        <f t="shared" si="51"/>
        <v>FFDFD3C0</v>
      </c>
      <c r="D1110" t="s">
        <v>121</v>
      </c>
      <c r="E1110">
        <v>11</v>
      </c>
      <c r="F1110">
        <v>1011</v>
      </c>
      <c r="G1110" t="s">
        <v>125</v>
      </c>
      <c r="J1110" t="s">
        <v>123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"06:15:19.977"</f>
        <v>06:15:19.977</v>
      </c>
      <c r="T1110" t="str">
        <f>"06:15:19.577"</f>
        <v>06:15:19.577</v>
      </c>
      <c r="U1110" t="str">
        <f t="shared" si="52"/>
        <v>A7E2E0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0</v>
      </c>
      <c r="AI1110" t="s">
        <v>867</v>
      </c>
      <c r="AJ1110">
        <v>39.058413999999999</v>
      </c>
      <c r="AK1110" t="s">
        <v>868</v>
      </c>
      <c r="AL1110">
        <v>-87.514644000000004</v>
      </c>
      <c r="AM1110">
        <v>100</v>
      </c>
      <c r="AN1110">
        <v>2800</v>
      </c>
      <c r="AO1110" t="s">
        <v>118</v>
      </c>
      <c r="AP1110">
        <v>-101</v>
      </c>
      <c r="AQ1110">
        <v>-133</v>
      </c>
      <c r="AR1110">
        <v>0</v>
      </c>
      <c r="AZ1110">
        <v>4552</v>
      </c>
      <c r="BA1110">
        <v>1</v>
      </c>
      <c r="BB1110" t="str">
        <f t="shared" si="53"/>
        <v xml:space="preserve">N607SR  </v>
      </c>
      <c r="BC1110">
        <v>1</v>
      </c>
      <c r="BE1110">
        <v>0</v>
      </c>
      <c r="BF1110">
        <v>0</v>
      </c>
      <c r="BG1110">
        <v>0</v>
      </c>
      <c r="BH1110">
        <v>2600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"06:15:19.984"</f>
        <v>06:15:19.984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457</v>
      </c>
      <c r="CR1110">
        <v>0</v>
      </c>
      <c r="CW1110">
        <v>15515070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"08/29/2020 06:15:16.781"</f>
        <v>08/29/2020 06:15:16.781</v>
      </c>
      <c r="C1111" t="str">
        <f t="shared" si="51"/>
        <v>FFDFD3C0</v>
      </c>
      <c r="D1111" t="s">
        <v>121</v>
      </c>
      <c r="E1111">
        <v>10</v>
      </c>
      <c r="F1111">
        <v>1010</v>
      </c>
      <c r="G1111" t="s">
        <v>114</v>
      </c>
      <c r="J1111" t="s">
        <v>123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"06:15:19.977"</f>
        <v>06:15:19.977</v>
      </c>
      <c r="T1111" t="str">
        <f>"06:15:19.577"</f>
        <v>06:15:19.577</v>
      </c>
      <c r="U1111" t="str">
        <f t="shared" si="52"/>
        <v>A7E2E0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0</v>
      </c>
      <c r="AI1111" t="s">
        <v>867</v>
      </c>
      <c r="AJ1111">
        <v>39.058413999999999</v>
      </c>
      <c r="AK1111" t="s">
        <v>868</v>
      </c>
      <c r="AL1111">
        <v>-87.514644000000004</v>
      </c>
      <c r="AM1111">
        <v>100</v>
      </c>
      <c r="AN1111">
        <v>2800</v>
      </c>
      <c r="AO1111" t="s">
        <v>118</v>
      </c>
      <c r="AP1111">
        <v>-101</v>
      </c>
      <c r="AQ1111">
        <v>-133</v>
      </c>
      <c r="AR1111">
        <v>0</v>
      </c>
      <c r="AZ1111">
        <v>4552</v>
      </c>
      <c r="BA1111">
        <v>1</v>
      </c>
      <c r="BB1111" t="str">
        <f t="shared" si="53"/>
        <v xml:space="preserve">N607SR  </v>
      </c>
      <c r="BC1111">
        <v>1</v>
      </c>
      <c r="BE1111">
        <v>0</v>
      </c>
      <c r="BF1111">
        <v>0</v>
      </c>
      <c r="BG1111">
        <v>0</v>
      </c>
      <c r="BH1111">
        <v>2600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"06:15:19.984"</f>
        <v>06:15:19.984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457</v>
      </c>
      <c r="CR1111">
        <v>0</v>
      </c>
      <c r="CW1111">
        <v>15515070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"08/29/2020 06:15:17.291"</f>
        <v>08/29/2020 06:15:17.291</v>
      </c>
      <c r="C1112" t="str">
        <f t="shared" si="51"/>
        <v>FFDFD3C0</v>
      </c>
      <c r="D1112" t="s">
        <v>113</v>
      </c>
      <c r="E1112">
        <v>5</v>
      </c>
      <c r="H1112">
        <v>163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"06:15:20.500"</f>
        <v>06:15:20.500</v>
      </c>
      <c r="T1112" t="str">
        <f>"06:15:20.000"</f>
        <v>06:15:20.000</v>
      </c>
      <c r="U1112" t="str">
        <f t="shared" si="52"/>
        <v>A7E2E0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869</v>
      </c>
      <c r="AJ1112">
        <v>39.058048999999997</v>
      </c>
      <c r="AK1112" t="s">
        <v>870</v>
      </c>
      <c r="AL1112">
        <v>-87.515007999999995</v>
      </c>
      <c r="AM1112">
        <v>100</v>
      </c>
      <c r="AN1112">
        <v>2800</v>
      </c>
      <c r="AO1112" t="s">
        <v>118</v>
      </c>
      <c r="AP1112">
        <v>-101</v>
      </c>
      <c r="AQ1112">
        <v>-133</v>
      </c>
      <c r="AR1112">
        <v>0</v>
      </c>
      <c r="AZ1112">
        <v>4552</v>
      </c>
      <c r="BA1112">
        <v>1</v>
      </c>
      <c r="BB1112" t="str">
        <f t="shared" si="53"/>
        <v xml:space="preserve">N607SR  </v>
      </c>
      <c r="BC1112">
        <v>1</v>
      </c>
      <c r="BE1112">
        <v>0</v>
      </c>
      <c r="BF1112">
        <v>0</v>
      </c>
      <c r="BG1112">
        <v>0</v>
      </c>
      <c r="BH1112">
        <v>2600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"06:15:20.506"</f>
        <v>06:15:20.506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457</v>
      </c>
      <c r="CR1112">
        <v>0</v>
      </c>
      <c r="CW1112">
        <v>15515084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"08/29/2020 06:15:17.291"</f>
        <v>08/29/2020 06:15:17.291</v>
      </c>
      <c r="C1113" t="str">
        <f t="shared" si="51"/>
        <v>FFDFD3C0</v>
      </c>
      <c r="D1113" t="s">
        <v>128</v>
      </c>
      <c r="E1113">
        <v>5</v>
      </c>
      <c r="H1113">
        <v>241</v>
      </c>
      <c r="I1113" t="s">
        <v>129</v>
      </c>
      <c r="J1113" t="s">
        <v>130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"06:15:20.500"</f>
        <v>06:15:20.500</v>
      </c>
      <c r="T1113" t="str">
        <f>"06:15:20.000"</f>
        <v>06:15:20.000</v>
      </c>
      <c r="U1113" t="str">
        <f t="shared" si="52"/>
        <v>A7E2E0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869</v>
      </c>
      <c r="AJ1113">
        <v>39.058048999999997</v>
      </c>
      <c r="AK1113" t="s">
        <v>870</v>
      </c>
      <c r="AL1113">
        <v>-87.515007999999995</v>
      </c>
      <c r="AM1113">
        <v>100</v>
      </c>
      <c r="AN1113">
        <v>2800</v>
      </c>
      <c r="AO1113" t="s">
        <v>118</v>
      </c>
      <c r="AP1113">
        <v>-101</v>
      </c>
      <c r="AQ1113">
        <v>-133</v>
      </c>
      <c r="AR1113">
        <v>0</v>
      </c>
      <c r="AZ1113">
        <v>4552</v>
      </c>
      <c r="BA1113">
        <v>1</v>
      </c>
      <c r="BB1113" t="str">
        <f t="shared" si="53"/>
        <v xml:space="preserve">N607SR  </v>
      </c>
      <c r="BC1113">
        <v>1</v>
      </c>
      <c r="BE1113">
        <v>0</v>
      </c>
      <c r="BF1113">
        <v>0</v>
      </c>
      <c r="BG1113">
        <v>0</v>
      </c>
      <c r="BH1113">
        <v>2600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"06:15:20.506"</f>
        <v>06:15:20.506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457</v>
      </c>
      <c r="CR1113">
        <v>0</v>
      </c>
      <c r="CW1113">
        <v>15515084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"08/29/2020 06:15:17.712"</f>
        <v>08/29/2020 06:15:17.712</v>
      </c>
      <c r="C1114" t="str">
        <f t="shared" si="51"/>
        <v>FFDFD3C0</v>
      </c>
      <c r="D1114" t="s">
        <v>121</v>
      </c>
      <c r="E1114">
        <v>11</v>
      </c>
      <c r="F1114">
        <v>1011</v>
      </c>
      <c r="G1114" t="s">
        <v>125</v>
      </c>
      <c r="J1114" t="s">
        <v>123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"06:15:20.914"</f>
        <v>06:15:20.914</v>
      </c>
      <c r="U1114" t="str">
        <f t="shared" si="52"/>
        <v>A7E2E0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871</v>
      </c>
      <c r="AJ1114">
        <v>39.057769999999998</v>
      </c>
      <c r="AK1114" t="s">
        <v>872</v>
      </c>
      <c r="AL1114">
        <v>-87.515243999999996</v>
      </c>
      <c r="AM1114">
        <v>100</v>
      </c>
      <c r="AN1114">
        <v>2800</v>
      </c>
      <c r="AO1114" t="s">
        <v>118</v>
      </c>
      <c r="AP1114">
        <v>-101</v>
      </c>
      <c r="AQ1114">
        <v>-133</v>
      </c>
      <c r="AR1114">
        <v>0</v>
      </c>
      <c r="AZ1114">
        <v>4552</v>
      </c>
      <c r="BA1114">
        <v>1</v>
      </c>
      <c r="BB1114" t="str">
        <f t="shared" si="53"/>
        <v xml:space="preserve">N607SR  </v>
      </c>
      <c r="BC1114">
        <v>1</v>
      </c>
      <c r="BE1114">
        <v>0</v>
      </c>
      <c r="BF1114">
        <v>0</v>
      </c>
      <c r="BG1114">
        <v>0</v>
      </c>
      <c r="BH1114">
        <v>2600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"06:15:20.914"</f>
        <v>06:15:20.914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457</v>
      </c>
      <c r="CR1114">
        <v>0</v>
      </c>
      <c r="CW1114">
        <v>15515098</v>
      </c>
      <c r="CY1114">
        <v>1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"08/29/2020 06:15:17.712"</f>
        <v>08/29/2020 06:15:17.712</v>
      </c>
      <c r="C1115" t="str">
        <f t="shared" si="51"/>
        <v>FFDFD3C0</v>
      </c>
      <c r="D1115" t="s">
        <v>121</v>
      </c>
      <c r="E1115">
        <v>10</v>
      </c>
      <c r="F1115">
        <v>1010</v>
      </c>
      <c r="G1115" t="s">
        <v>114</v>
      </c>
      <c r="J1115" t="s">
        <v>123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"06:15:20.914"</f>
        <v>06:15:20.914</v>
      </c>
      <c r="U1115" t="str">
        <f t="shared" si="52"/>
        <v>A7E2E0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871</v>
      </c>
      <c r="AJ1115">
        <v>39.057769999999998</v>
      </c>
      <c r="AK1115" t="s">
        <v>872</v>
      </c>
      <c r="AL1115">
        <v>-87.515243999999996</v>
      </c>
      <c r="AM1115">
        <v>100</v>
      </c>
      <c r="AN1115">
        <v>2800</v>
      </c>
      <c r="AO1115" t="s">
        <v>118</v>
      </c>
      <c r="AP1115">
        <v>-101</v>
      </c>
      <c r="AQ1115">
        <v>-133</v>
      </c>
      <c r="AR1115">
        <v>0</v>
      </c>
      <c r="AZ1115">
        <v>4552</v>
      </c>
      <c r="BA1115">
        <v>1</v>
      </c>
      <c r="BB1115" t="str">
        <f t="shared" si="53"/>
        <v xml:space="preserve">N607SR  </v>
      </c>
      <c r="BC1115">
        <v>1</v>
      </c>
      <c r="BE1115">
        <v>0</v>
      </c>
      <c r="BF1115">
        <v>0</v>
      </c>
      <c r="BG1115">
        <v>0</v>
      </c>
      <c r="BH1115">
        <v>2600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"06:15:20.914"</f>
        <v>06:15:20.914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457</v>
      </c>
      <c r="CR1115">
        <v>0</v>
      </c>
      <c r="CW1115">
        <v>15515098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"08/29/2020 06:15:17.712"</f>
        <v>08/29/2020 06:15:17.712</v>
      </c>
      <c r="C1116" t="str">
        <f t="shared" si="51"/>
        <v>FFDFD3C0</v>
      </c>
      <c r="D1116" t="s">
        <v>121</v>
      </c>
      <c r="E1116">
        <v>13</v>
      </c>
      <c r="F1116">
        <v>1013</v>
      </c>
      <c r="G1116" t="s">
        <v>122</v>
      </c>
      <c r="J1116" t="s">
        <v>123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"06:15:20.914"</f>
        <v>06:15:20.914</v>
      </c>
      <c r="U1116" t="str">
        <f t="shared" si="52"/>
        <v>A7E2E0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871</v>
      </c>
      <c r="AJ1116">
        <v>39.057769999999998</v>
      </c>
      <c r="AK1116" t="s">
        <v>872</v>
      </c>
      <c r="AL1116">
        <v>-87.515243999999996</v>
      </c>
      <c r="AM1116">
        <v>100</v>
      </c>
      <c r="AN1116">
        <v>2800</v>
      </c>
      <c r="AO1116" t="s">
        <v>118</v>
      </c>
      <c r="AP1116">
        <v>-101</v>
      </c>
      <c r="AQ1116">
        <v>-133</v>
      </c>
      <c r="AR1116">
        <v>0</v>
      </c>
      <c r="AZ1116">
        <v>4552</v>
      </c>
      <c r="BA1116">
        <v>1</v>
      </c>
      <c r="BB1116" t="str">
        <f t="shared" si="53"/>
        <v xml:space="preserve">N607SR  </v>
      </c>
      <c r="BC1116">
        <v>1</v>
      </c>
      <c r="BE1116">
        <v>0</v>
      </c>
      <c r="BF1116">
        <v>0</v>
      </c>
      <c r="BG1116">
        <v>0</v>
      </c>
      <c r="BH1116">
        <v>2600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"06:15:20.914"</f>
        <v>06:15:20.914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457</v>
      </c>
      <c r="CR1116">
        <v>0</v>
      </c>
      <c r="CW1116">
        <v>15515098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"08/29/2020 06:15:18.308"</f>
        <v>08/29/2020 06:15:18.308</v>
      </c>
      <c r="C1117" t="str">
        <f t="shared" si="51"/>
        <v>FFDFD3C0</v>
      </c>
      <c r="D1117" t="s">
        <v>128</v>
      </c>
      <c r="E1117">
        <v>5</v>
      </c>
      <c r="H1117">
        <v>241</v>
      </c>
      <c r="I1117" t="s">
        <v>129</v>
      </c>
      <c r="J1117" t="s">
        <v>130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"06:15:21.492"</f>
        <v>06:15:21.492</v>
      </c>
      <c r="T1117" t="str">
        <f>"06:15:20.992"</f>
        <v>06:15:20.992</v>
      </c>
      <c r="U1117" t="str">
        <f t="shared" si="52"/>
        <v>A7E2E0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873</v>
      </c>
      <c r="AJ1117">
        <v>39.057468999999998</v>
      </c>
      <c r="AK1117" t="s">
        <v>874</v>
      </c>
      <c r="AL1117">
        <v>-87.515566000000007</v>
      </c>
      <c r="AM1117">
        <v>100</v>
      </c>
      <c r="AN1117">
        <v>2800</v>
      </c>
      <c r="AO1117" t="s">
        <v>118</v>
      </c>
      <c r="AP1117">
        <v>-101</v>
      </c>
      <c r="AQ1117">
        <v>-133</v>
      </c>
      <c r="AR1117">
        <v>0</v>
      </c>
      <c r="AZ1117">
        <v>4552</v>
      </c>
      <c r="BA1117">
        <v>1</v>
      </c>
      <c r="BB1117" t="str">
        <f t="shared" si="53"/>
        <v xml:space="preserve">N607SR  </v>
      </c>
      <c r="BC1117">
        <v>1</v>
      </c>
      <c r="BE1117">
        <v>0</v>
      </c>
      <c r="BF1117">
        <v>0</v>
      </c>
      <c r="BG1117">
        <v>0</v>
      </c>
      <c r="BH1117">
        <v>2600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"06:15:21.496"</f>
        <v>06:15:21.496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457</v>
      </c>
      <c r="CR1117">
        <v>0</v>
      </c>
      <c r="CW1117">
        <v>15515109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"08/29/2020 06:15:18.308"</f>
        <v>08/29/2020 06:15:18.308</v>
      </c>
      <c r="C1118" t="str">
        <f t="shared" si="51"/>
        <v>FFDFD3C0</v>
      </c>
      <c r="D1118" t="s">
        <v>113</v>
      </c>
      <c r="E1118">
        <v>5</v>
      </c>
      <c r="H1118">
        <v>163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"06:15:21.492"</f>
        <v>06:15:21.492</v>
      </c>
      <c r="T1118" t="str">
        <f>"06:15:20.992"</f>
        <v>06:15:20.992</v>
      </c>
      <c r="U1118" t="str">
        <f t="shared" si="52"/>
        <v>A7E2E0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873</v>
      </c>
      <c r="AJ1118">
        <v>39.057468999999998</v>
      </c>
      <c r="AK1118" t="s">
        <v>874</v>
      </c>
      <c r="AL1118">
        <v>-87.515566000000007</v>
      </c>
      <c r="AM1118">
        <v>100</v>
      </c>
      <c r="AN1118">
        <v>2800</v>
      </c>
      <c r="AO1118" t="s">
        <v>118</v>
      </c>
      <c r="AP1118">
        <v>-101</v>
      </c>
      <c r="AQ1118">
        <v>-133</v>
      </c>
      <c r="AR1118">
        <v>0</v>
      </c>
      <c r="AZ1118">
        <v>4552</v>
      </c>
      <c r="BA1118">
        <v>1</v>
      </c>
      <c r="BB1118" t="str">
        <f t="shared" si="53"/>
        <v xml:space="preserve">N607SR  </v>
      </c>
      <c r="BC1118">
        <v>1</v>
      </c>
      <c r="BE1118">
        <v>0</v>
      </c>
      <c r="BF1118">
        <v>0</v>
      </c>
      <c r="BG1118">
        <v>0</v>
      </c>
      <c r="BH1118">
        <v>2600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"06:15:21.496"</f>
        <v>06:15:21.496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457</v>
      </c>
      <c r="CR1118">
        <v>0</v>
      </c>
      <c r="CW1118">
        <v>15515109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"08/29/2020 06:15:18.837"</f>
        <v>08/29/2020 06:15:18.837</v>
      </c>
      <c r="C1119" t="str">
        <f t="shared" si="51"/>
        <v>FFDFD3C0</v>
      </c>
      <c r="D1119" t="s">
        <v>121</v>
      </c>
      <c r="E1119">
        <v>10</v>
      </c>
      <c r="F1119">
        <v>1010</v>
      </c>
      <c r="G1119" t="s">
        <v>114</v>
      </c>
      <c r="J1119" t="s">
        <v>123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"06:15:22.078"</f>
        <v>06:15:22.078</v>
      </c>
      <c r="T1119" t="str">
        <f>"06:15:21.578"</f>
        <v>06:15:21.578</v>
      </c>
      <c r="U1119" t="str">
        <f t="shared" si="52"/>
        <v>A7E2E0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875</v>
      </c>
      <c r="AJ1119">
        <v>39.057105</v>
      </c>
      <c r="AK1119" t="s">
        <v>876</v>
      </c>
      <c r="AL1119">
        <v>-87.515930999999995</v>
      </c>
      <c r="AM1119">
        <v>100</v>
      </c>
      <c r="AN1119">
        <v>2700</v>
      </c>
      <c r="AO1119" t="s">
        <v>118</v>
      </c>
      <c r="AP1119">
        <v>-101</v>
      </c>
      <c r="AQ1119">
        <v>-133</v>
      </c>
      <c r="AR1119">
        <v>0</v>
      </c>
      <c r="AZ1119">
        <v>4552</v>
      </c>
      <c r="BA1119">
        <v>1</v>
      </c>
      <c r="BB1119" t="str">
        <f t="shared" si="53"/>
        <v xml:space="preserve">N607SR  </v>
      </c>
      <c r="BC1119">
        <v>1</v>
      </c>
      <c r="BE1119">
        <v>0</v>
      </c>
      <c r="BF1119">
        <v>0</v>
      </c>
      <c r="BG1119">
        <v>0</v>
      </c>
      <c r="BH1119">
        <v>2500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"06:15:22.081"</f>
        <v>06:15:22.081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457</v>
      </c>
      <c r="CR1119">
        <v>0</v>
      </c>
      <c r="CW1119">
        <v>15515125</v>
      </c>
      <c r="CY1119">
        <v>1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"08/29/2020 06:15:18.837"</f>
        <v>08/29/2020 06:15:18.837</v>
      </c>
      <c r="C1120" t="str">
        <f t="shared" si="51"/>
        <v>FFDFD3C0</v>
      </c>
      <c r="D1120" t="s">
        <v>121</v>
      </c>
      <c r="E1120">
        <v>13</v>
      </c>
      <c r="F1120">
        <v>1013</v>
      </c>
      <c r="G1120" t="s">
        <v>122</v>
      </c>
      <c r="J1120" t="s">
        <v>123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"06:15:22.078"</f>
        <v>06:15:22.078</v>
      </c>
      <c r="T1120" t="str">
        <f>"06:15:21.578"</f>
        <v>06:15:21.578</v>
      </c>
      <c r="U1120" t="str">
        <f t="shared" si="52"/>
        <v>A7E2E0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875</v>
      </c>
      <c r="AJ1120">
        <v>39.057105</v>
      </c>
      <c r="AK1120" t="s">
        <v>876</v>
      </c>
      <c r="AL1120">
        <v>-87.515930999999995</v>
      </c>
      <c r="AM1120">
        <v>100</v>
      </c>
      <c r="AN1120">
        <v>2700</v>
      </c>
      <c r="AO1120" t="s">
        <v>118</v>
      </c>
      <c r="AP1120">
        <v>-101</v>
      </c>
      <c r="AQ1120">
        <v>-133</v>
      </c>
      <c r="AR1120">
        <v>0</v>
      </c>
      <c r="AZ1120">
        <v>4552</v>
      </c>
      <c r="BA1120">
        <v>1</v>
      </c>
      <c r="BB1120" t="str">
        <f t="shared" si="53"/>
        <v xml:space="preserve">N607SR  </v>
      </c>
      <c r="BC1120">
        <v>1</v>
      </c>
      <c r="BE1120">
        <v>0</v>
      </c>
      <c r="BF1120">
        <v>0</v>
      </c>
      <c r="BG1120">
        <v>0</v>
      </c>
      <c r="BH1120">
        <v>2500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"06:15:22.081"</f>
        <v>06:15:22.081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457</v>
      </c>
      <c r="CR1120">
        <v>0</v>
      </c>
      <c r="CW1120">
        <v>15515125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"08/29/2020 06:15:18.837"</f>
        <v>08/29/2020 06:15:18.837</v>
      </c>
      <c r="C1121" t="str">
        <f t="shared" si="51"/>
        <v>FFDFD3C0</v>
      </c>
      <c r="D1121" t="s">
        <v>121</v>
      </c>
      <c r="E1121">
        <v>11</v>
      </c>
      <c r="F1121">
        <v>1011</v>
      </c>
      <c r="G1121" t="s">
        <v>125</v>
      </c>
      <c r="J1121" t="s">
        <v>123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"06:15:22.078"</f>
        <v>06:15:22.078</v>
      </c>
      <c r="T1121" t="str">
        <f>"06:15:21.578"</f>
        <v>06:15:21.578</v>
      </c>
      <c r="U1121" t="str">
        <f t="shared" si="52"/>
        <v>A7E2E0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0</v>
      </c>
      <c r="AI1121" t="s">
        <v>875</v>
      </c>
      <c r="AJ1121">
        <v>39.057105</v>
      </c>
      <c r="AK1121" t="s">
        <v>876</v>
      </c>
      <c r="AL1121">
        <v>-87.515930999999995</v>
      </c>
      <c r="AM1121">
        <v>100</v>
      </c>
      <c r="AN1121">
        <v>2700</v>
      </c>
      <c r="AO1121" t="s">
        <v>118</v>
      </c>
      <c r="AP1121">
        <v>-101</v>
      </c>
      <c r="AQ1121">
        <v>-133</v>
      </c>
      <c r="AR1121">
        <v>0</v>
      </c>
      <c r="AZ1121">
        <v>4552</v>
      </c>
      <c r="BA1121">
        <v>1</v>
      </c>
      <c r="BB1121" t="str">
        <f t="shared" si="53"/>
        <v xml:space="preserve">N607SR  </v>
      </c>
      <c r="BC1121">
        <v>1</v>
      </c>
      <c r="BE1121">
        <v>0</v>
      </c>
      <c r="BF1121">
        <v>0</v>
      </c>
      <c r="BG1121">
        <v>0</v>
      </c>
      <c r="BH1121">
        <v>2500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"06:15:22.081"</f>
        <v>06:15:22.081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457</v>
      </c>
      <c r="CR1121">
        <v>0</v>
      </c>
      <c r="CW1121">
        <v>15515125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"08/29/2020 06:15:19.421"</f>
        <v>08/29/2020 06:15:19.421</v>
      </c>
      <c r="C1122" t="str">
        <f t="shared" si="51"/>
        <v>FFDFD3C0</v>
      </c>
      <c r="D1122" t="s">
        <v>128</v>
      </c>
      <c r="E1122">
        <v>5</v>
      </c>
      <c r="H1122">
        <v>241</v>
      </c>
      <c r="I1122" t="s">
        <v>129</v>
      </c>
      <c r="J1122" t="s">
        <v>130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"06:15:22.602"</f>
        <v>06:15:22.602</v>
      </c>
      <c r="U1122" t="str">
        <f t="shared" si="52"/>
        <v>A7E2E0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0</v>
      </c>
      <c r="AI1122" t="s">
        <v>877</v>
      </c>
      <c r="AJ1122">
        <v>39.056717999999996</v>
      </c>
      <c r="AK1122" t="s">
        <v>878</v>
      </c>
      <c r="AL1122">
        <v>-87.516295999999997</v>
      </c>
      <c r="AM1122">
        <v>100</v>
      </c>
      <c r="AN1122">
        <v>2800</v>
      </c>
      <c r="AO1122" t="s">
        <v>118</v>
      </c>
      <c r="AP1122">
        <v>-101</v>
      </c>
      <c r="AQ1122">
        <v>-133</v>
      </c>
      <c r="AR1122">
        <v>0</v>
      </c>
      <c r="AZ1122">
        <v>4552</v>
      </c>
      <c r="BA1122">
        <v>1</v>
      </c>
      <c r="BB1122" t="str">
        <f t="shared" si="53"/>
        <v xml:space="preserve">N607SR  </v>
      </c>
      <c r="BC1122">
        <v>1</v>
      </c>
      <c r="BE1122">
        <v>0</v>
      </c>
      <c r="BF1122">
        <v>0</v>
      </c>
      <c r="BG1122">
        <v>0</v>
      </c>
      <c r="BH1122">
        <v>2600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"06:15:22.607"</f>
        <v>06:15:22.607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5</v>
      </c>
      <c r="CP1122" t="s">
        <v>119</v>
      </c>
      <c r="CQ1122">
        <v>517</v>
      </c>
      <c r="CR1122">
        <v>1</v>
      </c>
      <c r="CW1122">
        <v>2479890</v>
      </c>
      <c r="CY1122">
        <v>1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"08/29/2020 06:15:19.421"</f>
        <v>08/29/2020 06:15:19.421</v>
      </c>
      <c r="C1123" t="str">
        <f t="shared" si="51"/>
        <v>FFDFD3C0</v>
      </c>
      <c r="D1123" t="s">
        <v>113</v>
      </c>
      <c r="E1123">
        <v>5</v>
      </c>
      <c r="H1123">
        <v>163</v>
      </c>
      <c r="I1123" t="s">
        <v>114</v>
      </c>
      <c r="J1123" t="s">
        <v>115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"06:15:22.602"</f>
        <v>06:15:22.602</v>
      </c>
      <c r="U1123" t="str">
        <f t="shared" si="52"/>
        <v>A7E2E0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0</v>
      </c>
      <c r="AI1123" t="s">
        <v>877</v>
      </c>
      <c r="AJ1123">
        <v>39.056717999999996</v>
      </c>
      <c r="AK1123" t="s">
        <v>878</v>
      </c>
      <c r="AL1123">
        <v>-87.516295999999997</v>
      </c>
      <c r="AM1123">
        <v>100</v>
      </c>
      <c r="AN1123">
        <v>2800</v>
      </c>
      <c r="AO1123" t="s">
        <v>118</v>
      </c>
      <c r="AP1123">
        <v>-101</v>
      </c>
      <c r="AQ1123">
        <v>-133</v>
      </c>
      <c r="AR1123">
        <v>0</v>
      </c>
      <c r="AZ1123">
        <v>4552</v>
      </c>
      <c r="BA1123">
        <v>1</v>
      </c>
      <c r="BB1123" t="str">
        <f t="shared" si="53"/>
        <v xml:space="preserve">N607SR  </v>
      </c>
      <c r="BC1123">
        <v>1</v>
      </c>
      <c r="BE1123">
        <v>0</v>
      </c>
      <c r="BF1123">
        <v>0</v>
      </c>
      <c r="BG1123">
        <v>0</v>
      </c>
      <c r="BH1123">
        <v>2600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"06:15:22.607"</f>
        <v>06:15:22.607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5</v>
      </c>
      <c r="CP1123" t="s">
        <v>119</v>
      </c>
      <c r="CQ1123">
        <v>517</v>
      </c>
      <c r="CR1123">
        <v>1</v>
      </c>
      <c r="CW1123">
        <v>2479890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"08/29/2020 06:15:19.874"</f>
        <v>08/29/2020 06:15:19.874</v>
      </c>
      <c r="C1124" t="str">
        <f t="shared" si="51"/>
        <v>FFDFD3C0</v>
      </c>
      <c r="D1124" t="s">
        <v>121</v>
      </c>
      <c r="E1124">
        <v>13</v>
      </c>
      <c r="F1124">
        <v>1013</v>
      </c>
      <c r="G1124" t="s">
        <v>122</v>
      </c>
      <c r="J1124" t="s">
        <v>123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"06:15:23.070"</f>
        <v>06:15:23.070</v>
      </c>
      <c r="T1124" t="str">
        <f>"06:15:22.670"</f>
        <v>06:15:22.670</v>
      </c>
      <c r="U1124" t="str">
        <f t="shared" si="52"/>
        <v>A7E2E0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0</v>
      </c>
      <c r="AI1124" t="s">
        <v>879</v>
      </c>
      <c r="AJ1124">
        <v>39.056482000000003</v>
      </c>
      <c r="AK1124" t="s">
        <v>880</v>
      </c>
      <c r="AL1124">
        <v>-87.516531999999998</v>
      </c>
      <c r="AM1124">
        <v>100</v>
      </c>
      <c r="AN1124">
        <v>2800</v>
      </c>
      <c r="AO1124" t="s">
        <v>118</v>
      </c>
      <c r="AP1124">
        <v>-101</v>
      </c>
      <c r="AQ1124">
        <v>-133</v>
      </c>
      <c r="AR1124">
        <v>0</v>
      </c>
      <c r="AZ1124">
        <v>4552</v>
      </c>
      <c r="BA1124">
        <v>1</v>
      </c>
      <c r="BB1124" t="str">
        <f t="shared" si="53"/>
        <v xml:space="preserve">N607SR  </v>
      </c>
      <c r="BC1124">
        <v>1</v>
      </c>
      <c r="BE1124">
        <v>0</v>
      </c>
      <c r="BF1124">
        <v>0</v>
      </c>
      <c r="BG1124">
        <v>0</v>
      </c>
      <c r="BH1124">
        <v>2600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"06:15:23.074"</f>
        <v>06:15:23.074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457</v>
      </c>
      <c r="CR1124">
        <v>0</v>
      </c>
      <c r="CW1124">
        <v>15515152</v>
      </c>
      <c r="CY1124">
        <v>1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"08/29/2020 06:15:19.874"</f>
        <v>08/29/2020 06:15:19.874</v>
      </c>
      <c r="C1125" t="str">
        <f t="shared" si="51"/>
        <v>FFDFD3C0</v>
      </c>
      <c r="D1125" t="s">
        <v>121</v>
      </c>
      <c r="E1125">
        <v>11</v>
      </c>
      <c r="F1125">
        <v>1011</v>
      </c>
      <c r="G1125" t="s">
        <v>125</v>
      </c>
      <c r="J1125" t="s">
        <v>123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"06:15:23.070"</f>
        <v>06:15:23.070</v>
      </c>
      <c r="T1125" t="str">
        <f>"06:15:22.670"</f>
        <v>06:15:22.670</v>
      </c>
      <c r="U1125" t="str">
        <f t="shared" si="52"/>
        <v>A7E2E0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0</v>
      </c>
      <c r="AI1125" t="s">
        <v>879</v>
      </c>
      <c r="AJ1125">
        <v>39.056482000000003</v>
      </c>
      <c r="AK1125" t="s">
        <v>880</v>
      </c>
      <c r="AL1125">
        <v>-87.516531999999998</v>
      </c>
      <c r="AM1125">
        <v>100</v>
      </c>
      <c r="AN1125">
        <v>2800</v>
      </c>
      <c r="AO1125" t="s">
        <v>118</v>
      </c>
      <c r="AP1125">
        <v>-101</v>
      </c>
      <c r="AQ1125">
        <v>-133</v>
      </c>
      <c r="AR1125">
        <v>0</v>
      </c>
      <c r="AZ1125">
        <v>4552</v>
      </c>
      <c r="BA1125">
        <v>1</v>
      </c>
      <c r="BB1125" t="str">
        <f t="shared" si="53"/>
        <v xml:space="preserve">N607SR  </v>
      </c>
      <c r="BC1125">
        <v>1</v>
      </c>
      <c r="BE1125">
        <v>0</v>
      </c>
      <c r="BF1125">
        <v>0</v>
      </c>
      <c r="BG1125">
        <v>0</v>
      </c>
      <c r="BH1125">
        <v>2600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"06:15:23.074"</f>
        <v>06:15:23.074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457</v>
      </c>
      <c r="CR1125">
        <v>0</v>
      </c>
      <c r="CW1125">
        <v>15515152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"08/29/2020 06:15:19.874"</f>
        <v>08/29/2020 06:15:19.874</v>
      </c>
      <c r="C1126" t="str">
        <f t="shared" si="51"/>
        <v>FFDFD3C0</v>
      </c>
      <c r="D1126" t="s">
        <v>121</v>
      </c>
      <c r="E1126">
        <v>10</v>
      </c>
      <c r="F1126">
        <v>1010</v>
      </c>
      <c r="G1126" t="s">
        <v>114</v>
      </c>
      <c r="J1126" t="s">
        <v>123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"06:15:23.070"</f>
        <v>06:15:23.070</v>
      </c>
      <c r="T1126" t="str">
        <f>"06:15:22.670"</f>
        <v>06:15:22.670</v>
      </c>
      <c r="U1126" t="str">
        <f t="shared" si="52"/>
        <v>A7E2E0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0</v>
      </c>
      <c r="AI1126" t="s">
        <v>879</v>
      </c>
      <c r="AJ1126">
        <v>39.056482000000003</v>
      </c>
      <c r="AK1126" t="s">
        <v>880</v>
      </c>
      <c r="AL1126">
        <v>-87.516531999999998</v>
      </c>
      <c r="AM1126">
        <v>100</v>
      </c>
      <c r="AN1126">
        <v>2800</v>
      </c>
      <c r="AO1126" t="s">
        <v>118</v>
      </c>
      <c r="AP1126">
        <v>-101</v>
      </c>
      <c r="AQ1126">
        <v>-133</v>
      </c>
      <c r="AR1126">
        <v>0</v>
      </c>
      <c r="AZ1126">
        <v>4552</v>
      </c>
      <c r="BA1126">
        <v>1</v>
      </c>
      <c r="BB1126" t="str">
        <f t="shared" si="53"/>
        <v xml:space="preserve">N607SR  </v>
      </c>
      <c r="BC1126">
        <v>1</v>
      </c>
      <c r="BE1126">
        <v>0</v>
      </c>
      <c r="BF1126">
        <v>0</v>
      </c>
      <c r="BG1126">
        <v>0</v>
      </c>
      <c r="BH1126">
        <v>2600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"06:15:23.074"</f>
        <v>06:15:23.074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457</v>
      </c>
      <c r="CR1126">
        <v>0</v>
      </c>
      <c r="CW1126">
        <v>15515152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"08/29/2020 06:15:20.281"</f>
        <v>08/29/2020 06:15:20.281</v>
      </c>
      <c r="C1127" t="str">
        <f t="shared" si="51"/>
        <v>FFDFD3C0</v>
      </c>
      <c r="D1127" t="s">
        <v>128</v>
      </c>
      <c r="E1127">
        <v>5</v>
      </c>
      <c r="H1127">
        <v>241</v>
      </c>
      <c r="I1127" t="s">
        <v>129</v>
      </c>
      <c r="J1127" t="s">
        <v>130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"06:15:23.492"</f>
        <v>06:15:23.492</v>
      </c>
      <c r="U1127" t="str">
        <f t="shared" si="52"/>
        <v>A7E2E0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0</v>
      </c>
      <c r="AI1127" t="s">
        <v>881</v>
      </c>
      <c r="AJ1127">
        <v>39.056202999999996</v>
      </c>
      <c r="AK1127" t="s">
        <v>882</v>
      </c>
      <c r="AL1127">
        <v>-87.516789000000003</v>
      </c>
      <c r="AM1127">
        <v>100</v>
      </c>
      <c r="AN1127">
        <v>2800</v>
      </c>
      <c r="AO1127" t="s">
        <v>118</v>
      </c>
      <c r="AP1127">
        <v>-101</v>
      </c>
      <c r="AQ1127">
        <v>-133</v>
      </c>
      <c r="AR1127">
        <v>0</v>
      </c>
      <c r="AZ1127">
        <v>4552</v>
      </c>
      <c r="BA1127">
        <v>1</v>
      </c>
      <c r="BB1127" t="str">
        <f t="shared" si="53"/>
        <v xml:space="preserve">N607SR  </v>
      </c>
      <c r="BC1127">
        <v>1</v>
      </c>
      <c r="BE1127">
        <v>0</v>
      </c>
      <c r="BF1127">
        <v>0</v>
      </c>
      <c r="BG1127">
        <v>0</v>
      </c>
      <c r="BH1127">
        <v>2575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"06:15:23.497"</f>
        <v>06:15:23.497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457</v>
      </c>
      <c r="CR1127">
        <v>0</v>
      </c>
      <c r="CW1127">
        <v>15515164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"08/29/2020 06:15:20.281"</f>
        <v>08/29/2020 06:15:20.281</v>
      </c>
      <c r="C1128" t="str">
        <f t="shared" si="51"/>
        <v>FFDFD3C0</v>
      </c>
      <c r="D1128" t="s">
        <v>113</v>
      </c>
      <c r="E1128">
        <v>5</v>
      </c>
      <c r="H1128">
        <v>163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"06:15:23.492"</f>
        <v>06:15:23.492</v>
      </c>
      <c r="U1128" t="str">
        <f t="shared" si="52"/>
        <v>A7E2E0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0</v>
      </c>
      <c r="AI1128" t="s">
        <v>881</v>
      </c>
      <c r="AJ1128">
        <v>39.056202999999996</v>
      </c>
      <c r="AK1128" t="s">
        <v>882</v>
      </c>
      <c r="AL1128">
        <v>-87.516789000000003</v>
      </c>
      <c r="AM1128">
        <v>100</v>
      </c>
      <c r="AN1128">
        <v>2800</v>
      </c>
      <c r="AO1128" t="s">
        <v>118</v>
      </c>
      <c r="AP1128">
        <v>-101</v>
      </c>
      <c r="AQ1128">
        <v>-133</v>
      </c>
      <c r="AR1128">
        <v>0</v>
      </c>
      <c r="AZ1128">
        <v>4552</v>
      </c>
      <c r="BA1128">
        <v>1</v>
      </c>
      <c r="BB1128" t="str">
        <f t="shared" si="53"/>
        <v xml:space="preserve">N607SR  </v>
      </c>
      <c r="BC1128">
        <v>1</v>
      </c>
      <c r="BE1128">
        <v>0</v>
      </c>
      <c r="BF1128">
        <v>0</v>
      </c>
      <c r="BG1128">
        <v>0</v>
      </c>
      <c r="BH1128">
        <v>2575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"06:15:23.497"</f>
        <v>06:15:23.497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457</v>
      </c>
      <c r="CR1128">
        <v>0</v>
      </c>
      <c r="CW1128">
        <v>15515164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"08/29/2020 06:15:20.858"</f>
        <v>08/29/2020 06:15:20.858</v>
      </c>
      <c r="C1129" t="str">
        <f t="shared" si="51"/>
        <v>FFDFD3C0</v>
      </c>
      <c r="D1129" t="s">
        <v>121</v>
      </c>
      <c r="E1129">
        <v>10</v>
      </c>
      <c r="F1129">
        <v>1010</v>
      </c>
      <c r="G1129" t="s">
        <v>114</v>
      </c>
      <c r="J1129" t="s">
        <v>123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"06:15:24.039"</f>
        <v>06:15:24.039</v>
      </c>
      <c r="T1129" t="str">
        <f>"06:15:23.539"</f>
        <v>06:15:23.539</v>
      </c>
      <c r="U1129" t="str">
        <f t="shared" si="52"/>
        <v>A7E2E0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0</v>
      </c>
      <c r="AI1129" t="s">
        <v>883</v>
      </c>
      <c r="AJ1129">
        <v>39.055838999999999</v>
      </c>
      <c r="AK1129" t="s">
        <v>884</v>
      </c>
      <c r="AL1129">
        <v>-87.517089999999996</v>
      </c>
      <c r="AM1129">
        <v>100</v>
      </c>
      <c r="AN1129">
        <v>2800</v>
      </c>
      <c r="AO1129" t="s">
        <v>118</v>
      </c>
      <c r="AP1129">
        <v>-101</v>
      </c>
      <c r="AQ1129">
        <v>-133</v>
      </c>
      <c r="AR1129">
        <v>0</v>
      </c>
      <c r="AZ1129">
        <v>4552</v>
      </c>
      <c r="BA1129">
        <v>1</v>
      </c>
      <c r="BB1129" t="str">
        <f t="shared" si="53"/>
        <v xml:space="preserve">N607SR  </v>
      </c>
      <c r="BC1129">
        <v>1</v>
      </c>
      <c r="BE1129">
        <v>0</v>
      </c>
      <c r="BF1129">
        <v>0</v>
      </c>
      <c r="BG1129">
        <v>0</v>
      </c>
      <c r="BH1129">
        <v>2575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"06:15:24.044"</f>
        <v>06:15:24.044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457</v>
      </c>
      <c r="CR1129">
        <v>0</v>
      </c>
      <c r="CW1129">
        <v>15515178</v>
      </c>
      <c r="CY1129">
        <v>1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"08/29/2020 06:15:20.858"</f>
        <v>08/29/2020 06:15:20.858</v>
      </c>
      <c r="C1130" t="str">
        <f t="shared" si="51"/>
        <v>FFDFD3C0</v>
      </c>
      <c r="D1130" t="s">
        <v>121</v>
      </c>
      <c r="E1130">
        <v>11</v>
      </c>
      <c r="F1130">
        <v>1011</v>
      </c>
      <c r="G1130" t="s">
        <v>125</v>
      </c>
      <c r="J1130" t="s">
        <v>123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"06:15:24.039"</f>
        <v>06:15:24.039</v>
      </c>
      <c r="T1130" t="str">
        <f>"06:15:23.539"</f>
        <v>06:15:23.539</v>
      </c>
      <c r="U1130" t="str">
        <f t="shared" si="52"/>
        <v>A7E2E0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883</v>
      </c>
      <c r="AJ1130">
        <v>39.055838999999999</v>
      </c>
      <c r="AK1130" t="s">
        <v>884</v>
      </c>
      <c r="AL1130">
        <v>-87.517089999999996</v>
      </c>
      <c r="AM1130">
        <v>100</v>
      </c>
      <c r="AN1130">
        <v>2800</v>
      </c>
      <c r="AO1130" t="s">
        <v>118</v>
      </c>
      <c r="AP1130">
        <v>-101</v>
      </c>
      <c r="AQ1130">
        <v>-133</v>
      </c>
      <c r="AR1130">
        <v>0</v>
      </c>
      <c r="AZ1130">
        <v>4552</v>
      </c>
      <c r="BA1130">
        <v>1</v>
      </c>
      <c r="BB1130" t="str">
        <f t="shared" si="53"/>
        <v xml:space="preserve">N607SR  </v>
      </c>
      <c r="BC1130">
        <v>1</v>
      </c>
      <c r="BE1130">
        <v>0</v>
      </c>
      <c r="BF1130">
        <v>0</v>
      </c>
      <c r="BG1130">
        <v>0</v>
      </c>
      <c r="BH1130">
        <v>2575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"06:15:24.044"</f>
        <v>06:15:24.044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457</v>
      </c>
      <c r="CR1130">
        <v>0</v>
      </c>
      <c r="CW1130">
        <v>15515178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"08/29/2020 06:15:20.858"</f>
        <v>08/29/2020 06:15:20.858</v>
      </c>
      <c r="C1131" t="str">
        <f t="shared" si="51"/>
        <v>FFDFD3C0</v>
      </c>
      <c r="D1131" t="s">
        <v>121</v>
      </c>
      <c r="E1131">
        <v>13</v>
      </c>
      <c r="F1131">
        <v>1013</v>
      </c>
      <c r="G1131" t="s">
        <v>122</v>
      </c>
      <c r="J1131" t="s">
        <v>123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"06:15:24.039"</f>
        <v>06:15:24.039</v>
      </c>
      <c r="T1131" t="str">
        <f>"06:15:23.539"</f>
        <v>06:15:23.539</v>
      </c>
      <c r="U1131" t="str">
        <f t="shared" si="52"/>
        <v>A7E2E0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883</v>
      </c>
      <c r="AJ1131">
        <v>39.055838999999999</v>
      </c>
      <c r="AK1131" t="s">
        <v>884</v>
      </c>
      <c r="AL1131">
        <v>-87.517089999999996</v>
      </c>
      <c r="AM1131">
        <v>100</v>
      </c>
      <c r="AN1131">
        <v>2800</v>
      </c>
      <c r="AO1131" t="s">
        <v>118</v>
      </c>
      <c r="AP1131">
        <v>-101</v>
      </c>
      <c r="AQ1131">
        <v>-133</v>
      </c>
      <c r="AR1131">
        <v>0</v>
      </c>
      <c r="AZ1131">
        <v>4552</v>
      </c>
      <c r="BA1131">
        <v>1</v>
      </c>
      <c r="BB1131" t="str">
        <f t="shared" si="53"/>
        <v xml:space="preserve">N607SR  </v>
      </c>
      <c r="BC1131">
        <v>1</v>
      </c>
      <c r="BE1131">
        <v>0</v>
      </c>
      <c r="BF1131">
        <v>0</v>
      </c>
      <c r="BG1131">
        <v>0</v>
      </c>
      <c r="BH1131">
        <v>2575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"06:15:24.044"</f>
        <v>06:15:24.044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457</v>
      </c>
      <c r="CR1131">
        <v>0</v>
      </c>
      <c r="CW1131">
        <v>15515178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"08/29/2020 06:15:21.343"</f>
        <v>08/29/2020 06:15:21.343</v>
      </c>
      <c r="C1132" t="str">
        <f t="shared" si="51"/>
        <v>FFDFD3C0</v>
      </c>
      <c r="D1132" t="s">
        <v>128</v>
      </c>
      <c r="E1132">
        <v>5</v>
      </c>
      <c r="H1132">
        <v>241</v>
      </c>
      <c r="I1132" t="s">
        <v>129</v>
      </c>
      <c r="J1132" t="s">
        <v>130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"06:15:24.563"</f>
        <v>06:15:24.563</v>
      </c>
      <c r="T1132" t="str">
        <f>"06:15:24.063"</f>
        <v>06:15:24.063</v>
      </c>
      <c r="U1132" t="str">
        <f t="shared" si="52"/>
        <v>A7E2E0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885</v>
      </c>
      <c r="AJ1132">
        <v>39.055580999999997</v>
      </c>
      <c r="AK1132" t="s">
        <v>886</v>
      </c>
      <c r="AL1132">
        <v>-87.517390000000006</v>
      </c>
      <c r="AM1132">
        <v>100</v>
      </c>
      <c r="AN1132">
        <v>2800</v>
      </c>
      <c r="AO1132" t="s">
        <v>118</v>
      </c>
      <c r="AP1132">
        <v>-101</v>
      </c>
      <c r="AQ1132">
        <v>-133</v>
      </c>
      <c r="AR1132">
        <v>0</v>
      </c>
      <c r="AZ1132">
        <v>4552</v>
      </c>
      <c r="BA1132">
        <v>1</v>
      </c>
      <c r="BB1132" t="str">
        <f t="shared" si="53"/>
        <v xml:space="preserve">N607SR  </v>
      </c>
      <c r="BC1132">
        <v>1</v>
      </c>
      <c r="BE1132">
        <v>0</v>
      </c>
      <c r="BF1132">
        <v>0</v>
      </c>
      <c r="BG1132">
        <v>0</v>
      </c>
      <c r="BH1132">
        <v>2575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"06:15:24.567"</f>
        <v>06:15:24.567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457</v>
      </c>
      <c r="CR1132">
        <v>0</v>
      </c>
      <c r="CW1132">
        <v>15515192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"08/29/2020 06:15:21.343"</f>
        <v>08/29/2020 06:15:21.343</v>
      </c>
      <c r="C1133" t="str">
        <f t="shared" si="51"/>
        <v>FFDFD3C0</v>
      </c>
      <c r="D1133" t="s">
        <v>113</v>
      </c>
      <c r="E1133">
        <v>5</v>
      </c>
      <c r="H1133">
        <v>163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"06:15:24.563"</f>
        <v>06:15:24.563</v>
      </c>
      <c r="T1133" t="str">
        <f>"06:15:24.063"</f>
        <v>06:15:24.063</v>
      </c>
      <c r="U1133" t="str">
        <f t="shared" si="52"/>
        <v>A7E2E0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885</v>
      </c>
      <c r="AJ1133">
        <v>39.055580999999997</v>
      </c>
      <c r="AK1133" t="s">
        <v>886</v>
      </c>
      <c r="AL1133">
        <v>-87.517390000000006</v>
      </c>
      <c r="AM1133">
        <v>100</v>
      </c>
      <c r="AN1133">
        <v>2800</v>
      </c>
      <c r="AO1133" t="s">
        <v>118</v>
      </c>
      <c r="AP1133">
        <v>-101</v>
      </c>
      <c r="AQ1133">
        <v>-133</v>
      </c>
      <c r="AR1133">
        <v>0</v>
      </c>
      <c r="AZ1133">
        <v>4552</v>
      </c>
      <c r="BA1133">
        <v>1</v>
      </c>
      <c r="BB1133" t="str">
        <f t="shared" si="53"/>
        <v xml:space="preserve">N607SR  </v>
      </c>
      <c r="BC1133">
        <v>1</v>
      </c>
      <c r="BE1133">
        <v>0</v>
      </c>
      <c r="BF1133">
        <v>0</v>
      </c>
      <c r="BG1133">
        <v>0</v>
      </c>
      <c r="BH1133">
        <v>2575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"06:15:24.567"</f>
        <v>06:15:24.567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457</v>
      </c>
      <c r="CR1133">
        <v>0</v>
      </c>
      <c r="CW1133">
        <v>15515192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"08/29/2020 06:15:21.877"</f>
        <v>08/29/2020 06:15:21.877</v>
      </c>
      <c r="C1134" t="str">
        <f t="shared" si="51"/>
        <v>FFDFD3C0</v>
      </c>
      <c r="D1134" t="s">
        <v>121</v>
      </c>
      <c r="E1134">
        <v>11</v>
      </c>
      <c r="F1134">
        <v>1011</v>
      </c>
      <c r="G1134" t="s">
        <v>125</v>
      </c>
      <c r="J1134" t="s">
        <v>123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"06:15:25.109"</f>
        <v>06:15:25.109</v>
      </c>
      <c r="T1134" t="str">
        <f>"06:15:24.609"</f>
        <v>06:15:24.609</v>
      </c>
      <c r="U1134" t="str">
        <f t="shared" si="52"/>
        <v>A7E2E0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887</v>
      </c>
      <c r="AJ1134">
        <v>39.055152</v>
      </c>
      <c r="AK1134" t="s">
        <v>888</v>
      </c>
      <c r="AL1134">
        <v>-87.517797999999999</v>
      </c>
      <c r="AM1134">
        <v>100</v>
      </c>
      <c r="AN1134">
        <v>2800</v>
      </c>
      <c r="AO1134" t="s">
        <v>118</v>
      </c>
      <c r="AP1134">
        <v>-101</v>
      </c>
      <c r="AQ1134">
        <v>-133</v>
      </c>
      <c r="AR1134">
        <v>0</v>
      </c>
      <c r="AZ1134">
        <v>4552</v>
      </c>
      <c r="BA1134">
        <v>1</v>
      </c>
      <c r="BB1134" t="str">
        <f t="shared" si="53"/>
        <v xml:space="preserve">N607SR  </v>
      </c>
      <c r="BC1134">
        <v>1</v>
      </c>
      <c r="BE1134">
        <v>0</v>
      </c>
      <c r="BF1134">
        <v>0</v>
      </c>
      <c r="BG1134">
        <v>0</v>
      </c>
      <c r="BH1134">
        <v>2575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"06:15:25.115"</f>
        <v>06:15:25.115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457</v>
      </c>
      <c r="CR1134">
        <v>0</v>
      </c>
      <c r="CW1134">
        <v>15515208</v>
      </c>
      <c r="CY1134">
        <v>1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"08/29/2020 06:15:21.877"</f>
        <v>08/29/2020 06:15:21.877</v>
      </c>
      <c r="C1135" t="str">
        <f t="shared" si="51"/>
        <v>FFDFD3C0</v>
      </c>
      <c r="D1135" t="s">
        <v>121</v>
      </c>
      <c r="E1135">
        <v>10</v>
      </c>
      <c r="F1135">
        <v>1010</v>
      </c>
      <c r="G1135" t="s">
        <v>114</v>
      </c>
      <c r="J1135" t="s">
        <v>123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"06:15:25.109"</f>
        <v>06:15:25.109</v>
      </c>
      <c r="U1135" t="str">
        <f t="shared" si="52"/>
        <v>A7E2E0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887</v>
      </c>
      <c r="AJ1135">
        <v>39.055152</v>
      </c>
      <c r="AK1135" t="s">
        <v>888</v>
      </c>
      <c r="AL1135">
        <v>-87.517797999999999</v>
      </c>
      <c r="AM1135">
        <v>100</v>
      </c>
      <c r="AN1135">
        <v>2800</v>
      </c>
      <c r="AO1135" t="s">
        <v>118</v>
      </c>
      <c r="AP1135">
        <v>-101</v>
      </c>
      <c r="AQ1135">
        <v>-134</v>
      </c>
      <c r="AR1135">
        <v>0</v>
      </c>
      <c r="AZ1135">
        <v>4552</v>
      </c>
      <c r="BA1135">
        <v>1</v>
      </c>
      <c r="BB1135" t="str">
        <f t="shared" si="53"/>
        <v xml:space="preserve">N607SR  </v>
      </c>
      <c r="BC1135">
        <v>1</v>
      </c>
      <c r="BE1135">
        <v>0</v>
      </c>
      <c r="BF1135">
        <v>0</v>
      </c>
      <c r="BG1135">
        <v>0</v>
      </c>
      <c r="BH1135">
        <v>2600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"06:15:25.116"</f>
        <v>06:15:25.116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4</v>
      </c>
      <c r="CP1135" t="s">
        <v>119</v>
      </c>
      <c r="CQ1135">
        <v>465</v>
      </c>
      <c r="CR1135">
        <v>0</v>
      </c>
      <c r="CW1135">
        <v>4719088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"08/29/2020 06:15:21.877"</f>
        <v>08/29/2020 06:15:21.877</v>
      </c>
      <c r="C1136" t="str">
        <f t="shared" si="51"/>
        <v>FFDFD3C0</v>
      </c>
      <c r="D1136" t="s">
        <v>121</v>
      </c>
      <c r="E1136">
        <v>13</v>
      </c>
      <c r="F1136">
        <v>1013</v>
      </c>
      <c r="G1136" t="s">
        <v>122</v>
      </c>
      <c r="J1136" t="s">
        <v>123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"06:15:25.109"</f>
        <v>06:15:25.109</v>
      </c>
      <c r="U1136" t="str">
        <f t="shared" si="52"/>
        <v>A7E2E0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887</v>
      </c>
      <c r="AJ1136">
        <v>39.055152</v>
      </c>
      <c r="AK1136" t="s">
        <v>888</v>
      </c>
      <c r="AL1136">
        <v>-87.517797999999999</v>
      </c>
      <c r="AM1136">
        <v>100</v>
      </c>
      <c r="AN1136">
        <v>2800</v>
      </c>
      <c r="AO1136" t="s">
        <v>118</v>
      </c>
      <c r="AP1136">
        <v>-101</v>
      </c>
      <c r="AQ1136">
        <v>-134</v>
      </c>
      <c r="AR1136">
        <v>0</v>
      </c>
      <c r="AZ1136">
        <v>4552</v>
      </c>
      <c r="BA1136">
        <v>1</v>
      </c>
      <c r="BB1136" t="str">
        <f t="shared" si="53"/>
        <v xml:space="preserve">N607SR  </v>
      </c>
      <c r="BC1136">
        <v>1</v>
      </c>
      <c r="BE1136">
        <v>0</v>
      </c>
      <c r="BF1136">
        <v>0</v>
      </c>
      <c r="BG1136">
        <v>0</v>
      </c>
      <c r="BH1136">
        <v>2600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"06:15:25.116"</f>
        <v>06:15:25.116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4</v>
      </c>
      <c r="CP1136" t="s">
        <v>119</v>
      </c>
      <c r="CQ1136">
        <v>465</v>
      </c>
      <c r="CR1136">
        <v>0</v>
      </c>
      <c r="CW1136">
        <v>4719088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"08/29/2020 06:15:22.358"</f>
        <v>08/29/2020 06:15:22.358</v>
      </c>
      <c r="C1137" t="str">
        <f t="shared" si="51"/>
        <v>FFDFD3C0</v>
      </c>
      <c r="D1137" t="s">
        <v>113</v>
      </c>
      <c r="E1137">
        <v>5</v>
      </c>
      <c r="H1137">
        <v>163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"06:15:25.586"</f>
        <v>06:15:25.586</v>
      </c>
      <c r="U1137" t="str">
        <f t="shared" si="52"/>
        <v>A7E2E0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889</v>
      </c>
      <c r="AJ1137">
        <v>39.054937000000002</v>
      </c>
      <c r="AK1137" t="s">
        <v>890</v>
      </c>
      <c r="AL1137">
        <v>-87.518055000000004</v>
      </c>
      <c r="AM1137">
        <v>100</v>
      </c>
      <c r="AN1137">
        <v>2800</v>
      </c>
      <c r="AO1137" t="s">
        <v>118</v>
      </c>
      <c r="AP1137">
        <v>-101</v>
      </c>
      <c r="AQ1137">
        <v>-134</v>
      </c>
      <c r="AR1137">
        <v>0</v>
      </c>
      <c r="AZ1137">
        <v>4552</v>
      </c>
      <c r="BA1137">
        <v>1</v>
      </c>
      <c r="BB1137" t="str">
        <f t="shared" si="53"/>
        <v xml:space="preserve">N607SR  </v>
      </c>
      <c r="BC1137">
        <v>1</v>
      </c>
      <c r="BE1137">
        <v>0</v>
      </c>
      <c r="BF1137">
        <v>0</v>
      </c>
      <c r="BG1137">
        <v>0</v>
      </c>
      <c r="BH1137">
        <v>2600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"06:15:25.589"</f>
        <v>06:15:25.589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457</v>
      </c>
      <c r="CR1137">
        <v>0</v>
      </c>
      <c r="CW1137">
        <v>15515217</v>
      </c>
      <c r="CY1137">
        <v>1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"08/29/2020 06:15:22.358"</f>
        <v>08/29/2020 06:15:22.358</v>
      </c>
      <c r="C1138" t="str">
        <f t="shared" si="51"/>
        <v>FFDFD3C0</v>
      </c>
      <c r="D1138" t="s">
        <v>128</v>
      </c>
      <c r="E1138">
        <v>5</v>
      </c>
      <c r="H1138">
        <v>241</v>
      </c>
      <c r="I1138" t="s">
        <v>129</v>
      </c>
      <c r="J1138" t="s">
        <v>130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"06:15:25.586"</f>
        <v>06:15:25.586</v>
      </c>
      <c r="U1138" t="str">
        <f t="shared" si="52"/>
        <v>A7E2E0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889</v>
      </c>
      <c r="AJ1138">
        <v>39.054937000000002</v>
      </c>
      <c r="AK1138" t="s">
        <v>890</v>
      </c>
      <c r="AL1138">
        <v>-87.518055000000004</v>
      </c>
      <c r="AM1138">
        <v>100</v>
      </c>
      <c r="AN1138">
        <v>2800</v>
      </c>
      <c r="AO1138" t="s">
        <v>118</v>
      </c>
      <c r="AP1138">
        <v>-101</v>
      </c>
      <c r="AQ1138">
        <v>-134</v>
      </c>
      <c r="AR1138">
        <v>0</v>
      </c>
      <c r="AZ1138">
        <v>4552</v>
      </c>
      <c r="BA1138">
        <v>1</v>
      </c>
      <c r="BB1138" t="str">
        <f t="shared" si="53"/>
        <v xml:space="preserve">N607SR  </v>
      </c>
      <c r="BC1138">
        <v>1</v>
      </c>
      <c r="BE1138">
        <v>0</v>
      </c>
      <c r="BF1138">
        <v>0</v>
      </c>
      <c r="BG1138">
        <v>0</v>
      </c>
      <c r="BH1138">
        <v>2600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"06:15:25.589"</f>
        <v>06:15:25.589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457</v>
      </c>
      <c r="CR1138">
        <v>0</v>
      </c>
      <c r="CW1138">
        <v>15515217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"08/29/2020 06:15:22.995"</f>
        <v>08/29/2020 06:15:22.995</v>
      </c>
      <c r="C1139" t="str">
        <f t="shared" si="51"/>
        <v>FFDFD3C0</v>
      </c>
      <c r="D1139" t="s">
        <v>121</v>
      </c>
      <c r="E1139">
        <v>11</v>
      </c>
      <c r="F1139">
        <v>1011</v>
      </c>
      <c r="G1139" t="s">
        <v>125</v>
      </c>
      <c r="J1139" t="s">
        <v>123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"06:15:26.180"</f>
        <v>06:15:26.180</v>
      </c>
      <c r="T1139" t="str">
        <f>"06:15:25.680"</f>
        <v>06:15:25.680</v>
      </c>
      <c r="U1139" t="str">
        <f t="shared" si="52"/>
        <v>A7E2E0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891</v>
      </c>
      <c r="AJ1139">
        <v>39.054572999999998</v>
      </c>
      <c r="AK1139" t="s">
        <v>892</v>
      </c>
      <c r="AL1139">
        <v>-87.518399000000002</v>
      </c>
      <c r="AM1139">
        <v>100</v>
      </c>
      <c r="AN1139">
        <v>2800</v>
      </c>
      <c r="AO1139" t="s">
        <v>118</v>
      </c>
      <c r="AP1139">
        <v>-101</v>
      </c>
      <c r="AQ1139">
        <v>-134</v>
      </c>
      <c r="AR1139">
        <v>0</v>
      </c>
      <c r="AZ1139">
        <v>4552</v>
      </c>
      <c r="BA1139">
        <v>1</v>
      </c>
      <c r="BB1139" t="str">
        <f t="shared" si="53"/>
        <v xml:space="preserve">N607SR  </v>
      </c>
      <c r="BC1139">
        <v>1</v>
      </c>
      <c r="BE1139">
        <v>0</v>
      </c>
      <c r="BF1139">
        <v>0</v>
      </c>
      <c r="BG1139">
        <v>0</v>
      </c>
      <c r="BH1139">
        <v>2600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"06:15:26.180"</f>
        <v>06:15:26.180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6</v>
      </c>
      <c r="CP1139" t="s">
        <v>119</v>
      </c>
      <c r="CQ1139">
        <v>457</v>
      </c>
      <c r="CR1139">
        <v>0</v>
      </c>
      <c r="CW1139">
        <v>15515233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"08/29/2020 06:15:22.995"</f>
        <v>08/29/2020 06:15:22.995</v>
      </c>
      <c r="C1140" t="str">
        <f t="shared" si="51"/>
        <v>FFDFD3C0</v>
      </c>
      <c r="D1140" t="s">
        <v>121</v>
      </c>
      <c r="E1140">
        <v>10</v>
      </c>
      <c r="F1140">
        <v>1010</v>
      </c>
      <c r="G1140" t="s">
        <v>114</v>
      </c>
      <c r="J1140" t="s">
        <v>123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"06:15:26.180"</f>
        <v>06:15:26.180</v>
      </c>
      <c r="U1140" t="str">
        <f t="shared" si="52"/>
        <v>A7E2E0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891</v>
      </c>
      <c r="AJ1140">
        <v>39.054572999999998</v>
      </c>
      <c r="AK1140" t="s">
        <v>892</v>
      </c>
      <c r="AL1140">
        <v>-87.518399000000002</v>
      </c>
      <c r="AM1140">
        <v>100</v>
      </c>
      <c r="AN1140">
        <v>2800</v>
      </c>
      <c r="AO1140" t="s">
        <v>118</v>
      </c>
      <c r="AP1140">
        <v>-101</v>
      </c>
      <c r="AQ1140">
        <v>-134</v>
      </c>
      <c r="AR1140">
        <v>0</v>
      </c>
      <c r="AZ1140">
        <v>4552</v>
      </c>
      <c r="BA1140">
        <v>1</v>
      </c>
      <c r="BB1140" t="str">
        <f t="shared" si="53"/>
        <v xml:space="preserve">N607SR  </v>
      </c>
      <c r="BC1140">
        <v>1</v>
      </c>
      <c r="BE1140">
        <v>0</v>
      </c>
      <c r="BF1140">
        <v>0</v>
      </c>
      <c r="BG1140">
        <v>0</v>
      </c>
      <c r="BH1140">
        <v>2600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"06:15:26.181"</f>
        <v>06:15:26.181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4</v>
      </c>
      <c r="CP1140" t="s">
        <v>119</v>
      </c>
      <c r="CQ1140">
        <v>465</v>
      </c>
      <c r="CR1140">
        <v>0</v>
      </c>
      <c r="CW1140">
        <v>4719120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"08/29/2020 06:15:22.995"</f>
        <v>08/29/2020 06:15:22.995</v>
      </c>
      <c r="C1141" t="str">
        <f t="shared" si="51"/>
        <v>FFDFD3C0</v>
      </c>
      <c r="D1141" t="s">
        <v>121</v>
      </c>
      <c r="E1141">
        <v>13</v>
      </c>
      <c r="F1141">
        <v>1013</v>
      </c>
      <c r="G1141" t="s">
        <v>122</v>
      </c>
      <c r="J1141" t="s">
        <v>123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"06:15:26.180"</f>
        <v>06:15:26.180</v>
      </c>
      <c r="U1141" t="str">
        <f t="shared" si="52"/>
        <v>A7E2E0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891</v>
      </c>
      <c r="AJ1141">
        <v>39.054572999999998</v>
      </c>
      <c r="AK1141" t="s">
        <v>892</v>
      </c>
      <c r="AL1141">
        <v>-87.518399000000002</v>
      </c>
      <c r="AM1141">
        <v>100</v>
      </c>
      <c r="AN1141">
        <v>2800</v>
      </c>
      <c r="AO1141" t="s">
        <v>118</v>
      </c>
      <c r="AP1141">
        <v>-101</v>
      </c>
      <c r="AQ1141">
        <v>-134</v>
      </c>
      <c r="AR1141">
        <v>0</v>
      </c>
      <c r="AZ1141">
        <v>4552</v>
      </c>
      <c r="BA1141">
        <v>1</v>
      </c>
      <c r="BB1141" t="str">
        <f t="shared" si="53"/>
        <v xml:space="preserve">N607SR  </v>
      </c>
      <c r="BC1141">
        <v>1</v>
      </c>
      <c r="BE1141">
        <v>0</v>
      </c>
      <c r="BF1141">
        <v>0</v>
      </c>
      <c r="BG1141">
        <v>0</v>
      </c>
      <c r="BH1141">
        <v>2600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"06:15:26.181"</f>
        <v>06:15:26.181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4</v>
      </c>
      <c r="CP1141" t="s">
        <v>119</v>
      </c>
      <c r="CQ1141">
        <v>465</v>
      </c>
      <c r="CR1141">
        <v>0</v>
      </c>
      <c r="CW1141">
        <v>4719120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"08/29/2020 06:15:23.575"</f>
        <v>08/29/2020 06:15:23.575</v>
      </c>
      <c r="C1142" t="str">
        <f t="shared" si="51"/>
        <v>FFDFD3C0</v>
      </c>
      <c r="D1142" t="s">
        <v>128</v>
      </c>
      <c r="E1142">
        <v>5</v>
      </c>
      <c r="H1142">
        <v>241</v>
      </c>
      <c r="I1142" t="s">
        <v>129</v>
      </c>
      <c r="J1142" t="s">
        <v>130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"06:15:26.766"</f>
        <v>06:15:26.766</v>
      </c>
      <c r="T1142" t="str">
        <f>"06:15:26.266"</f>
        <v>06:15:26.266</v>
      </c>
      <c r="U1142" t="str">
        <f t="shared" si="52"/>
        <v>A7E2E0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893</v>
      </c>
      <c r="AJ1142">
        <v>39.054208000000003</v>
      </c>
      <c r="AK1142" t="s">
        <v>894</v>
      </c>
      <c r="AL1142">
        <v>-87.518764000000004</v>
      </c>
      <c r="AM1142">
        <v>100</v>
      </c>
      <c r="AN1142">
        <v>2800</v>
      </c>
      <c r="AO1142" t="s">
        <v>118</v>
      </c>
      <c r="AP1142">
        <v>-101</v>
      </c>
      <c r="AQ1142">
        <v>-134</v>
      </c>
      <c r="AR1142">
        <v>0</v>
      </c>
      <c r="AZ1142">
        <v>4552</v>
      </c>
      <c r="BA1142">
        <v>1</v>
      </c>
      <c r="BB1142" t="str">
        <f t="shared" si="53"/>
        <v xml:space="preserve">N607SR  </v>
      </c>
      <c r="BC1142">
        <v>1</v>
      </c>
      <c r="BE1142">
        <v>0</v>
      </c>
      <c r="BF1142">
        <v>0</v>
      </c>
      <c r="BG1142">
        <v>0</v>
      </c>
      <c r="BH1142">
        <v>2600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"06:15:26.772"</f>
        <v>06:15:26.772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457</v>
      </c>
      <c r="CR1142">
        <v>0</v>
      </c>
      <c r="CW1142">
        <v>15515247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"08/29/2020 06:15:23.575"</f>
        <v>08/29/2020 06:15:23.575</v>
      </c>
      <c r="C1143" t="str">
        <f t="shared" si="51"/>
        <v>FFDFD3C0</v>
      </c>
      <c r="D1143" t="s">
        <v>113</v>
      </c>
      <c r="E1143">
        <v>5</v>
      </c>
      <c r="H1143">
        <v>163</v>
      </c>
      <c r="I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"06:15:26.766"</f>
        <v>06:15:26.766</v>
      </c>
      <c r="T1143" t="str">
        <f>"06:15:26.266"</f>
        <v>06:15:26.266</v>
      </c>
      <c r="U1143" t="str">
        <f t="shared" si="52"/>
        <v>A7E2E0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893</v>
      </c>
      <c r="AJ1143">
        <v>39.054208000000003</v>
      </c>
      <c r="AK1143" t="s">
        <v>894</v>
      </c>
      <c r="AL1143">
        <v>-87.518764000000004</v>
      </c>
      <c r="AM1143">
        <v>100</v>
      </c>
      <c r="AN1143">
        <v>2800</v>
      </c>
      <c r="AO1143" t="s">
        <v>118</v>
      </c>
      <c r="AP1143">
        <v>-101</v>
      </c>
      <c r="AQ1143">
        <v>-134</v>
      </c>
      <c r="AR1143">
        <v>0</v>
      </c>
      <c r="AZ1143">
        <v>4552</v>
      </c>
      <c r="BA1143">
        <v>1</v>
      </c>
      <c r="BB1143" t="str">
        <f t="shared" si="53"/>
        <v xml:space="preserve">N607SR  </v>
      </c>
      <c r="BC1143">
        <v>1</v>
      </c>
      <c r="BE1143">
        <v>0</v>
      </c>
      <c r="BF1143">
        <v>0</v>
      </c>
      <c r="BG1143">
        <v>0</v>
      </c>
      <c r="BH1143">
        <v>2600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"06:15:26.772"</f>
        <v>06:15:26.772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457</v>
      </c>
      <c r="CR1143">
        <v>0</v>
      </c>
      <c r="CW1143">
        <v>15515247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"08/29/2020 06:15:24.027"</f>
        <v>08/29/2020 06:15:24.027</v>
      </c>
      <c r="C1144" t="str">
        <f t="shared" si="51"/>
        <v>FFDFD3C0</v>
      </c>
      <c r="D1144" t="s">
        <v>121</v>
      </c>
      <c r="E1144">
        <v>13</v>
      </c>
      <c r="F1144">
        <v>1013</v>
      </c>
      <c r="G1144" t="s">
        <v>122</v>
      </c>
      <c r="J1144" t="s">
        <v>123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"06:15:27.219"</f>
        <v>06:15:27.219</v>
      </c>
      <c r="T1144" t="str">
        <f>"06:15:26.819"</f>
        <v>06:15:26.819</v>
      </c>
      <c r="U1144" t="str">
        <f t="shared" si="52"/>
        <v>A7E2E0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895</v>
      </c>
      <c r="AJ1144">
        <v>39.053885999999999</v>
      </c>
      <c r="AK1144" t="s">
        <v>896</v>
      </c>
      <c r="AL1144">
        <v>-87.519041999999999</v>
      </c>
      <c r="AM1144">
        <v>100</v>
      </c>
      <c r="AN1144">
        <v>2800</v>
      </c>
      <c r="AO1144" t="s">
        <v>118</v>
      </c>
      <c r="AP1144">
        <v>-101</v>
      </c>
      <c r="AQ1144">
        <v>-134</v>
      </c>
      <c r="AR1144">
        <v>0</v>
      </c>
      <c r="AZ1144">
        <v>4552</v>
      </c>
      <c r="BA1144">
        <v>1</v>
      </c>
      <c r="BB1144" t="str">
        <f t="shared" si="53"/>
        <v xml:space="preserve">N607SR  </v>
      </c>
      <c r="BC1144">
        <v>1</v>
      </c>
      <c r="BE1144">
        <v>0</v>
      </c>
      <c r="BF1144">
        <v>0</v>
      </c>
      <c r="BG1144">
        <v>0</v>
      </c>
      <c r="BH1144">
        <v>2600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"06:15:27.222"</f>
        <v>06:15:27.222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457</v>
      </c>
      <c r="CR1144">
        <v>0</v>
      </c>
      <c r="CW1144">
        <v>15515261</v>
      </c>
      <c r="CY1144">
        <v>1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"08/29/2020 06:15:24.027"</f>
        <v>08/29/2020 06:15:24.027</v>
      </c>
      <c r="C1145" t="str">
        <f t="shared" si="51"/>
        <v>FFDFD3C0</v>
      </c>
      <c r="D1145" t="s">
        <v>121</v>
      </c>
      <c r="E1145">
        <v>10</v>
      </c>
      <c r="F1145">
        <v>1010</v>
      </c>
      <c r="G1145" t="s">
        <v>114</v>
      </c>
      <c r="J1145" t="s">
        <v>123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"06:15:27.219"</f>
        <v>06:15:27.219</v>
      </c>
      <c r="T1145" t="str">
        <f>"06:15:26.819"</f>
        <v>06:15:26.819</v>
      </c>
      <c r="U1145" t="str">
        <f t="shared" si="52"/>
        <v>A7E2E0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895</v>
      </c>
      <c r="AJ1145">
        <v>39.053885999999999</v>
      </c>
      <c r="AK1145" t="s">
        <v>896</v>
      </c>
      <c r="AL1145">
        <v>-87.519041999999999</v>
      </c>
      <c r="AM1145">
        <v>100</v>
      </c>
      <c r="AN1145">
        <v>2800</v>
      </c>
      <c r="AO1145" t="s">
        <v>118</v>
      </c>
      <c r="AP1145">
        <v>-101</v>
      </c>
      <c r="AQ1145">
        <v>-134</v>
      </c>
      <c r="AR1145">
        <v>0</v>
      </c>
      <c r="AZ1145">
        <v>4552</v>
      </c>
      <c r="BA1145">
        <v>1</v>
      </c>
      <c r="BB1145" t="str">
        <f t="shared" si="53"/>
        <v xml:space="preserve">N607SR  </v>
      </c>
      <c r="BC1145">
        <v>1</v>
      </c>
      <c r="BE1145">
        <v>0</v>
      </c>
      <c r="BF1145">
        <v>0</v>
      </c>
      <c r="BG1145">
        <v>0</v>
      </c>
      <c r="BH1145">
        <v>2600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"06:15:27.222"</f>
        <v>06:15:27.222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457</v>
      </c>
      <c r="CR1145">
        <v>0</v>
      </c>
      <c r="CW1145">
        <v>15515261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"08/29/2020 06:15:24.027"</f>
        <v>08/29/2020 06:15:24.027</v>
      </c>
      <c r="C1146" t="str">
        <f t="shared" si="51"/>
        <v>FFDFD3C0</v>
      </c>
      <c r="D1146" t="s">
        <v>121</v>
      </c>
      <c r="E1146">
        <v>11</v>
      </c>
      <c r="F1146">
        <v>1011</v>
      </c>
      <c r="G1146" t="s">
        <v>125</v>
      </c>
      <c r="J1146" t="s">
        <v>123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"06:15:27.219"</f>
        <v>06:15:27.219</v>
      </c>
      <c r="T1146" t="str">
        <f>"06:15:26.819"</f>
        <v>06:15:26.819</v>
      </c>
      <c r="U1146" t="str">
        <f t="shared" si="52"/>
        <v>A7E2E0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895</v>
      </c>
      <c r="AJ1146">
        <v>39.053885999999999</v>
      </c>
      <c r="AK1146" t="s">
        <v>896</v>
      </c>
      <c r="AL1146">
        <v>-87.519041999999999</v>
      </c>
      <c r="AM1146">
        <v>100</v>
      </c>
      <c r="AN1146">
        <v>2800</v>
      </c>
      <c r="AO1146" t="s">
        <v>118</v>
      </c>
      <c r="AP1146">
        <v>-101</v>
      </c>
      <c r="AQ1146">
        <v>-134</v>
      </c>
      <c r="AR1146">
        <v>0</v>
      </c>
      <c r="AZ1146">
        <v>4552</v>
      </c>
      <c r="BA1146">
        <v>1</v>
      </c>
      <c r="BB1146" t="str">
        <f t="shared" si="53"/>
        <v xml:space="preserve">N607SR  </v>
      </c>
      <c r="BC1146">
        <v>1</v>
      </c>
      <c r="BE1146">
        <v>0</v>
      </c>
      <c r="BF1146">
        <v>0</v>
      </c>
      <c r="BG1146">
        <v>0</v>
      </c>
      <c r="BH1146">
        <v>2600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"06:15:27.222"</f>
        <v>06:15:27.222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457</v>
      </c>
      <c r="CR1146">
        <v>0</v>
      </c>
      <c r="CW1146">
        <v>15515261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"08/29/2020 06:15:24.588"</f>
        <v>08/29/2020 06:15:24.588</v>
      </c>
      <c r="C1147" t="str">
        <f t="shared" si="51"/>
        <v>FFDFD3C0</v>
      </c>
      <c r="D1147" t="s">
        <v>128</v>
      </c>
      <c r="E1147">
        <v>5</v>
      </c>
      <c r="H1147">
        <v>241</v>
      </c>
      <c r="I1147" t="s">
        <v>129</v>
      </c>
      <c r="J1147" t="s">
        <v>130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"06:15:27.773"</f>
        <v>06:15:27.773</v>
      </c>
      <c r="U1147" t="str">
        <f t="shared" si="52"/>
        <v>A7E2E0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897</v>
      </c>
      <c r="AJ1147">
        <v>39.053564000000001</v>
      </c>
      <c r="AK1147" t="s">
        <v>898</v>
      </c>
      <c r="AL1147">
        <v>-87.519363999999996</v>
      </c>
      <c r="AM1147">
        <v>100</v>
      </c>
      <c r="AN1147">
        <v>2800</v>
      </c>
      <c r="AO1147" t="s">
        <v>118</v>
      </c>
      <c r="AP1147">
        <v>-101</v>
      </c>
      <c r="AQ1147">
        <v>-134</v>
      </c>
      <c r="AR1147">
        <v>0</v>
      </c>
      <c r="AZ1147">
        <v>4552</v>
      </c>
      <c r="BA1147">
        <v>1</v>
      </c>
      <c r="BB1147" t="str">
        <f t="shared" si="53"/>
        <v xml:space="preserve">N607SR  </v>
      </c>
      <c r="BC1147">
        <v>1</v>
      </c>
      <c r="BE1147">
        <v>0</v>
      </c>
      <c r="BF1147">
        <v>0</v>
      </c>
      <c r="BG1147">
        <v>0</v>
      </c>
      <c r="BH1147">
        <v>2600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"06:15:27.781"</f>
        <v>06:15:27.781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457</v>
      </c>
      <c r="CR1147">
        <v>0</v>
      </c>
      <c r="CW1147">
        <v>15515274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"08/29/2020 06:15:24.588"</f>
        <v>08/29/2020 06:15:24.588</v>
      </c>
      <c r="C1148" t="str">
        <f t="shared" si="51"/>
        <v>FFDFD3C0</v>
      </c>
      <c r="D1148" t="s">
        <v>113</v>
      </c>
      <c r="E1148">
        <v>5</v>
      </c>
      <c r="H1148">
        <v>163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"06:15:27.773"</f>
        <v>06:15:27.773</v>
      </c>
      <c r="U1148" t="str">
        <f t="shared" si="52"/>
        <v>A7E2E0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897</v>
      </c>
      <c r="AJ1148">
        <v>39.053564000000001</v>
      </c>
      <c r="AK1148" t="s">
        <v>898</v>
      </c>
      <c r="AL1148">
        <v>-87.519363999999996</v>
      </c>
      <c r="AM1148">
        <v>100</v>
      </c>
      <c r="AN1148">
        <v>2800</v>
      </c>
      <c r="AO1148" t="s">
        <v>118</v>
      </c>
      <c r="AP1148">
        <v>-101</v>
      </c>
      <c r="AQ1148">
        <v>-134</v>
      </c>
      <c r="AR1148">
        <v>0</v>
      </c>
      <c r="AZ1148">
        <v>4552</v>
      </c>
      <c r="BA1148">
        <v>1</v>
      </c>
      <c r="BB1148" t="str">
        <f t="shared" si="53"/>
        <v xml:space="preserve">N607SR  </v>
      </c>
      <c r="BC1148">
        <v>1</v>
      </c>
      <c r="BE1148">
        <v>0</v>
      </c>
      <c r="BF1148">
        <v>0</v>
      </c>
      <c r="BG1148">
        <v>0</v>
      </c>
      <c r="BH1148">
        <v>2600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"06:15:27.781"</f>
        <v>06:15:27.781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457</v>
      </c>
      <c r="CR1148">
        <v>0</v>
      </c>
      <c r="CW1148">
        <v>15515274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"08/29/2020 06:15:25.177"</f>
        <v>08/29/2020 06:15:25.177</v>
      </c>
      <c r="C1149" t="str">
        <f t="shared" si="51"/>
        <v>FFDFD3C0</v>
      </c>
      <c r="D1149" t="s">
        <v>121</v>
      </c>
      <c r="E1149">
        <v>11</v>
      </c>
      <c r="F1149">
        <v>1011</v>
      </c>
      <c r="G1149" t="s">
        <v>125</v>
      </c>
      <c r="J1149" t="s">
        <v>123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"06:15:28.352"</f>
        <v>06:15:28.352</v>
      </c>
      <c r="T1149" t="str">
        <f>"06:15:27.852"</f>
        <v>06:15:27.852</v>
      </c>
      <c r="U1149" t="str">
        <f t="shared" si="52"/>
        <v>A7E2E0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899</v>
      </c>
      <c r="AJ1149">
        <v>39.053198999999999</v>
      </c>
      <c r="AK1149" t="s">
        <v>900</v>
      </c>
      <c r="AL1149">
        <v>-87.519707999999994</v>
      </c>
      <c r="AM1149">
        <v>100</v>
      </c>
      <c r="AN1149">
        <v>2800</v>
      </c>
      <c r="AO1149" t="s">
        <v>118</v>
      </c>
      <c r="AP1149">
        <v>-101</v>
      </c>
      <c r="AQ1149">
        <v>-134</v>
      </c>
      <c r="AR1149">
        <v>0</v>
      </c>
      <c r="AZ1149">
        <v>4552</v>
      </c>
      <c r="BA1149">
        <v>1</v>
      </c>
      <c r="BB1149" t="str">
        <f t="shared" si="53"/>
        <v xml:space="preserve">N607SR  </v>
      </c>
      <c r="BC1149">
        <v>1</v>
      </c>
      <c r="BE1149">
        <v>0</v>
      </c>
      <c r="BF1149">
        <v>0</v>
      </c>
      <c r="BG1149">
        <v>0</v>
      </c>
      <c r="BH1149">
        <v>2600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"06:15:28.355"</f>
        <v>06:15:28.355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119</v>
      </c>
      <c r="CQ1149">
        <v>457</v>
      </c>
      <c r="CR1149">
        <v>0</v>
      </c>
      <c r="CW1149">
        <v>15515288</v>
      </c>
      <c r="CY1149">
        <v>1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"08/29/2020 06:15:25.177"</f>
        <v>08/29/2020 06:15:25.177</v>
      </c>
      <c r="C1150" t="str">
        <f t="shared" si="51"/>
        <v>FFDFD3C0</v>
      </c>
      <c r="D1150" t="s">
        <v>121</v>
      </c>
      <c r="E1150">
        <v>10</v>
      </c>
      <c r="F1150">
        <v>1010</v>
      </c>
      <c r="G1150" t="s">
        <v>114</v>
      </c>
      <c r="J1150" t="s">
        <v>123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"06:15:28.352"</f>
        <v>06:15:28.352</v>
      </c>
      <c r="U1150" t="str">
        <f t="shared" si="52"/>
        <v>A7E2E0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899</v>
      </c>
      <c r="AJ1150">
        <v>39.053198999999999</v>
      </c>
      <c r="AK1150" t="s">
        <v>900</v>
      </c>
      <c r="AL1150">
        <v>-87.519707999999994</v>
      </c>
      <c r="AM1150">
        <v>100</v>
      </c>
      <c r="AN1150">
        <v>2800</v>
      </c>
      <c r="AO1150" t="s">
        <v>118</v>
      </c>
      <c r="AP1150">
        <v>-101</v>
      </c>
      <c r="AQ1150">
        <v>-134</v>
      </c>
      <c r="AR1150">
        <v>0</v>
      </c>
      <c r="AZ1150">
        <v>4552</v>
      </c>
      <c r="BA1150">
        <v>1</v>
      </c>
      <c r="BB1150" t="str">
        <f t="shared" si="53"/>
        <v xml:space="preserve">N607SR  </v>
      </c>
      <c r="BC1150">
        <v>1</v>
      </c>
      <c r="BE1150">
        <v>0</v>
      </c>
      <c r="BF1150">
        <v>0</v>
      </c>
      <c r="BG1150">
        <v>0</v>
      </c>
      <c r="BH1150">
        <v>2600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"06:15:28.355"</f>
        <v>06:15:28.355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4</v>
      </c>
      <c r="CP1150" t="s">
        <v>119</v>
      </c>
      <c r="CQ1150">
        <v>465</v>
      </c>
      <c r="CR1150">
        <v>0</v>
      </c>
      <c r="CW1150">
        <v>4719182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"08/29/2020 06:15:25.177"</f>
        <v>08/29/2020 06:15:25.177</v>
      </c>
      <c r="C1151" t="str">
        <f t="shared" si="51"/>
        <v>FFDFD3C0</v>
      </c>
      <c r="D1151" t="s">
        <v>121</v>
      </c>
      <c r="E1151">
        <v>13</v>
      </c>
      <c r="F1151">
        <v>1013</v>
      </c>
      <c r="G1151" t="s">
        <v>122</v>
      </c>
      <c r="J1151" t="s">
        <v>123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"06:15:28.352"</f>
        <v>06:15:28.352</v>
      </c>
      <c r="U1151" t="str">
        <f t="shared" si="52"/>
        <v>A7E2E0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899</v>
      </c>
      <c r="AJ1151">
        <v>39.053198999999999</v>
      </c>
      <c r="AK1151" t="s">
        <v>900</v>
      </c>
      <c r="AL1151">
        <v>-87.519707999999994</v>
      </c>
      <c r="AM1151">
        <v>100</v>
      </c>
      <c r="AN1151">
        <v>2800</v>
      </c>
      <c r="AO1151" t="s">
        <v>118</v>
      </c>
      <c r="AP1151">
        <v>-101</v>
      </c>
      <c r="AQ1151">
        <v>-134</v>
      </c>
      <c r="AR1151">
        <v>0</v>
      </c>
      <c r="AZ1151">
        <v>4552</v>
      </c>
      <c r="BA1151">
        <v>1</v>
      </c>
      <c r="BB1151" t="str">
        <f t="shared" si="53"/>
        <v xml:space="preserve">N607SR  </v>
      </c>
      <c r="BC1151">
        <v>1</v>
      </c>
      <c r="BE1151">
        <v>0</v>
      </c>
      <c r="BF1151">
        <v>0</v>
      </c>
      <c r="BG1151">
        <v>0</v>
      </c>
      <c r="BH1151">
        <v>2600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"06:15:28.355"</f>
        <v>06:15:28.355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4</v>
      </c>
      <c r="CP1151" t="s">
        <v>119</v>
      </c>
      <c r="CQ1151">
        <v>465</v>
      </c>
      <c r="CR1151">
        <v>0</v>
      </c>
      <c r="CW1151">
        <v>4719182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"08/29/2020 06:15:25.703"</f>
        <v>08/29/2020 06:15:25.703</v>
      </c>
      <c r="C1152" t="str">
        <f t="shared" si="51"/>
        <v>FFDFD3C0</v>
      </c>
      <c r="D1152" t="s">
        <v>128</v>
      </c>
      <c r="E1152">
        <v>5</v>
      </c>
      <c r="H1152">
        <v>241</v>
      </c>
      <c r="I1152" t="s">
        <v>129</v>
      </c>
      <c r="J1152" t="s">
        <v>130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"06:15:28.914"</f>
        <v>06:15:28.914</v>
      </c>
      <c r="T1152" t="str">
        <f>"06:15:28.414"</f>
        <v>06:15:28.414</v>
      </c>
      <c r="U1152" t="str">
        <f t="shared" si="52"/>
        <v>A7E2E0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901</v>
      </c>
      <c r="AJ1152">
        <v>39.052835000000002</v>
      </c>
      <c r="AK1152" t="s">
        <v>902</v>
      </c>
      <c r="AL1152">
        <v>-87.520071999999999</v>
      </c>
      <c r="AM1152">
        <v>100</v>
      </c>
      <c r="AN1152">
        <v>2800</v>
      </c>
      <c r="AO1152" t="s">
        <v>118</v>
      </c>
      <c r="AP1152">
        <v>-101</v>
      </c>
      <c r="AQ1152">
        <v>-134</v>
      </c>
      <c r="AR1152">
        <v>0</v>
      </c>
      <c r="AZ1152">
        <v>4552</v>
      </c>
      <c r="BA1152">
        <v>1</v>
      </c>
      <c r="BB1152" t="str">
        <f t="shared" si="53"/>
        <v xml:space="preserve">N607SR  </v>
      </c>
      <c r="BC1152">
        <v>1</v>
      </c>
      <c r="BE1152">
        <v>0</v>
      </c>
      <c r="BF1152">
        <v>0</v>
      </c>
      <c r="BG1152">
        <v>0</v>
      </c>
      <c r="BH1152">
        <v>2600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"06:15:28.922"</f>
        <v>06:15:28.922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6</v>
      </c>
      <c r="CP1152" t="s">
        <v>119</v>
      </c>
      <c r="CQ1152">
        <v>457</v>
      </c>
      <c r="CR1152">
        <v>0</v>
      </c>
      <c r="CW1152">
        <v>15515304</v>
      </c>
      <c r="CY1152">
        <v>1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"08/29/2020 06:15:25.703"</f>
        <v>08/29/2020 06:15:25.703</v>
      </c>
      <c r="C1153" t="str">
        <f t="shared" si="51"/>
        <v>FFDFD3C0</v>
      </c>
      <c r="D1153" t="s">
        <v>113</v>
      </c>
      <c r="E1153">
        <v>5</v>
      </c>
      <c r="H1153">
        <v>163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"06:15:28.914"</f>
        <v>06:15:28.914</v>
      </c>
      <c r="T1153" t="str">
        <f>"06:15:28.414"</f>
        <v>06:15:28.414</v>
      </c>
      <c r="U1153" t="str">
        <f t="shared" si="52"/>
        <v>A7E2E0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901</v>
      </c>
      <c r="AJ1153">
        <v>39.052835000000002</v>
      </c>
      <c r="AK1153" t="s">
        <v>902</v>
      </c>
      <c r="AL1153">
        <v>-87.520071999999999</v>
      </c>
      <c r="AM1153">
        <v>100</v>
      </c>
      <c r="AN1153">
        <v>2800</v>
      </c>
      <c r="AO1153" t="s">
        <v>118</v>
      </c>
      <c r="AP1153">
        <v>-101</v>
      </c>
      <c r="AQ1153">
        <v>-134</v>
      </c>
      <c r="AR1153">
        <v>0</v>
      </c>
      <c r="AZ1153">
        <v>4552</v>
      </c>
      <c r="BA1153">
        <v>1</v>
      </c>
      <c r="BB1153" t="str">
        <f t="shared" si="53"/>
        <v xml:space="preserve">N607SR  </v>
      </c>
      <c r="BC1153">
        <v>1</v>
      </c>
      <c r="BE1153">
        <v>0</v>
      </c>
      <c r="BF1153">
        <v>0</v>
      </c>
      <c r="BG1153">
        <v>0</v>
      </c>
      <c r="BH1153">
        <v>2600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"06:15:28.922"</f>
        <v>06:15:28.922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6</v>
      </c>
      <c r="CP1153" t="s">
        <v>119</v>
      </c>
      <c r="CQ1153">
        <v>457</v>
      </c>
      <c r="CR1153">
        <v>0</v>
      </c>
      <c r="CW1153">
        <v>15515304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"08/29/2020 06:15:26.295"</f>
        <v>08/29/2020 06:15:26.295</v>
      </c>
      <c r="C1154" t="str">
        <f t="shared" ref="C1154:C1217" si="54">"FFDFD3C0"</f>
        <v>FFDFD3C0</v>
      </c>
      <c r="D1154" t="s">
        <v>121</v>
      </c>
      <c r="E1154">
        <v>11</v>
      </c>
      <c r="F1154">
        <v>1011</v>
      </c>
      <c r="G1154" t="s">
        <v>125</v>
      </c>
      <c r="J1154" t="s">
        <v>123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"06:15:29.469"</f>
        <v>06:15:29.469</v>
      </c>
      <c r="T1154" t="str">
        <f>"06:15:28.969"</f>
        <v>06:15:28.969</v>
      </c>
      <c r="U1154" t="str">
        <f t="shared" ref="U1154:U1217" si="55">"A7E2E0"</f>
        <v>A7E2E0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903</v>
      </c>
      <c r="AJ1154">
        <v>39.052534000000001</v>
      </c>
      <c r="AK1154" t="s">
        <v>904</v>
      </c>
      <c r="AL1154">
        <v>-87.520330000000001</v>
      </c>
      <c r="AM1154">
        <v>100</v>
      </c>
      <c r="AN1154">
        <v>2800</v>
      </c>
      <c r="AO1154" t="s">
        <v>118</v>
      </c>
      <c r="AP1154">
        <v>-101</v>
      </c>
      <c r="AQ1154">
        <v>-134</v>
      </c>
      <c r="AR1154">
        <v>0</v>
      </c>
      <c r="AZ1154">
        <v>4552</v>
      </c>
      <c r="BA1154">
        <v>1</v>
      </c>
      <c r="BB1154" t="str">
        <f t="shared" ref="BB1154:BB1217" si="56">"N607SR  "</f>
        <v xml:space="preserve">N607SR  </v>
      </c>
      <c r="BC1154">
        <v>1</v>
      </c>
      <c r="BE1154">
        <v>0</v>
      </c>
      <c r="BF1154">
        <v>0</v>
      </c>
      <c r="BG1154">
        <v>0</v>
      </c>
      <c r="BH1154">
        <v>2600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"06:15:29.470"</f>
        <v>06:15:29.470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457</v>
      </c>
      <c r="CR1154">
        <v>0</v>
      </c>
      <c r="CW1154">
        <v>15515316</v>
      </c>
      <c r="CY1154">
        <v>1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"08/29/2020 06:15:26.295"</f>
        <v>08/29/2020 06:15:26.295</v>
      </c>
      <c r="C1155" t="str">
        <f t="shared" si="54"/>
        <v>FFDFD3C0</v>
      </c>
      <c r="D1155" t="s">
        <v>121</v>
      </c>
      <c r="E1155">
        <v>10</v>
      </c>
      <c r="F1155">
        <v>1010</v>
      </c>
      <c r="G1155" t="s">
        <v>114</v>
      </c>
      <c r="J1155" t="s">
        <v>123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"06:15:29.469"</f>
        <v>06:15:29.469</v>
      </c>
      <c r="U1155" t="str">
        <f t="shared" si="55"/>
        <v>A7E2E0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903</v>
      </c>
      <c r="AJ1155">
        <v>39.052534000000001</v>
      </c>
      <c r="AK1155" t="s">
        <v>904</v>
      </c>
      <c r="AL1155">
        <v>-87.520330000000001</v>
      </c>
      <c r="AM1155">
        <v>100</v>
      </c>
      <c r="AN1155">
        <v>2800</v>
      </c>
      <c r="AO1155" t="s">
        <v>118</v>
      </c>
      <c r="AP1155">
        <v>-101</v>
      </c>
      <c r="AQ1155">
        <v>-134</v>
      </c>
      <c r="AR1155">
        <v>0</v>
      </c>
      <c r="AZ1155">
        <v>4552</v>
      </c>
      <c r="BA1155">
        <v>1</v>
      </c>
      <c r="BB1155" t="str">
        <f t="shared" si="56"/>
        <v xml:space="preserve">N607SR  </v>
      </c>
      <c r="BC1155">
        <v>1</v>
      </c>
      <c r="BE1155">
        <v>0</v>
      </c>
      <c r="BF1155">
        <v>0</v>
      </c>
      <c r="BG1155">
        <v>0</v>
      </c>
      <c r="BH1155">
        <v>2600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"06:15:29.471"</f>
        <v>06:15:29.471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465</v>
      </c>
      <c r="CR1155">
        <v>0</v>
      </c>
      <c r="CW1155">
        <v>4719216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"08/29/2020 06:15:26.295"</f>
        <v>08/29/2020 06:15:26.295</v>
      </c>
      <c r="C1156" t="str">
        <f t="shared" si="54"/>
        <v>FFDFD3C0</v>
      </c>
      <c r="D1156" t="s">
        <v>121</v>
      </c>
      <c r="E1156">
        <v>13</v>
      </c>
      <c r="F1156">
        <v>1013</v>
      </c>
      <c r="G1156" t="s">
        <v>122</v>
      </c>
      <c r="J1156" t="s">
        <v>123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"06:15:29.469"</f>
        <v>06:15:29.469</v>
      </c>
      <c r="U1156" t="str">
        <f t="shared" si="55"/>
        <v>A7E2E0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903</v>
      </c>
      <c r="AJ1156">
        <v>39.052534000000001</v>
      </c>
      <c r="AK1156" t="s">
        <v>904</v>
      </c>
      <c r="AL1156">
        <v>-87.520330000000001</v>
      </c>
      <c r="AM1156">
        <v>100</v>
      </c>
      <c r="AN1156">
        <v>2800</v>
      </c>
      <c r="AO1156" t="s">
        <v>118</v>
      </c>
      <c r="AP1156">
        <v>-101</v>
      </c>
      <c r="AQ1156">
        <v>-134</v>
      </c>
      <c r="AR1156">
        <v>0</v>
      </c>
      <c r="AZ1156">
        <v>4552</v>
      </c>
      <c r="BA1156">
        <v>1</v>
      </c>
      <c r="BB1156" t="str">
        <f t="shared" si="56"/>
        <v xml:space="preserve">N607SR  </v>
      </c>
      <c r="BC1156">
        <v>1</v>
      </c>
      <c r="BE1156">
        <v>0</v>
      </c>
      <c r="BF1156">
        <v>0</v>
      </c>
      <c r="BG1156">
        <v>0</v>
      </c>
      <c r="BH1156">
        <v>2600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"06:15:29.471"</f>
        <v>06:15:29.471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465</v>
      </c>
      <c r="CR1156">
        <v>0</v>
      </c>
      <c r="CW1156">
        <v>4719216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"08/29/2020 06:15:26.868"</f>
        <v>08/29/2020 06:15:26.868</v>
      </c>
      <c r="C1157" t="str">
        <f t="shared" si="54"/>
        <v>FFDFD3C0</v>
      </c>
      <c r="D1157" t="s">
        <v>113</v>
      </c>
      <c r="E1157">
        <v>5</v>
      </c>
      <c r="H1157">
        <v>163</v>
      </c>
      <c r="I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"06:15:30.055"</f>
        <v>06:15:30.055</v>
      </c>
      <c r="U1157" t="str">
        <f t="shared" si="55"/>
        <v>A7E2E0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905</v>
      </c>
      <c r="AJ1157">
        <v>39.052168999999999</v>
      </c>
      <c r="AK1157" t="s">
        <v>906</v>
      </c>
      <c r="AL1157">
        <v>-87.520695000000003</v>
      </c>
      <c r="AM1157">
        <v>100</v>
      </c>
      <c r="AN1157">
        <v>2800</v>
      </c>
      <c r="AO1157" t="s">
        <v>118</v>
      </c>
      <c r="AP1157">
        <v>-101</v>
      </c>
      <c r="AQ1157">
        <v>-134</v>
      </c>
      <c r="AR1157">
        <v>0</v>
      </c>
      <c r="AZ1157">
        <v>4552</v>
      </c>
      <c r="BA1157">
        <v>1</v>
      </c>
      <c r="BB1157" t="str">
        <f t="shared" si="56"/>
        <v xml:space="preserve">N607SR  </v>
      </c>
      <c r="BC1157">
        <v>1</v>
      </c>
      <c r="BE1157">
        <v>0</v>
      </c>
      <c r="BF1157">
        <v>0</v>
      </c>
      <c r="BG1157">
        <v>0</v>
      </c>
      <c r="BH1157">
        <v>2600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"06:15:30.057"</f>
        <v>06:15:30.057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4</v>
      </c>
      <c r="CP1157" t="s">
        <v>119</v>
      </c>
      <c r="CQ1157">
        <v>465</v>
      </c>
      <c r="CR1157">
        <v>0</v>
      </c>
      <c r="CW1157">
        <v>4719235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"08/29/2020 06:15:26.868"</f>
        <v>08/29/2020 06:15:26.868</v>
      </c>
      <c r="C1158" t="str">
        <f t="shared" si="54"/>
        <v>FFDFD3C0</v>
      </c>
      <c r="D1158" t="s">
        <v>128</v>
      </c>
      <c r="E1158">
        <v>5</v>
      </c>
      <c r="H1158">
        <v>241</v>
      </c>
      <c r="I1158" t="s">
        <v>129</v>
      </c>
      <c r="J1158" t="s">
        <v>130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"06:15:30.055"</f>
        <v>06:15:30.055</v>
      </c>
      <c r="U1158" t="str">
        <f t="shared" si="55"/>
        <v>A7E2E0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905</v>
      </c>
      <c r="AJ1158">
        <v>39.052168999999999</v>
      </c>
      <c r="AK1158" t="s">
        <v>906</v>
      </c>
      <c r="AL1158">
        <v>-87.520695000000003</v>
      </c>
      <c r="AM1158">
        <v>100</v>
      </c>
      <c r="AN1158">
        <v>2800</v>
      </c>
      <c r="AO1158" t="s">
        <v>118</v>
      </c>
      <c r="AP1158">
        <v>-101</v>
      </c>
      <c r="AQ1158">
        <v>-134</v>
      </c>
      <c r="AR1158">
        <v>0</v>
      </c>
      <c r="AZ1158">
        <v>4552</v>
      </c>
      <c r="BA1158">
        <v>1</v>
      </c>
      <c r="BB1158" t="str">
        <f t="shared" si="56"/>
        <v xml:space="preserve">N607SR  </v>
      </c>
      <c r="BC1158">
        <v>1</v>
      </c>
      <c r="BE1158">
        <v>0</v>
      </c>
      <c r="BF1158">
        <v>0</v>
      </c>
      <c r="BG1158">
        <v>0</v>
      </c>
      <c r="BH1158">
        <v>2600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"06:15:30.057"</f>
        <v>06:15:30.057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4</v>
      </c>
      <c r="CP1158" t="s">
        <v>119</v>
      </c>
      <c r="CQ1158">
        <v>465</v>
      </c>
      <c r="CR1158">
        <v>0</v>
      </c>
      <c r="CW1158">
        <v>4719235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"08/29/2020 06:15:27.269"</f>
        <v>08/29/2020 06:15:27.269</v>
      </c>
      <c r="C1159" t="str">
        <f t="shared" si="54"/>
        <v>FFDFD3C0</v>
      </c>
      <c r="D1159" t="s">
        <v>121</v>
      </c>
      <c r="E1159">
        <v>13</v>
      </c>
      <c r="F1159">
        <v>1013</v>
      </c>
      <c r="G1159" t="s">
        <v>122</v>
      </c>
      <c r="J1159" t="s">
        <v>123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"06:15:30.500"</f>
        <v>06:15:30.500</v>
      </c>
      <c r="T1159" t="str">
        <f>"06:15:30.100"</f>
        <v>06:15:30.100</v>
      </c>
      <c r="U1159" t="str">
        <f t="shared" si="55"/>
        <v>A7E2E0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907</v>
      </c>
      <c r="AJ1159">
        <v>39.05189</v>
      </c>
      <c r="AK1159" t="s">
        <v>908</v>
      </c>
      <c r="AL1159">
        <v>-87.520931000000004</v>
      </c>
      <c r="AM1159">
        <v>100</v>
      </c>
      <c r="AN1159">
        <v>2800</v>
      </c>
      <c r="AO1159" t="s">
        <v>118</v>
      </c>
      <c r="AP1159">
        <v>-101</v>
      </c>
      <c r="AQ1159">
        <v>-134</v>
      </c>
      <c r="AR1159">
        <v>0</v>
      </c>
      <c r="AZ1159">
        <v>4552</v>
      </c>
      <c r="BA1159">
        <v>1</v>
      </c>
      <c r="BB1159" t="str">
        <f t="shared" si="56"/>
        <v xml:space="preserve">N607SR  </v>
      </c>
      <c r="BC1159">
        <v>1</v>
      </c>
      <c r="BE1159">
        <v>0</v>
      </c>
      <c r="BF1159">
        <v>0</v>
      </c>
      <c r="BG1159">
        <v>0</v>
      </c>
      <c r="BH1159">
        <v>2600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"06:15:30.501"</f>
        <v>06:15:30.501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6</v>
      </c>
      <c r="CP1159" t="s">
        <v>119</v>
      </c>
      <c r="CQ1159">
        <v>177</v>
      </c>
      <c r="CR1159">
        <v>2</v>
      </c>
      <c r="CW1159">
        <v>1636448</v>
      </c>
      <c r="CY1159">
        <v>1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"08/29/2020 06:15:27.269"</f>
        <v>08/29/2020 06:15:27.269</v>
      </c>
      <c r="C1160" t="str">
        <f t="shared" si="54"/>
        <v>FFDFD3C0</v>
      </c>
      <c r="D1160" t="s">
        <v>121</v>
      </c>
      <c r="E1160">
        <v>10</v>
      </c>
      <c r="F1160">
        <v>1010</v>
      </c>
      <c r="G1160" t="s">
        <v>114</v>
      </c>
      <c r="J1160" t="s">
        <v>123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"06:15:30.500"</f>
        <v>06:15:30.500</v>
      </c>
      <c r="T1160" t="str">
        <f>"06:15:30.100"</f>
        <v>06:15:30.100</v>
      </c>
      <c r="U1160" t="str">
        <f t="shared" si="55"/>
        <v>A7E2E0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907</v>
      </c>
      <c r="AJ1160">
        <v>39.05189</v>
      </c>
      <c r="AK1160" t="s">
        <v>908</v>
      </c>
      <c r="AL1160">
        <v>-87.520931000000004</v>
      </c>
      <c r="AM1160">
        <v>100</v>
      </c>
      <c r="AN1160">
        <v>2800</v>
      </c>
      <c r="AO1160" t="s">
        <v>118</v>
      </c>
      <c r="AP1160">
        <v>-101</v>
      </c>
      <c r="AQ1160">
        <v>-134</v>
      </c>
      <c r="AR1160">
        <v>0</v>
      </c>
      <c r="AZ1160">
        <v>4552</v>
      </c>
      <c r="BA1160">
        <v>1</v>
      </c>
      <c r="BB1160" t="str">
        <f t="shared" si="56"/>
        <v xml:space="preserve">N607SR  </v>
      </c>
      <c r="BC1160">
        <v>1</v>
      </c>
      <c r="BE1160">
        <v>0</v>
      </c>
      <c r="BF1160">
        <v>0</v>
      </c>
      <c r="BG1160">
        <v>0</v>
      </c>
      <c r="BH1160">
        <v>2600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"06:15:30.501"</f>
        <v>06:15:30.501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6</v>
      </c>
      <c r="CP1160" t="s">
        <v>119</v>
      </c>
      <c r="CQ1160">
        <v>177</v>
      </c>
      <c r="CR1160">
        <v>2</v>
      </c>
      <c r="CW1160">
        <v>1636448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"08/29/2020 06:15:27.269"</f>
        <v>08/29/2020 06:15:27.269</v>
      </c>
      <c r="C1161" t="str">
        <f t="shared" si="54"/>
        <v>FFDFD3C0</v>
      </c>
      <c r="D1161" t="s">
        <v>121</v>
      </c>
      <c r="E1161">
        <v>11</v>
      </c>
      <c r="F1161">
        <v>1011</v>
      </c>
      <c r="G1161" t="s">
        <v>125</v>
      </c>
      <c r="J1161" t="s">
        <v>123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"06:15:30.500"</f>
        <v>06:15:30.500</v>
      </c>
      <c r="T1161" t="str">
        <f>"06:15:30.100"</f>
        <v>06:15:30.100</v>
      </c>
      <c r="U1161" t="str">
        <f t="shared" si="55"/>
        <v>A7E2E0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907</v>
      </c>
      <c r="AJ1161">
        <v>39.05189</v>
      </c>
      <c r="AK1161" t="s">
        <v>908</v>
      </c>
      <c r="AL1161">
        <v>-87.520931000000004</v>
      </c>
      <c r="AM1161">
        <v>100</v>
      </c>
      <c r="AN1161">
        <v>2800</v>
      </c>
      <c r="AO1161" t="s">
        <v>118</v>
      </c>
      <c r="AP1161">
        <v>-101</v>
      </c>
      <c r="AQ1161">
        <v>-134</v>
      </c>
      <c r="AR1161">
        <v>0</v>
      </c>
      <c r="AZ1161">
        <v>4552</v>
      </c>
      <c r="BA1161">
        <v>1</v>
      </c>
      <c r="BB1161" t="str">
        <f t="shared" si="56"/>
        <v xml:space="preserve">N607SR  </v>
      </c>
      <c r="BC1161">
        <v>1</v>
      </c>
      <c r="BE1161">
        <v>0</v>
      </c>
      <c r="BF1161">
        <v>0</v>
      </c>
      <c r="BG1161">
        <v>0</v>
      </c>
      <c r="BH1161">
        <v>2600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"06:15:30.501"</f>
        <v>06:15:30.501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6</v>
      </c>
      <c r="CP1161" t="s">
        <v>119</v>
      </c>
      <c r="CQ1161">
        <v>177</v>
      </c>
      <c r="CR1161">
        <v>2</v>
      </c>
      <c r="CW1161">
        <v>1636448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"08/29/2020 06:15:27.729"</f>
        <v>08/29/2020 06:15:27.729</v>
      </c>
      <c r="C1162" t="str">
        <f t="shared" si="54"/>
        <v>FFDFD3C0</v>
      </c>
      <c r="D1162" t="s">
        <v>113</v>
      </c>
      <c r="E1162">
        <v>5</v>
      </c>
      <c r="H1162">
        <v>163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"06:15:30.938"</f>
        <v>06:15:30.938</v>
      </c>
      <c r="T1162" t="str">
        <f>"06:15:30.537"</f>
        <v>06:15:30.537</v>
      </c>
      <c r="U1162" t="str">
        <f t="shared" si="55"/>
        <v>A7E2E0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909</v>
      </c>
      <c r="AJ1162">
        <v>39.051589999999997</v>
      </c>
      <c r="AK1162" t="s">
        <v>910</v>
      </c>
      <c r="AL1162">
        <v>-87.521274000000005</v>
      </c>
      <c r="AM1162">
        <v>100</v>
      </c>
      <c r="AN1162">
        <v>2800</v>
      </c>
      <c r="AO1162" t="s">
        <v>118</v>
      </c>
      <c r="AP1162">
        <v>-101</v>
      </c>
      <c r="AQ1162">
        <v>-133</v>
      </c>
      <c r="AR1162">
        <v>0</v>
      </c>
      <c r="AZ1162">
        <v>4552</v>
      </c>
      <c r="BA1162">
        <v>1</v>
      </c>
      <c r="BB1162" t="str">
        <f t="shared" si="56"/>
        <v xml:space="preserve">N607SR  </v>
      </c>
      <c r="BC1162">
        <v>1</v>
      </c>
      <c r="BE1162">
        <v>0</v>
      </c>
      <c r="BF1162">
        <v>0</v>
      </c>
      <c r="BG1162">
        <v>0</v>
      </c>
      <c r="BH1162">
        <v>2600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"06:15:30.943"</f>
        <v>06:15:30.943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6</v>
      </c>
      <c r="CP1162" t="s">
        <v>119</v>
      </c>
      <c r="CQ1162">
        <v>457</v>
      </c>
      <c r="CR1162">
        <v>0</v>
      </c>
      <c r="CW1162">
        <v>15515354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"08/29/2020 06:15:27.729"</f>
        <v>08/29/2020 06:15:27.729</v>
      </c>
      <c r="C1163" t="str">
        <f t="shared" si="54"/>
        <v>FFDFD3C0</v>
      </c>
      <c r="D1163" t="s">
        <v>128</v>
      </c>
      <c r="E1163">
        <v>5</v>
      </c>
      <c r="H1163">
        <v>241</v>
      </c>
      <c r="I1163" t="s">
        <v>129</v>
      </c>
      <c r="J1163" t="s">
        <v>130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"06:15:30.938"</f>
        <v>06:15:30.938</v>
      </c>
      <c r="T1163" t="str">
        <f>"06:15:30.537"</f>
        <v>06:15:30.537</v>
      </c>
      <c r="U1163" t="str">
        <f t="shared" si="55"/>
        <v>A7E2E0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909</v>
      </c>
      <c r="AJ1163">
        <v>39.051589999999997</v>
      </c>
      <c r="AK1163" t="s">
        <v>910</v>
      </c>
      <c r="AL1163">
        <v>-87.521274000000005</v>
      </c>
      <c r="AM1163">
        <v>100</v>
      </c>
      <c r="AN1163">
        <v>2800</v>
      </c>
      <c r="AO1163" t="s">
        <v>118</v>
      </c>
      <c r="AP1163">
        <v>-101</v>
      </c>
      <c r="AQ1163">
        <v>-133</v>
      </c>
      <c r="AR1163">
        <v>0</v>
      </c>
      <c r="AZ1163">
        <v>4552</v>
      </c>
      <c r="BA1163">
        <v>1</v>
      </c>
      <c r="BB1163" t="str">
        <f t="shared" si="56"/>
        <v xml:space="preserve">N607SR  </v>
      </c>
      <c r="BC1163">
        <v>1</v>
      </c>
      <c r="BE1163">
        <v>0</v>
      </c>
      <c r="BF1163">
        <v>0</v>
      </c>
      <c r="BG1163">
        <v>0</v>
      </c>
      <c r="BH1163">
        <v>2600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"06:15:30.943"</f>
        <v>06:15:30.943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6</v>
      </c>
      <c r="CP1163" t="s">
        <v>119</v>
      </c>
      <c r="CQ1163">
        <v>457</v>
      </c>
      <c r="CR1163">
        <v>0</v>
      </c>
      <c r="CW1163">
        <v>15515354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"08/29/2020 06:15:28.181"</f>
        <v>08/29/2020 06:15:28.181</v>
      </c>
      <c r="C1164" t="str">
        <f t="shared" si="54"/>
        <v>FFDFD3C0</v>
      </c>
      <c r="D1164" t="s">
        <v>121</v>
      </c>
      <c r="E1164">
        <v>13</v>
      </c>
      <c r="F1164">
        <v>1013</v>
      </c>
      <c r="G1164" t="s">
        <v>122</v>
      </c>
      <c r="J1164" t="s">
        <v>123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"06:15:31.422"</f>
        <v>06:15:31.422</v>
      </c>
      <c r="T1164" t="str">
        <f>"06:15:31.022"</f>
        <v>06:15:31.022</v>
      </c>
      <c r="U1164" t="str">
        <f t="shared" si="55"/>
        <v>A7E2E0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911</v>
      </c>
      <c r="AJ1164">
        <v>39.051268</v>
      </c>
      <c r="AK1164" t="s">
        <v>912</v>
      </c>
      <c r="AL1164">
        <v>-87.521552999999997</v>
      </c>
      <c r="AM1164">
        <v>100</v>
      </c>
      <c r="AN1164">
        <v>2800</v>
      </c>
      <c r="AO1164" t="s">
        <v>118</v>
      </c>
      <c r="AP1164">
        <v>-101</v>
      </c>
      <c r="AQ1164">
        <v>-133</v>
      </c>
      <c r="AR1164">
        <v>0</v>
      </c>
      <c r="AZ1164">
        <v>4552</v>
      </c>
      <c r="BA1164">
        <v>1</v>
      </c>
      <c r="BB1164" t="str">
        <f t="shared" si="56"/>
        <v xml:space="preserve">N607SR  </v>
      </c>
      <c r="BC1164">
        <v>1</v>
      </c>
      <c r="BE1164">
        <v>0</v>
      </c>
      <c r="BF1164">
        <v>0</v>
      </c>
      <c r="BG1164">
        <v>0</v>
      </c>
      <c r="BH1164">
        <v>2600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"06:15:31.425"</f>
        <v>06:15:31.425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457</v>
      </c>
      <c r="CR1164">
        <v>0</v>
      </c>
      <c r="CW1164">
        <v>15515371</v>
      </c>
      <c r="CY1164">
        <v>1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"08/29/2020 06:15:28.181"</f>
        <v>08/29/2020 06:15:28.181</v>
      </c>
      <c r="C1165" t="str">
        <f t="shared" si="54"/>
        <v>FFDFD3C0</v>
      </c>
      <c r="D1165" t="s">
        <v>121</v>
      </c>
      <c r="E1165">
        <v>10</v>
      </c>
      <c r="F1165">
        <v>1010</v>
      </c>
      <c r="G1165" t="s">
        <v>114</v>
      </c>
      <c r="J1165" t="s">
        <v>123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"06:15:31.422"</f>
        <v>06:15:31.422</v>
      </c>
      <c r="T1165" t="str">
        <f>"06:15:31.022"</f>
        <v>06:15:31.022</v>
      </c>
      <c r="U1165" t="str">
        <f t="shared" si="55"/>
        <v>A7E2E0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911</v>
      </c>
      <c r="AJ1165">
        <v>39.051268</v>
      </c>
      <c r="AK1165" t="s">
        <v>912</v>
      </c>
      <c r="AL1165">
        <v>-87.521552999999997</v>
      </c>
      <c r="AM1165">
        <v>100</v>
      </c>
      <c r="AN1165">
        <v>2800</v>
      </c>
      <c r="AO1165" t="s">
        <v>118</v>
      </c>
      <c r="AP1165">
        <v>-101</v>
      </c>
      <c r="AQ1165">
        <v>-133</v>
      </c>
      <c r="AR1165">
        <v>0</v>
      </c>
      <c r="AZ1165">
        <v>4552</v>
      </c>
      <c r="BA1165">
        <v>1</v>
      </c>
      <c r="BB1165" t="str">
        <f t="shared" si="56"/>
        <v xml:space="preserve">N607SR  </v>
      </c>
      <c r="BC1165">
        <v>1</v>
      </c>
      <c r="BE1165">
        <v>0</v>
      </c>
      <c r="BF1165">
        <v>0</v>
      </c>
      <c r="BG1165">
        <v>0</v>
      </c>
      <c r="BH1165">
        <v>2600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"06:15:31.425"</f>
        <v>06:15:31.425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457</v>
      </c>
      <c r="CR1165">
        <v>0</v>
      </c>
      <c r="CW1165">
        <v>15515371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"08/29/2020 06:15:28.181"</f>
        <v>08/29/2020 06:15:28.181</v>
      </c>
      <c r="C1166" t="str">
        <f t="shared" si="54"/>
        <v>FFDFD3C0</v>
      </c>
      <c r="D1166" t="s">
        <v>121</v>
      </c>
      <c r="E1166">
        <v>11</v>
      </c>
      <c r="F1166">
        <v>1011</v>
      </c>
      <c r="G1166" t="s">
        <v>125</v>
      </c>
      <c r="J1166" t="s">
        <v>123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"06:15:31.422"</f>
        <v>06:15:31.422</v>
      </c>
      <c r="T1166" t="str">
        <f>"06:15:31.022"</f>
        <v>06:15:31.022</v>
      </c>
      <c r="U1166" t="str">
        <f t="shared" si="55"/>
        <v>A7E2E0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911</v>
      </c>
      <c r="AJ1166">
        <v>39.051268</v>
      </c>
      <c r="AK1166" t="s">
        <v>912</v>
      </c>
      <c r="AL1166">
        <v>-87.521552999999997</v>
      </c>
      <c r="AM1166">
        <v>100</v>
      </c>
      <c r="AN1166">
        <v>2800</v>
      </c>
      <c r="AO1166" t="s">
        <v>118</v>
      </c>
      <c r="AP1166">
        <v>-101</v>
      </c>
      <c r="AQ1166">
        <v>-133</v>
      </c>
      <c r="AR1166">
        <v>0</v>
      </c>
      <c r="AZ1166">
        <v>4552</v>
      </c>
      <c r="BA1166">
        <v>1</v>
      </c>
      <c r="BB1166" t="str">
        <f t="shared" si="56"/>
        <v xml:space="preserve">N607SR  </v>
      </c>
      <c r="BC1166">
        <v>1</v>
      </c>
      <c r="BE1166">
        <v>0</v>
      </c>
      <c r="BF1166">
        <v>0</v>
      </c>
      <c r="BG1166">
        <v>0</v>
      </c>
      <c r="BH1166">
        <v>2600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"06:15:31.425"</f>
        <v>06:15:31.425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6</v>
      </c>
      <c r="CP1166" t="s">
        <v>119</v>
      </c>
      <c r="CQ1166">
        <v>457</v>
      </c>
      <c r="CR1166">
        <v>0</v>
      </c>
      <c r="CW1166">
        <v>15515371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"08/29/2020 06:15:28.693"</f>
        <v>08/29/2020 06:15:28.693</v>
      </c>
      <c r="C1167" t="str">
        <f t="shared" si="54"/>
        <v>FFDFD3C0</v>
      </c>
      <c r="D1167" t="s">
        <v>128</v>
      </c>
      <c r="E1167">
        <v>5</v>
      </c>
      <c r="H1167">
        <v>241</v>
      </c>
      <c r="I1167" t="s">
        <v>129</v>
      </c>
      <c r="J1167" t="s">
        <v>130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"06:15:31.914"</f>
        <v>06:15:31.914</v>
      </c>
      <c r="T1167" t="str">
        <f>"06:15:31.514"</f>
        <v>06:15:31.514</v>
      </c>
      <c r="U1167" t="str">
        <f t="shared" si="55"/>
        <v>A7E2E0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913</v>
      </c>
      <c r="AJ1167">
        <v>39.050989000000001</v>
      </c>
      <c r="AK1167" t="s">
        <v>914</v>
      </c>
      <c r="AL1167">
        <v>-87.521874999999994</v>
      </c>
      <c r="AM1167">
        <v>100</v>
      </c>
      <c r="AN1167">
        <v>2800</v>
      </c>
      <c r="AO1167" t="s">
        <v>118</v>
      </c>
      <c r="AP1167">
        <v>-101</v>
      </c>
      <c r="AQ1167">
        <v>-133</v>
      </c>
      <c r="AR1167">
        <v>0</v>
      </c>
      <c r="AZ1167">
        <v>4552</v>
      </c>
      <c r="BA1167">
        <v>1</v>
      </c>
      <c r="BB1167" t="str">
        <f t="shared" si="56"/>
        <v xml:space="preserve">N607SR  </v>
      </c>
      <c r="BC1167">
        <v>1</v>
      </c>
      <c r="BE1167">
        <v>0</v>
      </c>
      <c r="BF1167">
        <v>0</v>
      </c>
      <c r="BG1167">
        <v>0</v>
      </c>
      <c r="BH1167">
        <v>2600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"06:15:31.922"</f>
        <v>06:15:31.922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457</v>
      </c>
      <c r="CR1167">
        <v>0</v>
      </c>
      <c r="CW1167">
        <v>15515383</v>
      </c>
      <c r="CY1167">
        <v>1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"08/29/2020 06:15:28.693"</f>
        <v>08/29/2020 06:15:28.693</v>
      </c>
      <c r="C1168" t="str">
        <f t="shared" si="54"/>
        <v>FFDFD3C0</v>
      </c>
      <c r="D1168" t="s">
        <v>113</v>
      </c>
      <c r="E1168">
        <v>5</v>
      </c>
      <c r="H1168">
        <v>163</v>
      </c>
      <c r="I1168" t="s">
        <v>114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"06:15:31.914"</f>
        <v>06:15:31.914</v>
      </c>
      <c r="T1168" t="str">
        <f>"06:15:31.514"</f>
        <v>06:15:31.514</v>
      </c>
      <c r="U1168" t="str">
        <f t="shared" si="55"/>
        <v>A7E2E0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913</v>
      </c>
      <c r="AJ1168">
        <v>39.050989000000001</v>
      </c>
      <c r="AK1168" t="s">
        <v>914</v>
      </c>
      <c r="AL1168">
        <v>-87.521874999999994</v>
      </c>
      <c r="AM1168">
        <v>100</v>
      </c>
      <c r="AN1168">
        <v>2800</v>
      </c>
      <c r="AO1168" t="s">
        <v>118</v>
      </c>
      <c r="AP1168">
        <v>-101</v>
      </c>
      <c r="AQ1168">
        <v>-133</v>
      </c>
      <c r="AR1168">
        <v>0</v>
      </c>
      <c r="AZ1168">
        <v>4552</v>
      </c>
      <c r="BA1168">
        <v>1</v>
      </c>
      <c r="BB1168" t="str">
        <f t="shared" si="56"/>
        <v xml:space="preserve">N607SR  </v>
      </c>
      <c r="BC1168">
        <v>1</v>
      </c>
      <c r="BE1168">
        <v>0</v>
      </c>
      <c r="BF1168">
        <v>0</v>
      </c>
      <c r="BG1168">
        <v>0</v>
      </c>
      <c r="BH1168">
        <v>2600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"06:15:31.922"</f>
        <v>06:15:31.922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6</v>
      </c>
      <c r="CP1168" t="s">
        <v>119</v>
      </c>
      <c r="CQ1168">
        <v>457</v>
      </c>
      <c r="CR1168">
        <v>0</v>
      </c>
      <c r="CW1168">
        <v>15515383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"08/29/2020 06:15:29.187"</f>
        <v>08/29/2020 06:15:29.187</v>
      </c>
      <c r="C1169" t="str">
        <f t="shared" si="54"/>
        <v>FFDFD3C0</v>
      </c>
      <c r="D1169" t="s">
        <v>121</v>
      </c>
      <c r="E1169">
        <v>11</v>
      </c>
      <c r="F1169">
        <v>1011</v>
      </c>
      <c r="G1169" t="s">
        <v>125</v>
      </c>
      <c r="J1169" t="s">
        <v>123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"06:15:32.375"</f>
        <v>06:15:32.375</v>
      </c>
      <c r="T1169" t="str">
        <f>"06:15:31.975"</f>
        <v>06:15:31.975</v>
      </c>
      <c r="U1169" t="str">
        <f t="shared" si="55"/>
        <v>A7E2E0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915</v>
      </c>
      <c r="AJ1169">
        <v>39.050710000000002</v>
      </c>
      <c r="AK1169" t="s">
        <v>916</v>
      </c>
      <c r="AL1169">
        <v>-87.522110999999995</v>
      </c>
      <c r="AM1169">
        <v>100</v>
      </c>
      <c r="AN1169">
        <v>2800</v>
      </c>
      <c r="AO1169" t="s">
        <v>118</v>
      </c>
      <c r="AP1169">
        <v>-101</v>
      </c>
      <c r="AQ1169">
        <v>-133</v>
      </c>
      <c r="AR1169">
        <v>0</v>
      </c>
      <c r="AZ1169">
        <v>4552</v>
      </c>
      <c r="BA1169">
        <v>1</v>
      </c>
      <c r="BB1169" t="str">
        <f t="shared" si="56"/>
        <v xml:space="preserve">N607SR  </v>
      </c>
      <c r="BC1169">
        <v>1</v>
      </c>
      <c r="BE1169">
        <v>0</v>
      </c>
      <c r="BF1169">
        <v>0</v>
      </c>
      <c r="BG1169">
        <v>0</v>
      </c>
      <c r="BH1169">
        <v>2600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"06:15:32.377"</f>
        <v>06:15:32.377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6</v>
      </c>
      <c r="CP1169" t="s">
        <v>119</v>
      </c>
      <c r="CQ1169">
        <v>177</v>
      </c>
      <c r="CR1169">
        <v>2</v>
      </c>
      <c r="CW1169">
        <v>1636703</v>
      </c>
      <c r="CY1169">
        <v>1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"08/29/2020 06:15:29.187"</f>
        <v>08/29/2020 06:15:29.187</v>
      </c>
      <c r="C1170" t="str">
        <f t="shared" si="54"/>
        <v>FFDFD3C0</v>
      </c>
      <c r="D1170" t="s">
        <v>121</v>
      </c>
      <c r="E1170">
        <v>10</v>
      </c>
      <c r="F1170">
        <v>1010</v>
      </c>
      <c r="G1170" t="s">
        <v>114</v>
      </c>
      <c r="J1170" t="s">
        <v>123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"06:15:32.375"</f>
        <v>06:15:32.375</v>
      </c>
      <c r="U1170" t="str">
        <f t="shared" si="55"/>
        <v>A7E2E0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915</v>
      </c>
      <c r="AJ1170">
        <v>39.050710000000002</v>
      </c>
      <c r="AK1170" t="s">
        <v>916</v>
      </c>
      <c r="AL1170">
        <v>-87.522110999999995</v>
      </c>
      <c r="AM1170">
        <v>100</v>
      </c>
      <c r="AN1170">
        <v>2800</v>
      </c>
      <c r="AO1170" t="s">
        <v>118</v>
      </c>
      <c r="AP1170">
        <v>-101</v>
      </c>
      <c r="AQ1170">
        <v>-133</v>
      </c>
      <c r="AR1170">
        <v>-64</v>
      </c>
      <c r="AZ1170">
        <v>4552</v>
      </c>
      <c r="BA1170">
        <v>1</v>
      </c>
      <c r="BB1170" t="str">
        <f t="shared" si="56"/>
        <v xml:space="preserve">N607SR  </v>
      </c>
      <c r="BC1170">
        <v>1</v>
      </c>
      <c r="BE1170">
        <v>0</v>
      </c>
      <c r="BF1170">
        <v>0</v>
      </c>
      <c r="BG1170">
        <v>0</v>
      </c>
      <c r="BH1170">
        <v>2600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"06:15:32.377"</f>
        <v>06:15:32.377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5</v>
      </c>
      <c r="CP1170" t="s">
        <v>119</v>
      </c>
      <c r="CQ1170">
        <v>465</v>
      </c>
      <c r="CR1170">
        <v>0</v>
      </c>
      <c r="CW1170">
        <v>4719306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"08/29/2020 06:15:29.187"</f>
        <v>08/29/2020 06:15:29.187</v>
      </c>
      <c r="C1171" t="str">
        <f t="shared" si="54"/>
        <v>FFDFD3C0</v>
      </c>
      <c r="D1171" t="s">
        <v>121</v>
      </c>
      <c r="E1171">
        <v>13</v>
      </c>
      <c r="F1171">
        <v>1013</v>
      </c>
      <c r="G1171" t="s">
        <v>122</v>
      </c>
      <c r="J1171" t="s">
        <v>123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"06:15:32.375"</f>
        <v>06:15:32.375</v>
      </c>
      <c r="U1171" t="str">
        <f t="shared" si="55"/>
        <v>A7E2E0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915</v>
      </c>
      <c r="AJ1171">
        <v>39.050710000000002</v>
      </c>
      <c r="AK1171" t="s">
        <v>916</v>
      </c>
      <c r="AL1171">
        <v>-87.522110999999995</v>
      </c>
      <c r="AM1171">
        <v>100</v>
      </c>
      <c r="AN1171">
        <v>2800</v>
      </c>
      <c r="AO1171" t="s">
        <v>118</v>
      </c>
      <c r="AP1171">
        <v>-101</v>
      </c>
      <c r="AQ1171">
        <v>-133</v>
      </c>
      <c r="AR1171">
        <v>-64</v>
      </c>
      <c r="AZ1171">
        <v>4552</v>
      </c>
      <c r="BA1171">
        <v>1</v>
      </c>
      <c r="BB1171" t="str">
        <f t="shared" si="56"/>
        <v xml:space="preserve">N607SR  </v>
      </c>
      <c r="BC1171">
        <v>1</v>
      </c>
      <c r="BE1171">
        <v>0</v>
      </c>
      <c r="BF1171">
        <v>0</v>
      </c>
      <c r="BG1171">
        <v>0</v>
      </c>
      <c r="BH1171">
        <v>2600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"06:15:32.377"</f>
        <v>06:15:32.377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5</v>
      </c>
      <c r="CP1171" t="s">
        <v>119</v>
      </c>
      <c r="CQ1171">
        <v>465</v>
      </c>
      <c r="CR1171">
        <v>0</v>
      </c>
      <c r="CW1171">
        <v>4719306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"08/29/2020 06:15:29.607"</f>
        <v>08/29/2020 06:15:29.607</v>
      </c>
      <c r="C1172" t="str">
        <f t="shared" si="54"/>
        <v>FFDFD3C0</v>
      </c>
      <c r="D1172" t="s">
        <v>113</v>
      </c>
      <c r="E1172">
        <v>5</v>
      </c>
      <c r="H1172">
        <v>163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"06:15:32.797"</f>
        <v>06:15:32.797</v>
      </c>
      <c r="T1172" t="str">
        <f>"06:15:32.397"</f>
        <v>06:15:32.397</v>
      </c>
      <c r="U1172" t="str">
        <f t="shared" si="55"/>
        <v>A7E2E0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917</v>
      </c>
      <c r="AJ1172">
        <v>39.050496000000003</v>
      </c>
      <c r="AK1172" t="s">
        <v>918</v>
      </c>
      <c r="AL1172">
        <v>-87.522346999999996</v>
      </c>
      <c r="AM1172">
        <v>100</v>
      </c>
      <c r="AN1172">
        <v>2800</v>
      </c>
      <c r="AO1172" t="s">
        <v>118</v>
      </c>
      <c r="AP1172">
        <v>-101</v>
      </c>
      <c r="AQ1172">
        <v>-133</v>
      </c>
      <c r="AR1172">
        <v>-64</v>
      </c>
      <c r="AZ1172">
        <v>4552</v>
      </c>
      <c r="BA1172">
        <v>1</v>
      </c>
      <c r="BB1172" t="str">
        <f t="shared" si="56"/>
        <v xml:space="preserve">N607SR  </v>
      </c>
      <c r="BC1172">
        <v>1</v>
      </c>
      <c r="BE1172">
        <v>0</v>
      </c>
      <c r="BF1172">
        <v>0</v>
      </c>
      <c r="BG1172">
        <v>0</v>
      </c>
      <c r="BH1172">
        <v>2600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"06:15:32.801"</f>
        <v>06:15:32.801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6</v>
      </c>
      <c r="CP1172" t="s">
        <v>119</v>
      </c>
      <c r="CQ1172">
        <v>457</v>
      </c>
      <c r="CR1172">
        <v>0</v>
      </c>
      <c r="CW1172">
        <v>15515411</v>
      </c>
      <c r="CY1172">
        <v>1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"08/29/2020 06:15:29.607"</f>
        <v>08/29/2020 06:15:29.607</v>
      </c>
      <c r="C1173" t="str">
        <f t="shared" si="54"/>
        <v>FFDFD3C0</v>
      </c>
      <c r="D1173" t="s">
        <v>128</v>
      </c>
      <c r="E1173">
        <v>5</v>
      </c>
      <c r="H1173">
        <v>241</v>
      </c>
      <c r="I1173" t="s">
        <v>129</v>
      </c>
      <c r="J1173" t="s">
        <v>130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"06:15:32.797"</f>
        <v>06:15:32.797</v>
      </c>
      <c r="T1173" t="str">
        <f>"06:15:32.397"</f>
        <v>06:15:32.397</v>
      </c>
      <c r="U1173" t="str">
        <f t="shared" si="55"/>
        <v>A7E2E0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917</v>
      </c>
      <c r="AJ1173">
        <v>39.050496000000003</v>
      </c>
      <c r="AK1173" t="s">
        <v>918</v>
      </c>
      <c r="AL1173">
        <v>-87.522346999999996</v>
      </c>
      <c r="AM1173">
        <v>100</v>
      </c>
      <c r="AN1173">
        <v>2800</v>
      </c>
      <c r="AO1173" t="s">
        <v>118</v>
      </c>
      <c r="AP1173">
        <v>-101</v>
      </c>
      <c r="AQ1173">
        <v>-133</v>
      </c>
      <c r="AR1173">
        <v>-64</v>
      </c>
      <c r="AZ1173">
        <v>4552</v>
      </c>
      <c r="BA1173">
        <v>1</v>
      </c>
      <c r="BB1173" t="str">
        <f t="shared" si="56"/>
        <v xml:space="preserve">N607SR  </v>
      </c>
      <c r="BC1173">
        <v>1</v>
      </c>
      <c r="BE1173">
        <v>0</v>
      </c>
      <c r="BF1173">
        <v>0</v>
      </c>
      <c r="BG1173">
        <v>0</v>
      </c>
      <c r="BH1173">
        <v>2600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"06:15:32.801"</f>
        <v>06:15:32.801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6</v>
      </c>
      <c r="CP1173" t="s">
        <v>119</v>
      </c>
      <c r="CQ1173">
        <v>457</v>
      </c>
      <c r="CR1173">
        <v>0</v>
      </c>
      <c r="CW1173">
        <v>15515411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"08/29/2020 06:15:30.047"</f>
        <v>08/29/2020 06:15:30.047</v>
      </c>
      <c r="C1174" t="str">
        <f t="shared" si="54"/>
        <v>FFDFD3C0</v>
      </c>
      <c r="D1174" t="s">
        <v>121</v>
      </c>
      <c r="E1174">
        <v>11</v>
      </c>
      <c r="F1174">
        <v>1011</v>
      </c>
      <c r="G1174" t="s">
        <v>125</v>
      </c>
      <c r="J1174" t="s">
        <v>123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"06:15:33.250"</f>
        <v>06:15:33.250</v>
      </c>
      <c r="T1174" t="str">
        <f>"06:15:32.850"</f>
        <v>06:15:32.850</v>
      </c>
      <c r="U1174" t="str">
        <f t="shared" si="55"/>
        <v>A7E2E0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919</v>
      </c>
      <c r="AJ1174">
        <v>39.050151999999997</v>
      </c>
      <c r="AK1174" t="s">
        <v>920</v>
      </c>
      <c r="AL1174">
        <v>-87.522647000000006</v>
      </c>
      <c r="AM1174">
        <v>100</v>
      </c>
      <c r="AN1174">
        <v>2800</v>
      </c>
      <c r="AO1174" t="s">
        <v>118</v>
      </c>
      <c r="AP1174">
        <v>-101</v>
      </c>
      <c r="AQ1174">
        <v>-133</v>
      </c>
      <c r="AR1174">
        <v>0</v>
      </c>
      <c r="AZ1174">
        <v>4552</v>
      </c>
      <c r="BA1174">
        <v>1</v>
      </c>
      <c r="BB1174" t="str">
        <f t="shared" si="56"/>
        <v xml:space="preserve">N607SR  </v>
      </c>
      <c r="BC1174">
        <v>1</v>
      </c>
      <c r="BE1174">
        <v>0</v>
      </c>
      <c r="BF1174">
        <v>0</v>
      </c>
      <c r="BG1174">
        <v>0</v>
      </c>
      <c r="BH1174">
        <v>2600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"06:15:33.257"</f>
        <v>06:15:33.257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119</v>
      </c>
      <c r="CQ1174">
        <v>177</v>
      </c>
      <c r="CR1174">
        <v>2</v>
      </c>
      <c r="CW1174">
        <v>1636811</v>
      </c>
      <c r="CY1174">
        <v>1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"08/29/2020 06:15:30.047"</f>
        <v>08/29/2020 06:15:30.047</v>
      </c>
      <c r="C1175" t="str">
        <f t="shared" si="54"/>
        <v>FFDFD3C0</v>
      </c>
      <c r="D1175" t="s">
        <v>121</v>
      </c>
      <c r="E1175">
        <v>13</v>
      </c>
      <c r="F1175">
        <v>1013</v>
      </c>
      <c r="G1175" t="s">
        <v>122</v>
      </c>
      <c r="J1175" t="s">
        <v>123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"06:15:33.250"</f>
        <v>06:15:33.250</v>
      </c>
      <c r="T1175" t="str">
        <f>"06:15:32.850"</f>
        <v>06:15:32.850</v>
      </c>
      <c r="U1175" t="str">
        <f t="shared" si="55"/>
        <v>A7E2E0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919</v>
      </c>
      <c r="AJ1175">
        <v>39.050151999999997</v>
      </c>
      <c r="AK1175" t="s">
        <v>920</v>
      </c>
      <c r="AL1175">
        <v>-87.522647000000006</v>
      </c>
      <c r="AM1175">
        <v>100</v>
      </c>
      <c r="AN1175">
        <v>2800</v>
      </c>
      <c r="AO1175" t="s">
        <v>118</v>
      </c>
      <c r="AP1175">
        <v>-101</v>
      </c>
      <c r="AQ1175">
        <v>-133</v>
      </c>
      <c r="AR1175">
        <v>0</v>
      </c>
      <c r="AZ1175">
        <v>4552</v>
      </c>
      <c r="BA1175">
        <v>1</v>
      </c>
      <c r="BB1175" t="str">
        <f t="shared" si="56"/>
        <v xml:space="preserve">N607SR  </v>
      </c>
      <c r="BC1175">
        <v>1</v>
      </c>
      <c r="BE1175">
        <v>0</v>
      </c>
      <c r="BF1175">
        <v>0</v>
      </c>
      <c r="BG1175">
        <v>0</v>
      </c>
      <c r="BH1175">
        <v>2600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"06:15:33.257"</f>
        <v>06:15:33.257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6</v>
      </c>
      <c r="CP1175" t="s">
        <v>119</v>
      </c>
      <c r="CQ1175">
        <v>177</v>
      </c>
      <c r="CR1175">
        <v>2</v>
      </c>
      <c r="CW1175">
        <v>1636811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"08/29/2020 06:15:30.047"</f>
        <v>08/29/2020 06:15:30.047</v>
      </c>
      <c r="C1176" t="str">
        <f t="shared" si="54"/>
        <v>FFDFD3C0</v>
      </c>
      <c r="D1176" t="s">
        <v>121</v>
      </c>
      <c r="E1176">
        <v>10</v>
      </c>
      <c r="F1176">
        <v>1010</v>
      </c>
      <c r="G1176" t="s">
        <v>114</v>
      </c>
      <c r="J1176" t="s">
        <v>123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"06:15:33.250"</f>
        <v>06:15:33.250</v>
      </c>
      <c r="T1176" t="str">
        <f>"06:15:32.850"</f>
        <v>06:15:32.850</v>
      </c>
      <c r="U1176" t="str">
        <f t="shared" si="55"/>
        <v>A7E2E0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919</v>
      </c>
      <c r="AJ1176">
        <v>39.050151999999997</v>
      </c>
      <c r="AK1176" t="s">
        <v>920</v>
      </c>
      <c r="AL1176">
        <v>-87.522647000000006</v>
      </c>
      <c r="AM1176">
        <v>100</v>
      </c>
      <c r="AN1176">
        <v>2800</v>
      </c>
      <c r="AO1176" t="s">
        <v>118</v>
      </c>
      <c r="AP1176">
        <v>-101</v>
      </c>
      <c r="AQ1176">
        <v>-133</v>
      </c>
      <c r="AR1176">
        <v>0</v>
      </c>
      <c r="AZ1176">
        <v>4552</v>
      </c>
      <c r="BA1176">
        <v>1</v>
      </c>
      <c r="BB1176" t="str">
        <f t="shared" si="56"/>
        <v xml:space="preserve">N607SR  </v>
      </c>
      <c r="BC1176">
        <v>1</v>
      </c>
      <c r="BE1176">
        <v>0</v>
      </c>
      <c r="BF1176">
        <v>0</v>
      </c>
      <c r="BG1176">
        <v>0</v>
      </c>
      <c r="BH1176">
        <v>2600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"06:15:33.257"</f>
        <v>06:15:33.257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6</v>
      </c>
      <c r="CP1176" t="s">
        <v>119</v>
      </c>
      <c r="CQ1176">
        <v>177</v>
      </c>
      <c r="CR1176">
        <v>2</v>
      </c>
      <c r="CW1176">
        <v>1636811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"08/29/2020 06:15:30.622"</f>
        <v>08/29/2020 06:15:30.622</v>
      </c>
      <c r="C1177" t="str">
        <f t="shared" si="54"/>
        <v>FFDFD3C0</v>
      </c>
      <c r="D1177" t="s">
        <v>113</v>
      </c>
      <c r="E1177">
        <v>5</v>
      </c>
      <c r="H1177">
        <v>163</v>
      </c>
      <c r="I1177" t="s">
        <v>114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"06:15:33.820"</f>
        <v>06:15:33.820</v>
      </c>
      <c r="U1177" t="str">
        <f t="shared" si="55"/>
        <v>A7E2E0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921</v>
      </c>
      <c r="AJ1177">
        <v>39.049787999999999</v>
      </c>
      <c r="AK1177" t="s">
        <v>922</v>
      </c>
      <c r="AL1177">
        <v>-87.523011999999994</v>
      </c>
      <c r="AM1177">
        <v>100</v>
      </c>
      <c r="AN1177">
        <v>2800</v>
      </c>
      <c r="AO1177" t="s">
        <v>118</v>
      </c>
      <c r="AP1177">
        <v>-101</v>
      </c>
      <c r="AQ1177">
        <v>-132</v>
      </c>
      <c r="AR1177">
        <v>-64</v>
      </c>
      <c r="AZ1177">
        <v>4552</v>
      </c>
      <c r="BA1177">
        <v>1</v>
      </c>
      <c r="BB1177" t="str">
        <f t="shared" si="56"/>
        <v xml:space="preserve">N607SR  </v>
      </c>
      <c r="BC1177">
        <v>1</v>
      </c>
      <c r="BE1177">
        <v>0</v>
      </c>
      <c r="BF1177">
        <v>0</v>
      </c>
      <c r="BG1177">
        <v>0</v>
      </c>
      <c r="BH1177">
        <v>2600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"06:15:33.822"</f>
        <v>06:15:33.822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5</v>
      </c>
      <c r="CP1177" t="s">
        <v>119</v>
      </c>
      <c r="CQ1177">
        <v>517</v>
      </c>
      <c r="CR1177">
        <v>1</v>
      </c>
      <c r="CW1177">
        <v>2480202</v>
      </c>
      <c r="CY1177">
        <v>1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"08/29/2020 06:15:30.622"</f>
        <v>08/29/2020 06:15:30.622</v>
      </c>
      <c r="C1178" t="str">
        <f t="shared" si="54"/>
        <v>FFDFD3C0</v>
      </c>
      <c r="D1178" t="s">
        <v>128</v>
      </c>
      <c r="E1178">
        <v>5</v>
      </c>
      <c r="H1178">
        <v>241</v>
      </c>
      <c r="I1178" t="s">
        <v>129</v>
      </c>
      <c r="J1178" t="s">
        <v>130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"06:15:33.820"</f>
        <v>06:15:33.820</v>
      </c>
      <c r="U1178" t="str">
        <f t="shared" si="55"/>
        <v>A7E2E0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921</v>
      </c>
      <c r="AJ1178">
        <v>39.049787999999999</v>
      </c>
      <c r="AK1178" t="s">
        <v>922</v>
      </c>
      <c r="AL1178">
        <v>-87.523011999999994</v>
      </c>
      <c r="AM1178">
        <v>100</v>
      </c>
      <c r="AN1178">
        <v>2800</v>
      </c>
      <c r="AO1178" t="s">
        <v>118</v>
      </c>
      <c r="AP1178">
        <v>-101</v>
      </c>
      <c r="AQ1178">
        <v>-132</v>
      </c>
      <c r="AR1178">
        <v>-64</v>
      </c>
      <c r="AZ1178">
        <v>4552</v>
      </c>
      <c r="BA1178">
        <v>1</v>
      </c>
      <c r="BB1178" t="str">
        <f t="shared" si="56"/>
        <v xml:space="preserve">N607SR  </v>
      </c>
      <c r="BC1178">
        <v>1</v>
      </c>
      <c r="BE1178">
        <v>0</v>
      </c>
      <c r="BF1178">
        <v>0</v>
      </c>
      <c r="BG1178">
        <v>0</v>
      </c>
      <c r="BH1178">
        <v>2600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"06:15:33.822"</f>
        <v>06:15:33.822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5</v>
      </c>
      <c r="CP1178" t="s">
        <v>119</v>
      </c>
      <c r="CQ1178">
        <v>517</v>
      </c>
      <c r="CR1178">
        <v>1</v>
      </c>
      <c r="CW1178">
        <v>2480202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"08/29/2020 06:15:31.119"</f>
        <v>08/29/2020 06:15:31.119</v>
      </c>
      <c r="C1179" t="str">
        <f t="shared" si="54"/>
        <v>FFDFD3C0</v>
      </c>
      <c r="D1179" t="s">
        <v>121</v>
      </c>
      <c r="E1179">
        <v>13</v>
      </c>
      <c r="F1179">
        <v>1013</v>
      </c>
      <c r="G1179" t="s">
        <v>122</v>
      </c>
      <c r="J1179" t="s">
        <v>123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"06:15:34.344"</f>
        <v>06:15:34.344</v>
      </c>
      <c r="T1179" t="str">
        <f>"06:15:33.844"</f>
        <v>06:15:33.844</v>
      </c>
      <c r="U1179" t="str">
        <f t="shared" si="55"/>
        <v>A7E2E0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923</v>
      </c>
      <c r="AJ1179">
        <v>39.049486999999999</v>
      </c>
      <c r="AK1179" t="s">
        <v>924</v>
      </c>
      <c r="AL1179">
        <v>-87.523291</v>
      </c>
      <c r="AM1179">
        <v>100</v>
      </c>
      <c r="AN1179">
        <v>2800</v>
      </c>
      <c r="AO1179" t="s">
        <v>118</v>
      </c>
      <c r="AP1179">
        <v>-101</v>
      </c>
      <c r="AQ1179">
        <v>-132</v>
      </c>
      <c r="AR1179">
        <v>-64</v>
      </c>
      <c r="AZ1179">
        <v>4552</v>
      </c>
      <c r="BA1179">
        <v>1</v>
      </c>
      <c r="BB1179" t="str">
        <f t="shared" si="56"/>
        <v xml:space="preserve">N607SR  </v>
      </c>
      <c r="BC1179">
        <v>1</v>
      </c>
      <c r="BE1179">
        <v>0</v>
      </c>
      <c r="BF1179">
        <v>0</v>
      </c>
      <c r="BG1179">
        <v>0</v>
      </c>
      <c r="BH1179">
        <v>2600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"06:15:34.348"</f>
        <v>06:15:34.348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119</v>
      </c>
      <c r="CQ1179">
        <v>457</v>
      </c>
      <c r="CR1179">
        <v>0</v>
      </c>
      <c r="CW1179">
        <v>15515448</v>
      </c>
      <c r="CY1179">
        <v>1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"08/29/2020 06:15:31.119"</f>
        <v>08/29/2020 06:15:31.119</v>
      </c>
      <c r="C1180" t="str">
        <f t="shared" si="54"/>
        <v>FFDFD3C0</v>
      </c>
      <c r="D1180" t="s">
        <v>121</v>
      </c>
      <c r="E1180">
        <v>10</v>
      </c>
      <c r="F1180">
        <v>1010</v>
      </c>
      <c r="G1180" t="s">
        <v>114</v>
      </c>
      <c r="J1180" t="s">
        <v>123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"06:15:34.344"</f>
        <v>06:15:34.344</v>
      </c>
      <c r="T1180" t="str">
        <f>"06:15:33.844"</f>
        <v>06:15:33.844</v>
      </c>
      <c r="U1180" t="str">
        <f t="shared" si="55"/>
        <v>A7E2E0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923</v>
      </c>
      <c r="AJ1180">
        <v>39.049486999999999</v>
      </c>
      <c r="AK1180" t="s">
        <v>924</v>
      </c>
      <c r="AL1180">
        <v>-87.523291</v>
      </c>
      <c r="AM1180">
        <v>100</v>
      </c>
      <c r="AN1180">
        <v>2800</v>
      </c>
      <c r="AO1180" t="s">
        <v>118</v>
      </c>
      <c r="AP1180">
        <v>-101</v>
      </c>
      <c r="AQ1180">
        <v>-132</v>
      </c>
      <c r="AR1180">
        <v>-64</v>
      </c>
      <c r="AZ1180">
        <v>4552</v>
      </c>
      <c r="BA1180">
        <v>1</v>
      </c>
      <c r="BB1180" t="str">
        <f t="shared" si="56"/>
        <v xml:space="preserve">N607SR  </v>
      </c>
      <c r="BC1180">
        <v>1</v>
      </c>
      <c r="BE1180">
        <v>0</v>
      </c>
      <c r="BF1180">
        <v>0</v>
      </c>
      <c r="BG1180">
        <v>0</v>
      </c>
      <c r="BH1180">
        <v>2600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"06:15:34.348"</f>
        <v>06:15:34.348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457</v>
      </c>
      <c r="CR1180">
        <v>0</v>
      </c>
      <c r="CW1180">
        <v>15515448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"08/29/2020 06:15:31.119"</f>
        <v>08/29/2020 06:15:31.119</v>
      </c>
      <c r="C1181" t="str">
        <f t="shared" si="54"/>
        <v>FFDFD3C0</v>
      </c>
      <c r="D1181" t="s">
        <v>121</v>
      </c>
      <c r="E1181">
        <v>11</v>
      </c>
      <c r="F1181">
        <v>1011</v>
      </c>
      <c r="G1181" t="s">
        <v>125</v>
      </c>
      <c r="J1181" t="s">
        <v>123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"06:15:34.344"</f>
        <v>06:15:34.344</v>
      </c>
      <c r="T1181" t="str">
        <f>"06:15:33.844"</f>
        <v>06:15:33.844</v>
      </c>
      <c r="U1181" t="str">
        <f t="shared" si="55"/>
        <v>A7E2E0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923</v>
      </c>
      <c r="AJ1181">
        <v>39.049486999999999</v>
      </c>
      <c r="AK1181" t="s">
        <v>924</v>
      </c>
      <c r="AL1181">
        <v>-87.523291</v>
      </c>
      <c r="AM1181">
        <v>100</v>
      </c>
      <c r="AN1181">
        <v>2800</v>
      </c>
      <c r="AO1181" t="s">
        <v>118</v>
      </c>
      <c r="AP1181">
        <v>-101</v>
      </c>
      <c r="AQ1181">
        <v>-132</v>
      </c>
      <c r="AR1181">
        <v>-64</v>
      </c>
      <c r="AZ1181">
        <v>4552</v>
      </c>
      <c r="BA1181">
        <v>1</v>
      </c>
      <c r="BB1181" t="str">
        <f t="shared" si="56"/>
        <v xml:space="preserve">N607SR  </v>
      </c>
      <c r="BC1181">
        <v>1</v>
      </c>
      <c r="BE1181">
        <v>0</v>
      </c>
      <c r="BF1181">
        <v>0</v>
      </c>
      <c r="BG1181">
        <v>0</v>
      </c>
      <c r="BH1181">
        <v>2600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"06:15:34.348"</f>
        <v>06:15:34.348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119</v>
      </c>
      <c r="CQ1181">
        <v>457</v>
      </c>
      <c r="CR1181">
        <v>0</v>
      </c>
      <c r="CW1181">
        <v>15515448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"08/29/2020 06:15:31.585"</f>
        <v>08/29/2020 06:15:31.585</v>
      </c>
      <c r="C1182" t="str">
        <f t="shared" si="54"/>
        <v>FFDFD3C0</v>
      </c>
      <c r="D1182" t="s">
        <v>113</v>
      </c>
      <c r="E1182">
        <v>5</v>
      </c>
      <c r="H1182">
        <v>163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"06:15:34.781"</f>
        <v>06:15:34.781</v>
      </c>
      <c r="T1182" t="str">
        <f>"06:15:34.381"</f>
        <v>06:15:34.381</v>
      </c>
      <c r="U1182" t="str">
        <f t="shared" si="55"/>
        <v>A7E2E0</v>
      </c>
      <c r="V1182">
        <v>0</v>
      </c>
      <c r="W1182">
        <v>0</v>
      </c>
      <c r="X1182">
        <v>1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925</v>
      </c>
      <c r="AJ1182">
        <v>39.049250999999998</v>
      </c>
      <c r="AK1182" t="s">
        <v>926</v>
      </c>
      <c r="AL1182">
        <v>-87.523549000000003</v>
      </c>
      <c r="AM1182">
        <v>100</v>
      </c>
      <c r="AN1182">
        <v>2800</v>
      </c>
      <c r="AO1182" t="s">
        <v>118</v>
      </c>
      <c r="AP1182">
        <v>-100</v>
      </c>
      <c r="AQ1182">
        <v>-132</v>
      </c>
      <c r="AR1182">
        <v>-64</v>
      </c>
      <c r="AZ1182">
        <v>4552</v>
      </c>
      <c r="BA1182">
        <v>1</v>
      </c>
      <c r="BB1182" t="str">
        <f t="shared" si="56"/>
        <v xml:space="preserve">N607SR  </v>
      </c>
      <c r="BC1182">
        <v>1</v>
      </c>
      <c r="BE1182">
        <v>0</v>
      </c>
      <c r="BF1182">
        <v>0</v>
      </c>
      <c r="BG1182">
        <v>0</v>
      </c>
      <c r="BH1182">
        <v>2600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"06:15:34.789"</f>
        <v>06:15:34.789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457</v>
      </c>
      <c r="CR1182">
        <v>0</v>
      </c>
      <c r="CW1182">
        <v>15515460</v>
      </c>
      <c r="CY1182">
        <v>1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"08/29/2020 06:15:31.585"</f>
        <v>08/29/2020 06:15:31.585</v>
      </c>
      <c r="C1183" t="str">
        <f t="shared" si="54"/>
        <v>FFDFD3C0</v>
      </c>
      <c r="D1183" t="s">
        <v>128</v>
      </c>
      <c r="E1183">
        <v>5</v>
      </c>
      <c r="H1183">
        <v>241</v>
      </c>
      <c r="I1183" t="s">
        <v>129</v>
      </c>
      <c r="J1183" t="s">
        <v>130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"06:15:34.781"</f>
        <v>06:15:34.781</v>
      </c>
      <c r="T1183" t="str">
        <f>"06:15:34.381"</f>
        <v>06:15:34.381</v>
      </c>
      <c r="U1183" t="str">
        <f t="shared" si="55"/>
        <v>A7E2E0</v>
      </c>
      <c r="V1183">
        <v>0</v>
      </c>
      <c r="W1183">
        <v>0</v>
      </c>
      <c r="X1183">
        <v>1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925</v>
      </c>
      <c r="AJ1183">
        <v>39.049250999999998</v>
      </c>
      <c r="AK1183" t="s">
        <v>926</v>
      </c>
      <c r="AL1183">
        <v>-87.523549000000003</v>
      </c>
      <c r="AM1183">
        <v>100</v>
      </c>
      <c r="AN1183">
        <v>2800</v>
      </c>
      <c r="AO1183" t="s">
        <v>118</v>
      </c>
      <c r="AP1183">
        <v>-100</v>
      </c>
      <c r="AQ1183">
        <v>-132</v>
      </c>
      <c r="AR1183">
        <v>-64</v>
      </c>
      <c r="AZ1183">
        <v>4552</v>
      </c>
      <c r="BA1183">
        <v>1</v>
      </c>
      <c r="BB1183" t="str">
        <f t="shared" si="56"/>
        <v xml:space="preserve">N607SR  </v>
      </c>
      <c r="BC1183">
        <v>1</v>
      </c>
      <c r="BE1183">
        <v>0</v>
      </c>
      <c r="BF1183">
        <v>0</v>
      </c>
      <c r="BG1183">
        <v>0</v>
      </c>
      <c r="BH1183">
        <v>2600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"06:15:34.789"</f>
        <v>06:15:34.789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457</v>
      </c>
      <c r="CR1183">
        <v>0</v>
      </c>
      <c r="CW1183">
        <v>15515460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"08/29/2020 06:15:32.588"</f>
        <v>08/29/2020 06:15:32.588</v>
      </c>
      <c r="C1184" t="str">
        <f t="shared" si="54"/>
        <v>FFDFD3C0</v>
      </c>
      <c r="D1184" t="s">
        <v>121</v>
      </c>
      <c r="E1184">
        <v>10</v>
      </c>
      <c r="F1184">
        <v>1010</v>
      </c>
      <c r="G1184" t="s">
        <v>114</v>
      </c>
      <c r="J1184" t="s">
        <v>123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"06:15:35.813"</f>
        <v>06:15:35.813</v>
      </c>
      <c r="T1184" t="str">
        <f>"06:15:35.412"</f>
        <v>06:15:35.412</v>
      </c>
      <c r="U1184" t="str">
        <f t="shared" si="55"/>
        <v>A7E2E0</v>
      </c>
      <c r="V1184">
        <v>0</v>
      </c>
      <c r="W1184">
        <v>0</v>
      </c>
      <c r="X1184">
        <v>1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927</v>
      </c>
      <c r="AJ1184">
        <v>39.048586</v>
      </c>
      <c r="AK1184" t="s">
        <v>928</v>
      </c>
      <c r="AL1184">
        <v>-87.524170999999996</v>
      </c>
      <c r="AM1184">
        <v>100</v>
      </c>
      <c r="AN1184">
        <v>2800</v>
      </c>
      <c r="AO1184" t="s">
        <v>118</v>
      </c>
      <c r="AP1184">
        <v>-100</v>
      </c>
      <c r="AQ1184">
        <v>-132</v>
      </c>
      <c r="AR1184">
        <v>0</v>
      </c>
      <c r="AZ1184">
        <v>4552</v>
      </c>
      <c r="BA1184">
        <v>1</v>
      </c>
      <c r="BB1184" t="str">
        <f t="shared" si="56"/>
        <v xml:space="preserve">N607SR  </v>
      </c>
      <c r="BC1184">
        <v>1</v>
      </c>
      <c r="BE1184">
        <v>0</v>
      </c>
      <c r="BF1184">
        <v>0</v>
      </c>
      <c r="BG1184">
        <v>0</v>
      </c>
      <c r="BH1184">
        <v>2575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"06:15:35.813"</f>
        <v>06:15:35.813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6</v>
      </c>
      <c r="CP1184" t="s">
        <v>119</v>
      </c>
      <c r="CQ1184">
        <v>457</v>
      </c>
      <c r="CR1184">
        <v>0</v>
      </c>
      <c r="CW1184">
        <v>15515484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"08/29/2020 06:15:32.588"</f>
        <v>08/29/2020 06:15:32.588</v>
      </c>
      <c r="C1185" t="str">
        <f t="shared" si="54"/>
        <v>FFDFD3C0</v>
      </c>
      <c r="D1185" t="s">
        <v>121</v>
      </c>
      <c r="E1185">
        <v>13</v>
      </c>
      <c r="F1185">
        <v>1013</v>
      </c>
      <c r="G1185" t="s">
        <v>122</v>
      </c>
      <c r="J1185" t="s">
        <v>123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"06:15:35.813"</f>
        <v>06:15:35.813</v>
      </c>
      <c r="T1185" t="str">
        <f>"06:15:35.412"</f>
        <v>06:15:35.412</v>
      </c>
      <c r="U1185" t="str">
        <f t="shared" si="55"/>
        <v>A7E2E0</v>
      </c>
      <c r="V1185">
        <v>0</v>
      </c>
      <c r="W1185">
        <v>0</v>
      </c>
      <c r="X1185">
        <v>1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927</v>
      </c>
      <c r="AJ1185">
        <v>39.048586</v>
      </c>
      <c r="AK1185" t="s">
        <v>928</v>
      </c>
      <c r="AL1185">
        <v>-87.524170999999996</v>
      </c>
      <c r="AM1185">
        <v>100</v>
      </c>
      <c r="AN1185">
        <v>2800</v>
      </c>
      <c r="AO1185" t="s">
        <v>118</v>
      </c>
      <c r="AP1185">
        <v>-100</v>
      </c>
      <c r="AQ1185">
        <v>-132</v>
      </c>
      <c r="AR1185">
        <v>0</v>
      </c>
      <c r="AZ1185">
        <v>4552</v>
      </c>
      <c r="BA1185">
        <v>1</v>
      </c>
      <c r="BB1185" t="str">
        <f t="shared" si="56"/>
        <v xml:space="preserve">N607SR  </v>
      </c>
      <c r="BC1185">
        <v>1</v>
      </c>
      <c r="BE1185">
        <v>0</v>
      </c>
      <c r="BF1185">
        <v>0</v>
      </c>
      <c r="BG1185">
        <v>0</v>
      </c>
      <c r="BH1185">
        <v>2575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"06:15:35.813"</f>
        <v>06:15:35.813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457</v>
      </c>
      <c r="CR1185">
        <v>0</v>
      </c>
      <c r="CW1185">
        <v>15515484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"08/29/2020 06:15:32.588"</f>
        <v>08/29/2020 06:15:32.588</v>
      </c>
      <c r="C1186" t="str">
        <f t="shared" si="54"/>
        <v>FFDFD3C0</v>
      </c>
      <c r="D1186" t="s">
        <v>113</v>
      </c>
      <c r="E1186">
        <v>5</v>
      </c>
      <c r="H1186">
        <v>163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"06:15:35.813"</f>
        <v>06:15:35.813</v>
      </c>
      <c r="T1186" t="str">
        <f>"06:15:35.412"</f>
        <v>06:15:35.412</v>
      </c>
      <c r="U1186" t="str">
        <f t="shared" si="55"/>
        <v>A7E2E0</v>
      </c>
      <c r="V1186">
        <v>0</v>
      </c>
      <c r="W1186">
        <v>0</v>
      </c>
      <c r="X1186">
        <v>1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927</v>
      </c>
      <c r="AJ1186">
        <v>39.048586</v>
      </c>
      <c r="AK1186" t="s">
        <v>928</v>
      </c>
      <c r="AL1186">
        <v>-87.524170999999996</v>
      </c>
      <c r="AM1186">
        <v>100</v>
      </c>
      <c r="AN1186">
        <v>2800</v>
      </c>
      <c r="AO1186" t="s">
        <v>118</v>
      </c>
      <c r="AP1186">
        <v>-100</v>
      </c>
      <c r="AQ1186">
        <v>-132</v>
      </c>
      <c r="AR1186">
        <v>0</v>
      </c>
      <c r="AZ1186">
        <v>4552</v>
      </c>
      <c r="BA1186">
        <v>1</v>
      </c>
      <c r="BB1186" t="str">
        <f t="shared" si="56"/>
        <v xml:space="preserve">N607SR  </v>
      </c>
      <c r="BC1186">
        <v>1</v>
      </c>
      <c r="BE1186">
        <v>0</v>
      </c>
      <c r="BF1186">
        <v>0</v>
      </c>
      <c r="BG1186">
        <v>0</v>
      </c>
      <c r="BH1186">
        <v>2575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"06:15:35.813"</f>
        <v>06:15:35.813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457</v>
      </c>
      <c r="CR1186">
        <v>0</v>
      </c>
      <c r="CW1186">
        <v>15515484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"08/29/2020 06:15:32.588"</f>
        <v>08/29/2020 06:15:32.588</v>
      </c>
      <c r="C1187" t="str">
        <f t="shared" si="54"/>
        <v>FFDFD3C0</v>
      </c>
      <c r="D1187" t="s">
        <v>128</v>
      </c>
      <c r="E1187">
        <v>5</v>
      </c>
      <c r="H1187">
        <v>241</v>
      </c>
      <c r="I1187" t="s">
        <v>129</v>
      </c>
      <c r="J1187" t="s">
        <v>130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"06:15:35.813"</f>
        <v>06:15:35.813</v>
      </c>
      <c r="T1187" t="str">
        <f>"06:15:35.412"</f>
        <v>06:15:35.412</v>
      </c>
      <c r="U1187" t="str">
        <f t="shared" si="55"/>
        <v>A7E2E0</v>
      </c>
      <c r="V1187">
        <v>0</v>
      </c>
      <c r="W1187">
        <v>0</v>
      </c>
      <c r="X1187">
        <v>1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927</v>
      </c>
      <c r="AJ1187">
        <v>39.048586</v>
      </c>
      <c r="AK1187" t="s">
        <v>928</v>
      </c>
      <c r="AL1187">
        <v>-87.524170999999996</v>
      </c>
      <c r="AM1187">
        <v>100</v>
      </c>
      <c r="AN1187">
        <v>2800</v>
      </c>
      <c r="AO1187" t="s">
        <v>118</v>
      </c>
      <c r="AP1187">
        <v>-100</v>
      </c>
      <c r="AQ1187">
        <v>-132</v>
      </c>
      <c r="AR1187">
        <v>0</v>
      </c>
      <c r="AZ1187">
        <v>4552</v>
      </c>
      <c r="BA1187">
        <v>1</v>
      </c>
      <c r="BB1187" t="str">
        <f t="shared" si="56"/>
        <v xml:space="preserve">N607SR  </v>
      </c>
      <c r="BC1187">
        <v>1</v>
      </c>
      <c r="BE1187">
        <v>0</v>
      </c>
      <c r="BF1187">
        <v>0</v>
      </c>
      <c r="BG1187">
        <v>0</v>
      </c>
      <c r="BH1187">
        <v>2575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"06:15:35.813"</f>
        <v>06:15:35.813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457</v>
      </c>
      <c r="CR1187">
        <v>0</v>
      </c>
      <c r="CW1187">
        <v>15515484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"08/29/2020 06:15:32.588"</f>
        <v>08/29/2020 06:15:32.588</v>
      </c>
      <c r="C1188" t="str">
        <f t="shared" si="54"/>
        <v>FFDFD3C0</v>
      </c>
      <c r="D1188" t="s">
        <v>121</v>
      </c>
      <c r="E1188">
        <v>11</v>
      </c>
      <c r="F1188">
        <v>1011</v>
      </c>
      <c r="G1188" t="s">
        <v>125</v>
      </c>
      <c r="J1188" t="s">
        <v>123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"06:15:35.813"</f>
        <v>06:15:35.813</v>
      </c>
      <c r="T1188" t="str">
        <f>"06:15:35.412"</f>
        <v>06:15:35.412</v>
      </c>
      <c r="U1188" t="str">
        <f t="shared" si="55"/>
        <v>A7E2E0</v>
      </c>
      <c r="V1188">
        <v>0</v>
      </c>
      <c r="W1188">
        <v>0</v>
      </c>
      <c r="X1188">
        <v>1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927</v>
      </c>
      <c r="AJ1188">
        <v>39.048586</v>
      </c>
      <c r="AK1188" t="s">
        <v>928</v>
      </c>
      <c r="AL1188">
        <v>-87.524170999999996</v>
      </c>
      <c r="AM1188">
        <v>100</v>
      </c>
      <c r="AN1188">
        <v>2800</v>
      </c>
      <c r="AO1188" t="s">
        <v>118</v>
      </c>
      <c r="AP1188">
        <v>-100</v>
      </c>
      <c r="AQ1188">
        <v>-132</v>
      </c>
      <c r="AR1188">
        <v>0</v>
      </c>
      <c r="AZ1188">
        <v>4552</v>
      </c>
      <c r="BA1188">
        <v>1</v>
      </c>
      <c r="BB1188" t="str">
        <f t="shared" si="56"/>
        <v xml:space="preserve">N607SR  </v>
      </c>
      <c r="BC1188">
        <v>1</v>
      </c>
      <c r="BE1188">
        <v>0</v>
      </c>
      <c r="BF1188">
        <v>0</v>
      </c>
      <c r="BG1188">
        <v>0</v>
      </c>
      <c r="BH1188">
        <v>2575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"06:15:35.813"</f>
        <v>06:15:35.813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457</v>
      </c>
      <c r="CR1188">
        <v>0</v>
      </c>
      <c r="CW1188">
        <v>15515484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"08/29/2020 06:15:33.666"</f>
        <v>08/29/2020 06:15:33.666</v>
      </c>
      <c r="C1189" t="str">
        <f t="shared" si="54"/>
        <v>FFDFD3C0</v>
      </c>
      <c r="D1189" t="s">
        <v>113</v>
      </c>
      <c r="E1189">
        <v>5</v>
      </c>
      <c r="H1189">
        <v>163</v>
      </c>
      <c r="I1189" t="s">
        <v>114</v>
      </c>
      <c r="J1189" t="s">
        <v>115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"06:15:36.875"</f>
        <v>06:15:36.875</v>
      </c>
      <c r="T1189" t="str">
        <f>"06:15:36.375"</f>
        <v>06:15:36.375</v>
      </c>
      <c r="U1189" t="str">
        <f t="shared" si="55"/>
        <v>A7E2E0</v>
      </c>
      <c r="V1189">
        <v>0</v>
      </c>
      <c r="W1189">
        <v>0</v>
      </c>
      <c r="X1189">
        <v>1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929</v>
      </c>
      <c r="AJ1189">
        <v>39.047964</v>
      </c>
      <c r="AK1189" t="s">
        <v>930</v>
      </c>
      <c r="AL1189">
        <v>-87.524771999999999</v>
      </c>
      <c r="AM1189">
        <v>100</v>
      </c>
      <c r="AN1189">
        <v>2800</v>
      </c>
      <c r="AO1189" t="s">
        <v>118</v>
      </c>
      <c r="AP1189">
        <v>-100</v>
      </c>
      <c r="AQ1189">
        <v>-132</v>
      </c>
      <c r="AR1189">
        <v>-64</v>
      </c>
      <c r="AZ1189">
        <v>4552</v>
      </c>
      <c r="BA1189">
        <v>1</v>
      </c>
      <c r="BB1189" t="str">
        <f t="shared" si="56"/>
        <v xml:space="preserve">N607SR  </v>
      </c>
      <c r="BC1189">
        <v>1</v>
      </c>
      <c r="BE1189">
        <v>0</v>
      </c>
      <c r="BF1189">
        <v>0</v>
      </c>
      <c r="BG1189">
        <v>0</v>
      </c>
      <c r="BH1189">
        <v>2575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"06:15:36.879"</f>
        <v>06:15:36.879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457</v>
      </c>
      <c r="CR1189">
        <v>0</v>
      </c>
      <c r="CW1189">
        <v>15515515</v>
      </c>
      <c r="CY1189">
        <v>1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"08/29/2020 06:15:33.666"</f>
        <v>08/29/2020 06:15:33.666</v>
      </c>
      <c r="C1190" t="str">
        <f t="shared" si="54"/>
        <v>FFDFD3C0</v>
      </c>
      <c r="D1190" t="s">
        <v>128</v>
      </c>
      <c r="E1190">
        <v>5</v>
      </c>
      <c r="H1190">
        <v>241</v>
      </c>
      <c r="I1190" t="s">
        <v>129</v>
      </c>
      <c r="J1190" t="s">
        <v>130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"06:15:36.875"</f>
        <v>06:15:36.875</v>
      </c>
      <c r="T1190" t="str">
        <f>"06:15:36.375"</f>
        <v>06:15:36.375</v>
      </c>
      <c r="U1190" t="str">
        <f t="shared" si="55"/>
        <v>A7E2E0</v>
      </c>
      <c r="V1190">
        <v>0</v>
      </c>
      <c r="W1190">
        <v>0</v>
      </c>
      <c r="X1190">
        <v>1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929</v>
      </c>
      <c r="AJ1190">
        <v>39.047964</v>
      </c>
      <c r="AK1190" t="s">
        <v>930</v>
      </c>
      <c r="AL1190">
        <v>-87.524771999999999</v>
      </c>
      <c r="AM1190">
        <v>100</v>
      </c>
      <c r="AN1190">
        <v>2800</v>
      </c>
      <c r="AO1190" t="s">
        <v>118</v>
      </c>
      <c r="AP1190">
        <v>-100</v>
      </c>
      <c r="AQ1190">
        <v>-132</v>
      </c>
      <c r="AR1190">
        <v>-64</v>
      </c>
      <c r="AZ1190">
        <v>4552</v>
      </c>
      <c r="BA1190">
        <v>1</v>
      </c>
      <c r="BB1190" t="str">
        <f t="shared" si="56"/>
        <v xml:space="preserve">N607SR  </v>
      </c>
      <c r="BC1190">
        <v>1</v>
      </c>
      <c r="BE1190">
        <v>0</v>
      </c>
      <c r="BF1190">
        <v>0</v>
      </c>
      <c r="BG1190">
        <v>0</v>
      </c>
      <c r="BH1190">
        <v>2575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"06:15:36.879"</f>
        <v>06:15:36.879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457</v>
      </c>
      <c r="CR1190">
        <v>0</v>
      </c>
      <c r="CW1190">
        <v>15515515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"08/29/2020 06:15:33.666"</f>
        <v>08/29/2020 06:15:33.666</v>
      </c>
      <c r="C1191" t="str">
        <f t="shared" si="54"/>
        <v>FFDFD3C0</v>
      </c>
      <c r="D1191" t="s">
        <v>121</v>
      </c>
      <c r="E1191">
        <v>11</v>
      </c>
      <c r="F1191">
        <v>1011</v>
      </c>
      <c r="G1191" t="s">
        <v>125</v>
      </c>
      <c r="J1191" t="s">
        <v>123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"06:15:36.875"</f>
        <v>06:15:36.875</v>
      </c>
      <c r="T1191" t="str">
        <f>"06:15:36.375"</f>
        <v>06:15:36.375</v>
      </c>
      <c r="U1191" t="str">
        <f t="shared" si="55"/>
        <v>A7E2E0</v>
      </c>
      <c r="V1191">
        <v>0</v>
      </c>
      <c r="W1191">
        <v>0</v>
      </c>
      <c r="X1191">
        <v>1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929</v>
      </c>
      <c r="AJ1191">
        <v>39.047964</v>
      </c>
      <c r="AK1191" t="s">
        <v>930</v>
      </c>
      <c r="AL1191">
        <v>-87.524771999999999</v>
      </c>
      <c r="AM1191">
        <v>100</v>
      </c>
      <c r="AN1191">
        <v>2800</v>
      </c>
      <c r="AO1191" t="s">
        <v>118</v>
      </c>
      <c r="AP1191">
        <v>-100</v>
      </c>
      <c r="AQ1191">
        <v>-132</v>
      </c>
      <c r="AR1191">
        <v>-64</v>
      </c>
      <c r="AZ1191">
        <v>4552</v>
      </c>
      <c r="BA1191">
        <v>1</v>
      </c>
      <c r="BB1191" t="str">
        <f t="shared" si="56"/>
        <v xml:space="preserve">N607SR  </v>
      </c>
      <c r="BC1191">
        <v>1</v>
      </c>
      <c r="BE1191">
        <v>0</v>
      </c>
      <c r="BF1191">
        <v>0</v>
      </c>
      <c r="BG1191">
        <v>0</v>
      </c>
      <c r="BH1191">
        <v>2575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"06:15:36.879"</f>
        <v>06:15:36.879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457</v>
      </c>
      <c r="CR1191">
        <v>0</v>
      </c>
      <c r="CW1191">
        <v>15515515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"08/29/2020 06:15:33.666"</f>
        <v>08/29/2020 06:15:33.666</v>
      </c>
      <c r="C1192" t="str">
        <f t="shared" si="54"/>
        <v>FFDFD3C0</v>
      </c>
      <c r="D1192" t="s">
        <v>121</v>
      </c>
      <c r="E1192">
        <v>10</v>
      </c>
      <c r="F1192">
        <v>1010</v>
      </c>
      <c r="G1192" t="s">
        <v>114</v>
      </c>
      <c r="J1192" t="s">
        <v>123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"06:15:36.875"</f>
        <v>06:15:36.875</v>
      </c>
      <c r="T1192" t="str">
        <f>"06:15:36.375"</f>
        <v>06:15:36.375</v>
      </c>
      <c r="U1192" t="str">
        <f t="shared" si="55"/>
        <v>A7E2E0</v>
      </c>
      <c r="V1192">
        <v>0</v>
      </c>
      <c r="W1192">
        <v>0</v>
      </c>
      <c r="X1192">
        <v>1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929</v>
      </c>
      <c r="AJ1192">
        <v>39.047964</v>
      </c>
      <c r="AK1192" t="s">
        <v>930</v>
      </c>
      <c r="AL1192">
        <v>-87.524771999999999</v>
      </c>
      <c r="AM1192">
        <v>100</v>
      </c>
      <c r="AN1192">
        <v>2800</v>
      </c>
      <c r="AO1192" t="s">
        <v>118</v>
      </c>
      <c r="AP1192">
        <v>-100</v>
      </c>
      <c r="AQ1192">
        <v>-132</v>
      </c>
      <c r="AR1192">
        <v>-64</v>
      </c>
      <c r="AZ1192">
        <v>4552</v>
      </c>
      <c r="BA1192">
        <v>1</v>
      </c>
      <c r="BB1192" t="str">
        <f t="shared" si="56"/>
        <v xml:space="preserve">N607SR  </v>
      </c>
      <c r="BC1192">
        <v>1</v>
      </c>
      <c r="BE1192">
        <v>0</v>
      </c>
      <c r="BF1192">
        <v>0</v>
      </c>
      <c r="BG1192">
        <v>0</v>
      </c>
      <c r="BH1192">
        <v>2575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"06:15:36.879"</f>
        <v>06:15:36.879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457</v>
      </c>
      <c r="CR1192">
        <v>0</v>
      </c>
      <c r="CW1192">
        <v>15515515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"08/29/2020 06:15:33.666"</f>
        <v>08/29/2020 06:15:33.666</v>
      </c>
      <c r="C1193" t="str">
        <f t="shared" si="54"/>
        <v>FFDFD3C0</v>
      </c>
      <c r="D1193" t="s">
        <v>121</v>
      </c>
      <c r="E1193">
        <v>13</v>
      </c>
      <c r="F1193">
        <v>1013</v>
      </c>
      <c r="G1193" t="s">
        <v>122</v>
      </c>
      <c r="J1193" t="s">
        <v>123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"06:15:36.875"</f>
        <v>06:15:36.875</v>
      </c>
      <c r="T1193" t="str">
        <f>"06:15:36.375"</f>
        <v>06:15:36.375</v>
      </c>
      <c r="U1193" t="str">
        <f t="shared" si="55"/>
        <v>A7E2E0</v>
      </c>
      <c r="V1193">
        <v>0</v>
      </c>
      <c r="W1193">
        <v>0</v>
      </c>
      <c r="X1193">
        <v>1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929</v>
      </c>
      <c r="AJ1193">
        <v>39.047964</v>
      </c>
      <c r="AK1193" t="s">
        <v>930</v>
      </c>
      <c r="AL1193">
        <v>-87.524771999999999</v>
      </c>
      <c r="AM1193">
        <v>100</v>
      </c>
      <c r="AN1193">
        <v>2800</v>
      </c>
      <c r="AO1193" t="s">
        <v>118</v>
      </c>
      <c r="AP1193">
        <v>-100</v>
      </c>
      <c r="AQ1193">
        <v>-132</v>
      </c>
      <c r="AR1193">
        <v>-64</v>
      </c>
      <c r="AZ1193">
        <v>4552</v>
      </c>
      <c r="BA1193">
        <v>1</v>
      </c>
      <c r="BB1193" t="str">
        <f t="shared" si="56"/>
        <v xml:space="preserve">N607SR  </v>
      </c>
      <c r="BC1193">
        <v>1</v>
      </c>
      <c r="BE1193">
        <v>0</v>
      </c>
      <c r="BF1193">
        <v>0</v>
      </c>
      <c r="BG1193">
        <v>0</v>
      </c>
      <c r="BH1193">
        <v>2575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"06:15:36.879"</f>
        <v>06:15:36.879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457</v>
      </c>
      <c r="CR1193">
        <v>0</v>
      </c>
      <c r="CW1193">
        <v>15515515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"08/29/2020 06:15:34.711"</f>
        <v>08/29/2020 06:15:34.711</v>
      </c>
      <c r="C1194" t="str">
        <f t="shared" si="54"/>
        <v>FFDFD3C0</v>
      </c>
      <c r="D1194" t="s">
        <v>121</v>
      </c>
      <c r="E1194">
        <v>11</v>
      </c>
      <c r="F1194">
        <v>1011</v>
      </c>
      <c r="G1194" t="s">
        <v>125</v>
      </c>
      <c r="J1194" t="s">
        <v>123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"06:15:37.914"</f>
        <v>06:15:37.914</v>
      </c>
      <c r="T1194" t="str">
        <f>"06:15:37.514"</f>
        <v>06:15:37.514</v>
      </c>
      <c r="U1194" t="str">
        <f t="shared" si="55"/>
        <v>A7E2E0</v>
      </c>
      <c r="V1194">
        <v>0</v>
      </c>
      <c r="W1194">
        <v>0</v>
      </c>
      <c r="X1194">
        <v>1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931</v>
      </c>
      <c r="AJ1194">
        <v>39.047277000000001</v>
      </c>
      <c r="AK1194" t="s">
        <v>932</v>
      </c>
      <c r="AL1194">
        <v>-87.525458</v>
      </c>
      <c r="AM1194">
        <v>100</v>
      </c>
      <c r="AN1194">
        <v>2800</v>
      </c>
      <c r="AO1194" t="s">
        <v>118</v>
      </c>
      <c r="AP1194">
        <v>-100</v>
      </c>
      <c r="AQ1194">
        <v>-131</v>
      </c>
      <c r="AR1194">
        <v>-64</v>
      </c>
      <c r="AZ1194">
        <v>4552</v>
      </c>
      <c r="BA1194">
        <v>1</v>
      </c>
      <c r="BB1194" t="str">
        <f t="shared" si="56"/>
        <v xml:space="preserve">N607SR  </v>
      </c>
      <c r="BC1194">
        <v>1</v>
      </c>
      <c r="BE1194">
        <v>0</v>
      </c>
      <c r="BF1194">
        <v>0</v>
      </c>
      <c r="BG1194">
        <v>0</v>
      </c>
      <c r="BH1194">
        <v>2575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"06:15:37.917"</f>
        <v>06:15:37.917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6</v>
      </c>
      <c r="CP1194" t="s">
        <v>119</v>
      </c>
      <c r="CQ1194">
        <v>177</v>
      </c>
      <c r="CR1194">
        <v>2</v>
      </c>
      <c r="CW1194">
        <v>1637490</v>
      </c>
      <c r="CY1194">
        <v>1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"08/29/2020 06:15:34.711"</f>
        <v>08/29/2020 06:15:34.711</v>
      </c>
      <c r="C1195" t="str">
        <f t="shared" si="54"/>
        <v>FFDFD3C0</v>
      </c>
      <c r="D1195" t="s">
        <v>121</v>
      </c>
      <c r="E1195">
        <v>10</v>
      </c>
      <c r="F1195">
        <v>1010</v>
      </c>
      <c r="G1195" t="s">
        <v>114</v>
      </c>
      <c r="J1195" t="s">
        <v>123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"06:15:37.914"</f>
        <v>06:15:37.914</v>
      </c>
      <c r="U1195" t="str">
        <f t="shared" si="55"/>
        <v>A7E2E0</v>
      </c>
      <c r="V1195">
        <v>0</v>
      </c>
      <c r="W1195">
        <v>0</v>
      </c>
      <c r="X1195">
        <v>1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931</v>
      </c>
      <c r="AJ1195">
        <v>39.047277000000001</v>
      </c>
      <c r="AK1195" t="s">
        <v>932</v>
      </c>
      <c r="AL1195">
        <v>-87.525458</v>
      </c>
      <c r="AM1195">
        <v>100</v>
      </c>
      <c r="AN1195">
        <v>2800</v>
      </c>
      <c r="AO1195" t="s">
        <v>118</v>
      </c>
      <c r="AP1195">
        <v>-100</v>
      </c>
      <c r="AQ1195">
        <v>-131</v>
      </c>
      <c r="AR1195">
        <v>-64</v>
      </c>
      <c r="AZ1195">
        <v>4552</v>
      </c>
      <c r="BA1195">
        <v>1</v>
      </c>
      <c r="BB1195" t="str">
        <f t="shared" si="56"/>
        <v xml:space="preserve">N607SR  </v>
      </c>
      <c r="BC1195">
        <v>1</v>
      </c>
      <c r="BE1195">
        <v>0</v>
      </c>
      <c r="BF1195">
        <v>0</v>
      </c>
      <c r="BG1195">
        <v>0</v>
      </c>
      <c r="BH1195">
        <v>2575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"06:15:37.917"</f>
        <v>06:15:37.917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5</v>
      </c>
      <c r="CP1195" t="s">
        <v>119</v>
      </c>
      <c r="CQ1195">
        <v>465</v>
      </c>
      <c r="CR1195">
        <v>0</v>
      </c>
      <c r="CW1195">
        <v>4719467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"08/29/2020 06:15:34.711"</f>
        <v>08/29/2020 06:15:34.711</v>
      </c>
      <c r="C1196" t="str">
        <f t="shared" si="54"/>
        <v>FFDFD3C0</v>
      </c>
      <c r="D1196" t="s">
        <v>121</v>
      </c>
      <c r="E1196">
        <v>13</v>
      </c>
      <c r="F1196">
        <v>1013</v>
      </c>
      <c r="G1196" t="s">
        <v>122</v>
      </c>
      <c r="J1196" t="s">
        <v>123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"06:15:37.914"</f>
        <v>06:15:37.914</v>
      </c>
      <c r="U1196" t="str">
        <f t="shared" si="55"/>
        <v>A7E2E0</v>
      </c>
      <c r="V1196">
        <v>0</v>
      </c>
      <c r="W1196">
        <v>0</v>
      </c>
      <c r="X1196">
        <v>1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931</v>
      </c>
      <c r="AJ1196">
        <v>39.047277000000001</v>
      </c>
      <c r="AK1196" t="s">
        <v>932</v>
      </c>
      <c r="AL1196">
        <v>-87.525458</v>
      </c>
      <c r="AM1196">
        <v>100</v>
      </c>
      <c r="AN1196">
        <v>2800</v>
      </c>
      <c r="AO1196" t="s">
        <v>118</v>
      </c>
      <c r="AP1196">
        <v>-100</v>
      </c>
      <c r="AQ1196">
        <v>-131</v>
      </c>
      <c r="AR1196">
        <v>-64</v>
      </c>
      <c r="AZ1196">
        <v>4552</v>
      </c>
      <c r="BA1196">
        <v>1</v>
      </c>
      <c r="BB1196" t="str">
        <f t="shared" si="56"/>
        <v xml:space="preserve">N607SR  </v>
      </c>
      <c r="BC1196">
        <v>1</v>
      </c>
      <c r="BE1196">
        <v>0</v>
      </c>
      <c r="BF1196">
        <v>0</v>
      </c>
      <c r="BG1196">
        <v>0</v>
      </c>
      <c r="BH1196">
        <v>2575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"06:15:37.917"</f>
        <v>06:15:37.917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5</v>
      </c>
      <c r="CP1196" t="s">
        <v>119</v>
      </c>
      <c r="CQ1196">
        <v>465</v>
      </c>
      <c r="CR1196">
        <v>0</v>
      </c>
      <c r="CW1196">
        <v>4719467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"08/29/2020 06:15:34.711"</f>
        <v>08/29/2020 06:15:34.711</v>
      </c>
      <c r="C1197" t="str">
        <f t="shared" si="54"/>
        <v>FFDFD3C0</v>
      </c>
      <c r="D1197" t="s">
        <v>128</v>
      </c>
      <c r="E1197">
        <v>5</v>
      </c>
      <c r="H1197">
        <v>241</v>
      </c>
      <c r="I1197" t="s">
        <v>129</v>
      </c>
      <c r="J1197" t="s">
        <v>130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"06:15:37.914"</f>
        <v>06:15:37.914</v>
      </c>
      <c r="U1197" t="str">
        <f t="shared" si="55"/>
        <v>A7E2E0</v>
      </c>
      <c r="V1197">
        <v>0</v>
      </c>
      <c r="W1197">
        <v>0</v>
      </c>
      <c r="X1197">
        <v>1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931</v>
      </c>
      <c r="AJ1197">
        <v>39.047277000000001</v>
      </c>
      <c r="AK1197" t="s">
        <v>932</v>
      </c>
      <c r="AL1197">
        <v>-87.525458</v>
      </c>
      <c r="AM1197">
        <v>100</v>
      </c>
      <c r="AN1197">
        <v>2800</v>
      </c>
      <c r="AO1197" t="s">
        <v>118</v>
      </c>
      <c r="AP1197">
        <v>-100</v>
      </c>
      <c r="AQ1197">
        <v>-131</v>
      </c>
      <c r="AR1197">
        <v>-64</v>
      </c>
      <c r="AZ1197">
        <v>4552</v>
      </c>
      <c r="BA1197">
        <v>1</v>
      </c>
      <c r="BB1197" t="str">
        <f t="shared" si="56"/>
        <v xml:space="preserve">N607SR  </v>
      </c>
      <c r="BC1197">
        <v>1</v>
      </c>
      <c r="BE1197">
        <v>0</v>
      </c>
      <c r="BF1197">
        <v>0</v>
      </c>
      <c r="BG1197">
        <v>0</v>
      </c>
      <c r="BH1197">
        <v>2575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"06:15:37.917"</f>
        <v>06:15:37.917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5</v>
      </c>
      <c r="CP1197" t="s">
        <v>119</v>
      </c>
      <c r="CQ1197">
        <v>465</v>
      </c>
      <c r="CR1197">
        <v>0</v>
      </c>
      <c r="CW1197">
        <v>4719467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"08/29/2020 06:15:34.711"</f>
        <v>08/29/2020 06:15:34.711</v>
      </c>
      <c r="C1198" t="str">
        <f t="shared" si="54"/>
        <v>FFDFD3C0</v>
      </c>
      <c r="D1198" t="s">
        <v>113</v>
      </c>
      <c r="E1198">
        <v>5</v>
      </c>
      <c r="H1198">
        <v>163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"06:15:37.914"</f>
        <v>06:15:37.914</v>
      </c>
      <c r="U1198" t="str">
        <f t="shared" si="55"/>
        <v>A7E2E0</v>
      </c>
      <c r="V1198">
        <v>0</v>
      </c>
      <c r="W1198">
        <v>0</v>
      </c>
      <c r="X1198">
        <v>1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931</v>
      </c>
      <c r="AJ1198">
        <v>39.047277000000001</v>
      </c>
      <c r="AK1198" t="s">
        <v>932</v>
      </c>
      <c r="AL1198">
        <v>-87.525458</v>
      </c>
      <c r="AM1198">
        <v>100</v>
      </c>
      <c r="AN1198">
        <v>2800</v>
      </c>
      <c r="AO1198" t="s">
        <v>118</v>
      </c>
      <c r="AP1198">
        <v>-100</v>
      </c>
      <c r="AQ1198">
        <v>-131</v>
      </c>
      <c r="AR1198">
        <v>-64</v>
      </c>
      <c r="AZ1198">
        <v>4552</v>
      </c>
      <c r="BA1198">
        <v>1</v>
      </c>
      <c r="BB1198" t="str">
        <f t="shared" si="56"/>
        <v xml:space="preserve">N607SR  </v>
      </c>
      <c r="BC1198">
        <v>1</v>
      </c>
      <c r="BE1198">
        <v>0</v>
      </c>
      <c r="BF1198">
        <v>0</v>
      </c>
      <c r="BG1198">
        <v>0</v>
      </c>
      <c r="BH1198">
        <v>2575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"06:15:37.917"</f>
        <v>06:15:37.917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5</v>
      </c>
      <c r="CP1198" t="s">
        <v>119</v>
      </c>
      <c r="CQ1198">
        <v>465</v>
      </c>
      <c r="CR1198">
        <v>0</v>
      </c>
      <c r="CW1198">
        <v>4719467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"08/29/2020 06:15:35.620"</f>
        <v>08/29/2020 06:15:35.620</v>
      </c>
      <c r="C1199" t="str">
        <f t="shared" si="54"/>
        <v>FFDFD3C0</v>
      </c>
      <c r="D1199" t="s">
        <v>121</v>
      </c>
      <c r="E1199">
        <v>10</v>
      </c>
      <c r="F1199">
        <v>1010</v>
      </c>
      <c r="G1199" t="s">
        <v>114</v>
      </c>
      <c r="J1199" t="s">
        <v>123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"06:15:38.836"</f>
        <v>06:15:38.836</v>
      </c>
      <c r="T1199" t="str">
        <f>"06:15:38.336"</f>
        <v>06:15:38.336</v>
      </c>
      <c r="U1199" t="str">
        <f t="shared" si="55"/>
        <v>A7E2E0</v>
      </c>
      <c r="V1199">
        <v>0</v>
      </c>
      <c r="W1199">
        <v>0</v>
      </c>
      <c r="X1199">
        <v>1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933</v>
      </c>
      <c r="AJ1199">
        <v>39.046762000000001</v>
      </c>
      <c r="AK1199" t="s">
        <v>934</v>
      </c>
      <c r="AL1199">
        <v>-87.525930000000002</v>
      </c>
      <c r="AM1199">
        <v>100</v>
      </c>
      <c r="AN1199">
        <v>2800</v>
      </c>
      <c r="AO1199" t="s">
        <v>118</v>
      </c>
      <c r="AP1199">
        <v>-100</v>
      </c>
      <c r="AQ1199">
        <v>-131</v>
      </c>
      <c r="AR1199">
        <v>-64</v>
      </c>
      <c r="AZ1199">
        <v>4552</v>
      </c>
      <c r="BA1199">
        <v>1</v>
      </c>
      <c r="BB1199" t="str">
        <f t="shared" si="56"/>
        <v xml:space="preserve">N607SR  </v>
      </c>
      <c r="BC1199">
        <v>1</v>
      </c>
      <c r="BE1199">
        <v>0</v>
      </c>
      <c r="BF1199">
        <v>0</v>
      </c>
      <c r="BG1199">
        <v>0</v>
      </c>
      <c r="BH1199">
        <v>2575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"06:15:38.842"</f>
        <v>06:15:38.842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457</v>
      </c>
      <c r="CR1199">
        <v>0</v>
      </c>
      <c r="CW1199">
        <v>15515564</v>
      </c>
      <c r="CY1199">
        <v>1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"08/29/2020 06:15:35.620"</f>
        <v>08/29/2020 06:15:35.620</v>
      </c>
      <c r="C1200" t="str">
        <f t="shared" si="54"/>
        <v>FFDFD3C0</v>
      </c>
      <c r="D1200" t="s">
        <v>121</v>
      </c>
      <c r="E1200">
        <v>11</v>
      </c>
      <c r="F1200">
        <v>1011</v>
      </c>
      <c r="G1200" t="s">
        <v>125</v>
      </c>
      <c r="J1200" t="s">
        <v>123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"06:15:38.836"</f>
        <v>06:15:38.836</v>
      </c>
      <c r="T1200" t="str">
        <f>"06:15:38.336"</f>
        <v>06:15:38.336</v>
      </c>
      <c r="U1200" t="str">
        <f t="shared" si="55"/>
        <v>A7E2E0</v>
      </c>
      <c r="V1200">
        <v>0</v>
      </c>
      <c r="W1200">
        <v>0</v>
      </c>
      <c r="X1200">
        <v>1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933</v>
      </c>
      <c r="AJ1200">
        <v>39.046762000000001</v>
      </c>
      <c r="AK1200" t="s">
        <v>934</v>
      </c>
      <c r="AL1200">
        <v>-87.525930000000002</v>
      </c>
      <c r="AM1200">
        <v>100</v>
      </c>
      <c r="AN1200">
        <v>2800</v>
      </c>
      <c r="AO1200" t="s">
        <v>118</v>
      </c>
      <c r="AP1200">
        <v>-100</v>
      </c>
      <c r="AQ1200">
        <v>-131</v>
      </c>
      <c r="AR1200">
        <v>-64</v>
      </c>
      <c r="AZ1200">
        <v>4552</v>
      </c>
      <c r="BA1200">
        <v>1</v>
      </c>
      <c r="BB1200" t="str">
        <f t="shared" si="56"/>
        <v xml:space="preserve">N607SR  </v>
      </c>
      <c r="BC1200">
        <v>1</v>
      </c>
      <c r="BE1200">
        <v>0</v>
      </c>
      <c r="BF1200">
        <v>0</v>
      </c>
      <c r="BG1200">
        <v>0</v>
      </c>
      <c r="BH1200">
        <v>2575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"06:15:38.842"</f>
        <v>06:15:38.842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457</v>
      </c>
      <c r="CR1200">
        <v>0</v>
      </c>
      <c r="CW1200">
        <v>15515564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"08/29/2020 06:15:35.620"</f>
        <v>08/29/2020 06:15:35.620</v>
      </c>
      <c r="C1201" t="str">
        <f t="shared" si="54"/>
        <v>FFDFD3C0</v>
      </c>
      <c r="D1201" t="s">
        <v>121</v>
      </c>
      <c r="E1201">
        <v>13</v>
      </c>
      <c r="F1201">
        <v>1013</v>
      </c>
      <c r="G1201" t="s">
        <v>122</v>
      </c>
      <c r="J1201" t="s">
        <v>123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"06:15:38.836"</f>
        <v>06:15:38.836</v>
      </c>
      <c r="T1201" t="str">
        <f>"06:15:38.336"</f>
        <v>06:15:38.336</v>
      </c>
      <c r="U1201" t="str">
        <f t="shared" si="55"/>
        <v>A7E2E0</v>
      </c>
      <c r="V1201">
        <v>0</v>
      </c>
      <c r="W1201">
        <v>0</v>
      </c>
      <c r="X1201">
        <v>1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933</v>
      </c>
      <c r="AJ1201">
        <v>39.046762000000001</v>
      </c>
      <c r="AK1201" t="s">
        <v>934</v>
      </c>
      <c r="AL1201">
        <v>-87.525930000000002</v>
      </c>
      <c r="AM1201">
        <v>100</v>
      </c>
      <c r="AN1201">
        <v>2800</v>
      </c>
      <c r="AO1201" t="s">
        <v>118</v>
      </c>
      <c r="AP1201">
        <v>-100</v>
      </c>
      <c r="AQ1201">
        <v>-131</v>
      </c>
      <c r="AR1201">
        <v>-64</v>
      </c>
      <c r="AZ1201">
        <v>4552</v>
      </c>
      <c r="BA1201">
        <v>1</v>
      </c>
      <c r="BB1201" t="str">
        <f t="shared" si="56"/>
        <v xml:space="preserve">N607SR  </v>
      </c>
      <c r="BC1201">
        <v>1</v>
      </c>
      <c r="BE1201">
        <v>0</v>
      </c>
      <c r="BF1201">
        <v>0</v>
      </c>
      <c r="BG1201">
        <v>0</v>
      </c>
      <c r="BH1201">
        <v>2575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"06:15:38.842"</f>
        <v>06:15:38.842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457</v>
      </c>
      <c r="CR1201">
        <v>0</v>
      </c>
      <c r="CW1201">
        <v>15515564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"08/29/2020 06:15:35.620"</f>
        <v>08/29/2020 06:15:35.620</v>
      </c>
      <c r="C1202" t="str">
        <f t="shared" si="54"/>
        <v>FFDFD3C0</v>
      </c>
      <c r="D1202" t="s">
        <v>113</v>
      </c>
      <c r="E1202">
        <v>5</v>
      </c>
      <c r="H1202">
        <v>163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"06:15:38.836"</f>
        <v>06:15:38.836</v>
      </c>
      <c r="T1202" t="str">
        <f>"06:15:38.336"</f>
        <v>06:15:38.336</v>
      </c>
      <c r="U1202" t="str">
        <f t="shared" si="55"/>
        <v>A7E2E0</v>
      </c>
      <c r="V1202">
        <v>0</v>
      </c>
      <c r="W1202">
        <v>0</v>
      </c>
      <c r="X1202">
        <v>1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933</v>
      </c>
      <c r="AJ1202">
        <v>39.046762000000001</v>
      </c>
      <c r="AK1202" t="s">
        <v>934</v>
      </c>
      <c r="AL1202">
        <v>-87.525930000000002</v>
      </c>
      <c r="AM1202">
        <v>100</v>
      </c>
      <c r="AN1202">
        <v>2800</v>
      </c>
      <c r="AO1202" t="s">
        <v>118</v>
      </c>
      <c r="AP1202">
        <v>-100</v>
      </c>
      <c r="AQ1202">
        <v>-131</v>
      </c>
      <c r="AR1202">
        <v>-64</v>
      </c>
      <c r="AZ1202">
        <v>4552</v>
      </c>
      <c r="BA1202">
        <v>1</v>
      </c>
      <c r="BB1202" t="str">
        <f t="shared" si="56"/>
        <v xml:space="preserve">N607SR  </v>
      </c>
      <c r="BC1202">
        <v>1</v>
      </c>
      <c r="BE1202">
        <v>0</v>
      </c>
      <c r="BF1202">
        <v>0</v>
      </c>
      <c r="BG1202">
        <v>0</v>
      </c>
      <c r="BH1202">
        <v>2575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"06:15:38.842"</f>
        <v>06:15:38.842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457</v>
      </c>
      <c r="CR1202">
        <v>0</v>
      </c>
      <c r="CW1202">
        <v>15515564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"08/29/2020 06:15:35.620"</f>
        <v>08/29/2020 06:15:35.620</v>
      </c>
      <c r="C1203" t="str">
        <f t="shared" si="54"/>
        <v>FFDFD3C0</v>
      </c>
      <c r="D1203" t="s">
        <v>128</v>
      </c>
      <c r="E1203">
        <v>5</v>
      </c>
      <c r="H1203">
        <v>241</v>
      </c>
      <c r="I1203" t="s">
        <v>129</v>
      </c>
      <c r="J1203" t="s">
        <v>130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"06:15:38.836"</f>
        <v>06:15:38.836</v>
      </c>
      <c r="T1203" t="str">
        <f>"06:15:38.336"</f>
        <v>06:15:38.336</v>
      </c>
      <c r="U1203" t="str">
        <f t="shared" si="55"/>
        <v>A7E2E0</v>
      </c>
      <c r="V1203">
        <v>0</v>
      </c>
      <c r="W1203">
        <v>0</v>
      </c>
      <c r="X1203">
        <v>1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933</v>
      </c>
      <c r="AJ1203">
        <v>39.046762000000001</v>
      </c>
      <c r="AK1203" t="s">
        <v>934</v>
      </c>
      <c r="AL1203">
        <v>-87.525930000000002</v>
      </c>
      <c r="AM1203">
        <v>100</v>
      </c>
      <c r="AN1203">
        <v>2800</v>
      </c>
      <c r="AO1203" t="s">
        <v>118</v>
      </c>
      <c r="AP1203">
        <v>-100</v>
      </c>
      <c r="AQ1203">
        <v>-131</v>
      </c>
      <c r="AR1203">
        <v>-64</v>
      </c>
      <c r="AZ1203">
        <v>4552</v>
      </c>
      <c r="BA1203">
        <v>1</v>
      </c>
      <c r="BB1203" t="str">
        <f t="shared" si="56"/>
        <v xml:space="preserve">N607SR  </v>
      </c>
      <c r="BC1203">
        <v>1</v>
      </c>
      <c r="BE1203">
        <v>0</v>
      </c>
      <c r="BF1203">
        <v>0</v>
      </c>
      <c r="BG1203">
        <v>0</v>
      </c>
      <c r="BH1203">
        <v>2575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"06:15:38.842"</f>
        <v>06:15:38.842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457</v>
      </c>
      <c r="CR1203">
        <v>0</v>
      </c>
      <c r="CW1203">
        <v>15515564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"08/29/2020 06:15:36.738"</f>
        <v>08/29/2020 06:15:36.738</v>
      </c>
      <c r="C1204" t="str">
        <f t="shared" si="54"/>
        <v>FFDFD3C0</v>
      </c>
      <c r="D1204" t="s">
        <v>121</v>
      </c>
      <c r="E1204">
        <v>11</v>
      </c>
      <c r="F1204">
        <v>1011</v>
      </c>
      <c r="G1204" t="s">
        <v>125</v>
      </c>
      <c r="J1204" t="s">
        <v>123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"06:15:39.930"</f>
        <v>06:15:39.930</v>
      </c>
      <c r="T1204" t="str">
        <f>"06:15:39.430"</f>
        <v>06:15:39.430</v>
      </c>
      <c r="U1204" t="str">
        <f t="shared" si="55"/>
        <v>A7E2E0</v>
      </c>
      <c r="V1204">
        <v>0</v>
      </c>
      <c r="W1204">
        <v>0</v>
      </c>
      <c r="X1204">
        <v>1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935</v>
      </c>
      <c r="AJ1204">
        <v>39.046097000000003</v>
      </c>
      <c r="AK1204" t="s">
        <v>936</v>
      </c>
      <c r="AL1204">
        <v>-87.526573999999997</v>
      </c>
      <c r="AM1204">
        <v>100</v>
      </c>
      <c r="AN1204">
        <v>2800</v>
      </c>
      <c r="AO1204" t="s">
        <v>118</v>
      </c>
      <c r="AP1204">
        <v>-100</v>
      </c>
      <c r="AQ1204">
        <v>-131</v>
      </c>
      <c r="AR1204">
        <v>-64</v>
      </c>
      <c r="AZ1204">
        <v>4552</v>
      </c>
      <c r="BA1204">
        <v>1</v>
      </c>
      <c r="BB1204" t="str">
        <f t="shared" si="56"/>
        <v xml:space="preserve">N607SR  </v>
      </c>
      <c r="BC1204">
        <v>1</v>
      </c>
      <c r="BE1204">
        <v>0</v>
      </c>
      <c r="BF1204">
        <v>0</v>
      </c>
      <c r="BG1204">
        <v>0</v>
      </c>
      <c r="BH1204">
        <v>2575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"06:15:39.930"</f>
        <v>06:15:39.930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457</v>
      </c>
      <c r="CR1204">
        <v>0</v>
      </c>
      <c r="CW1204">
        <v>15515592</v>
      </c>
      <c r="CY1204">
        <v>1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"08/29/2020 06:15:36.738"</f>
        <v>08/29/2020 06:15:36.738</v>
      </c>
      <c r="C1205" t="str">
        <f t="shared" si="54"/>
        <v>FFDFD3C0</v>
      </c>
      <c r="D1205" t="s">
        <v>113</v>
      </c>
      <c r="E1205">
        <v>5</v>
      </c>
      <c r="H1205">
        <v>163</v>
      </c>
      <c r="I1205" t="s">
        <v>114</v>
      </c>
      <c r="J1205" t="s">
        <v>115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"06:15:39.930"</f>
        <v>06:15:39.930</v>
      </c>
      <c r="U1205" t="str">
        <f t="shared" si="55"/>
        <v>A7E2E0</v>
      </c>
      <c r="V1205">
        <v>0</v>
      </c>
      <c r="W1205">
        <v>0</v>
      </c>
      <c r="X1205">
        <v>1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935</v>
      </c>
      <c r="AJ1205">
        <v>39.046097000000003</v>
      </c>
      <c r="AK1205" t="s">
        <v>936</v>
      </c>
      <c r="AL1205">
        <v>-87.526573999999997</v>
      </c>
      <c r="AM1205">
        <v>100</v>
      </c>
      <c r="AN1205">
        <v>2800</v>
      </c>
      <c r="AO1205" t="s">
        <v>118</v>
      </c>
      <c r="AP1205">
        <v>-100</v>
      </c>
      <c r="AQ1205">
        <v>-130</v>
      </c>
      <c r="AR1205">
        <v>-64</v>
      </c>
      <c r="AZ1205">
        <v>4552</v>
      </c>
      <c r="BA1205">
        <v>1</v>
      </c>
      <c r="BB1205" t="str">
        <f t="shared" si="56"/>
        <v xml:space="preserve">N607SR  </v>
      </c>
      <c r="BC1205">
        <v>1</v>
      </c>
      <c r="BE1205">
        <v>0</v>
      </c>
      <c r="BF1205">
        <v>0</v>
      </c>
      <c r="BG1205">
        <v>0</v>
      </c>
      <c r="BH1205">
        <v>2575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"06:15:39.930"</f>
        <v>06:15:39.930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5</v>
      </c>
      <c r="CP1205" t="s">
        <v>119</v>
      </c>
      <c r="CQ1205">
        <v>517</v>
      </c>
      <c r="CR1205">
        <v>1</v>
      </c>
      <c r="CW1205">
        <v>2480371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"08/29/2020 06:15:36.738"</f>
        <v>08/29/2020 06:15:36.738</v>
      </c>
      <c r="C1206" t="str">
        <f t="shared" si="54"/>
        <v>FFDFD3C0</v>
      </c>
      <c r="D1206" t="s">
        <v>121</v>
      </c>
      <c r="E1206">
        <v>10</v>
      </c>
      <c r="F1206">
        <v>1010</v>
      </c>
      <c r="G1206" t="s">
        <v>114</v>
      </c>
      <c r="J1206" t="s">
        <v>123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"06:15:39.930"</f>
        <v>06:15:39.930</v>
      </c>
      <c r="U1206" t="str">
        <f t="shared" si="55"/>
        <v>A7E2E0</v>
      </c>
      <c r="V1206">
        <v>0</v>
      </c>
      <c r="W1206">
        <v>0</v>
      </c>
      <c r="X1206">
        <v>1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935</v>
      </c>
      <c r="AJ1206">
        <v>39.046097000000003</v>
      </c>
      <c r="AK1206" t="s">
        <v>936</v>
      </c>
      <c r="AL1206">
        <v>-87.526573999999997</v>
      </c>
      <c r="AM1206">
        <v>100</v>
      </c>
      <c r="AN1206">
        <v>2800</v>
      </c>
      <c r="AO1206" t="s">
        <v>118</v>
      </c>
      <c r="AP1206">
        <v>-100</v>
      </c>
      <c r="AQ1206">
        <v>-130</v>
      </c>
      <c r="AR1206">
        <v>-64</v>
      </c>
      <c r="AZ1206">
        <v>4552</v>
      </c>
      <c r="BA1206">
        <v>1</v>
      </c>
      <c r="BB1206" t="str">
        <f t="shared" si="56"/>
        <v xml:space="preserve">N607SR  </v>
      </c>
      <c r="BC1206">
        <v>1</v>
      </c>
      <c r="BE1206">
        <v>0</v>
      </c>
      <c r="BF1206">
        <v>0</v>
      </c>
      <c r="BG1206">
        <v>0</v>
      </c>
      <c r="BH1206">
        <v>2575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"06:15:39.930"</f>
        <v>06:15:39.930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5</v>
      </c>
      <c r="CP1206" t="s">
        <v>119</v>
      </c>
      <c r="CQ1206">
        <v>517</v>
      </c>
      <c r="CR1206">
        <v>1</v>
      </c>
      <c r="CW1206">
        <v>2480371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"08/29/2020 06:15:36.738"</f>
        <v>08/29/2020 06:15:36.738</v>
      </c>
      <c r="C1207" t="str">
        <f t="shared" si="54"/>
        <v>FFDFD3C0</v>
      </c>
      <c r="D1207" t="s">
        <v>128</v>
      </c>
      <c r="E1207">
        <v>5</v>
      </c>
      <c r="H1207">
        <v>241</v>
      </c>
      <c r="I1207" t="s">
        <v>129</v>
      </c>
      <c r="J1207" t="s">
        <v>130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"06:15:39.930"</f>
        <v>06:15:39.930</v>
      </c>
      <c r="U1207" t="str">
        <f t="shared" si="55"/>
        <v>A7E2E0</v>
      </c>
      <c r="V1207">
        <v>0</v>
      </c>
      <c r="W1207">
        <v>0</v>
      </c>
      <c r="X1207">
        <v>1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935</v>
      </c>
      <c r="AJ1207">
        <v>39.046097000000003</v>
      </c>
      <c r="AK1207" t="s">
        <v>936</v>
      </c>
      <c r="AL1207">
        <v>-87.526573999999997</v>
      </c>
      <c r="AM1207">
        <v>100</v>
      </c>
      <c r="AN1207">
        <v>2800</v>
      </c>
      <c r="AO1207" t="s">
        <v>118</v>
      </c>
      <c r="AP1207">
        <v>-100</v>
      </c>
      <c r="AQ1207">
        <v>-130</v>
      </c>
      <c r="AR1207">
        <v>-64</v>
      </c>
      <c r="AZ1207">
        <v>4552</v>
      </c>
      <c r="BA1207">
        <v>1</v>
      </c>
      <c r="BB1207" t="str">
        <f t="shared" si="56"/>
        <v xml:space="preserve">N607SR  </v>
      </c>
      <c r="BC1207">
        <v>1</v>
      </c>
      <c r="BE1207">
        <v>0</v>
      </c>
      <c r="BF1207">
        <v>0</v>
      </c>
      <c r="BG1207">
        <v>0</v>
      </c>
      <c r="BH1207">
        <v>2575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"06:15:39.930"</f>
        <v>06:15:39.930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5</v>
      </c>
      <c r="CP1207" t="s">
        <v>119</v>
      </c>
      <c r="CQ1207">
        <v>517</v>
      </c>
      <c r="CR1207">
        <v>1</v>
      </c>
      <c r="CW1207">
        <v>2480371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"08/29/2020 06:15:36.738"</f>
        <v>08/29/2020 06:15:36.738</v>
      </c>
      <c r="C1208" t="str">
        <f t="shared" si="54"/>
        <v>FFDFD3C0</v>
      </c>
      <c r="D1208" t="s">
        <v>121</v>
      </c>
      <c r="E1208">
        <v>13</v>
      </c>
      <c r="F1208">
        <v>1013</v>
      </c>
      <c r="G1208" t="s">
        <v>122</v>
      </c>
      <c r="J1208" t="s">
        <v>123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"06:15:39.930"</f>
        <v>06:15:39.930</v>
      </c>
      <c r="U1208" t="str">
        <f t="shared" si="55"/>
        <v>A7E2E0</v>
      </c>
      <c r="V1208">
        <v>0</v>
      </c>
      <c r="W1208">
        <v>0</v>
      </c>
      <c r="X1208">
        <v>1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935</v>
      </c>
      <c r="AJ1208">
        <v>39.046097000000003</v>
      </c>
      <c r="AK1208" t="s">
        <v>936</v>
      </c>
      <c r="AL1208">
        <v>-87.526573999999997</v>
      </c>
      <c r="AM1208">
        <v>100</v>
      </c>
      <c r="AN1208">
        <v>2800</v>
      </c>
      <c r="AO1208" t="s">
        <v>118</v>
      </c>
      <c r="AP1208">
        <v>-100</v>
      </c>
      <c r="AQ1208">
        <v>-130</v>
      </c>
      <c r="AR1208">
        <v>-64</v>
      </c>
      <c r="AZ1208">
        <v>4552</v>
      </c>
      <c r="BA1208">
        <v>1</v>
      </c>
      <c r="BB1208" t="str">
        <f t="shared" si="56"/>
        <v xml:space="preserve">N607SR  </v>
      </c>
      <c r="BC1208">
        <v>1</v>
      </c>
      <c r="BE1208">
        <v>0</v>
      </c>
      <c r="BF1208">
        <v>0</v>
      </c>
      <c r="BG1208">
        <v>0</v>
      </c>
      <c r="BH1208">
        <v>2575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"06:15:39.930"</f>
        <v>06:15:39.930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5</v>
      </c>
      <c r="CP1208" t="s">
        <v>119</v>
      </c>
      <c r="CQ1208">
        <v>517</v>
      </c>
      <c r="CR1208">
        <v>1</v>
      </c>
      <c r="CW1208">
        <v>2480371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 t="shared" ref="A1209:A1214" si="57">"08/29/2020 06:15:37.804"</f>
        <v>08/29/2020 06:15:37.804</v>
      </c>
      <c r="C1209" t="str">
        <f t="shared" si="54"/>
        <v>FFDFD3C0</v>
      </c>
      <c r="D1209" t="s">
        <v>121</v>
      </c>
      <c r="E1209">
        <v>11</v>
      </c>
      <c r="F1209">
        <v>1011</v>
      </c>
      <c r="G1209" t="s">
        <v>125</v>
      </c>
      <c r="J1209" t="s">
        <v>123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ref="S1209:S1214" si="58">"06:15:41.047"</f>
        <v>06:15:41.047</v>
      </c>
      <c r="T1209" t="str">
        <f>"06:15:40.547"</f>
        <v>06:15:40.547</v>
      </c>
      <c r="U1209" t="str">
        <f t="shared" si="55"/>
        <v>A7E2E0</v>
      </c>
      <c r="V1209">
        <v>0</v>
      </c>
      <c r="W1209">
        <v>0</v>
      </c>
      <c r="X1209">
        <v>1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937</v>
      </c>
      <c r="AJ1209">
        <v>39.045409999999997</v>
      </c>
      <c r="AK1209" t="s">
        <v>938</v>
      </c>
      <c r="AL1209">
        <v>-87.527282</v>
      </c>
      <c r="AM1209">
        <v>100</v>
      </c>
      <c r="AN1209">
        <v>2800</v>
      </c>
      <c r="AO1209" t="s">
        <v>118</v>
      </c>
      <c r="AP1209">
        <v>-100</v>
      </c>
      <c r="AQ1209">
        <v>-130</v>
      </c>
      <c r="AR1209">
        <v>-64</v>
      </c>
      <c r="AZ1209">
        <v>4552</v>
      </c>
      <c r="BA1209">
        <v>1</v>
      </c>
      <c r="BB1209" t="str">
        <f t="shared" si="56"/>
        <v xml:space="preserve">N607SR  </v>
      </c>
      <c r="BC1209">
        <v>1</v>
      </c>
      <c r="BE1209">
        <v>0</v>
      </c>
      <c r="BF1209">
        <v>0</v>
      </c>
      <c r="BG1209">
        <v>0</v>
      </c>
      <c r="BH1209">
        <v>2575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"06:15:41.049"</f>
        <v>06:15:41.049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6</v>
      </c>
      <c r="CP1209" t="s">
        <v>119</v>
      </c>
      <c r="CQ1209">
        <v>457</v>
      </c>
      <c r="CR1209">
        <v>0</v>
      </c>
      <c r="CW1209">
        <v>15515621</v>
      </c>
      <c r="CY1209">
        <v>1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 t="shared" si="57"/>
        <v>08/29/2020 06:15:37.804</v>
      </c>
      <c r="C1210" t="str">
        <f t="shared" si="54"/>
        <v>FFDFD3C0</v>
      </c>
      <c r="D1210" t="s">
        <v>121</v>
      </c>
      <c r="E1210">
        <v>13</v>
      </c>
      <c r="F1210">
        <v>1013</v>
      </c>
      <c r="G1210" t="s">
        <v>122</v>
      </c>
      <c r="J1210" t="s">
        <v>123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58"/>
        <v>06:15:41.047</v>
      </c>
      <c r="U1210" t="str">
        <f t="shared" si="55"/>
        <v>A7E2E0</v>
      </c>
      <c r="V1210">
        <v>0</v>
      </c>
      <c r="W1210">
        <v>0</v>
      </c>
      <c r="X1210">
        <v>1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937</v>
      </c>
      <c r="AJ1210">
        <v>39.045409999999997</v>
      </c>
      <c r="AK1210" t="s">
        <v>938</v>
      </c>
      <c r="AL1210">
        <v>-87.527282</v>
      </c>
      <c r="AM1210">
        <v>100</v>
      </c>
      <c r="AN1210">
        <v>2800</v>
      </c>
      <c r="AO1210" t="s">
        <v>118</v>
      </c>
      <c r="AP1210">
        <v>-99</v>
      </c>
      <c r="AQ1210">
        <v>-130</v>
      </c>
      <c r="AR1210">
        <v>-64</v>
      </c>
      <c r="AZ1210">
        <v>4552</v>
      </c>
      <c r="BA1210">
        <v>1</v>
      </c>
      <c r="BB1210" t="str">
        <f t="shared" si="56"/>
        <v xml:space="preserve">N607SR  </v>
      </c>
      <c r="BC1210">
        <v>1</v>
      </c>
      <c r="BE1210">
        <v>0</v>
      </c>
      <c r="BF1210">
        <v>0</v>
      </c>
      <c r="BG1210">
        <v>0</v>
      </c>
      <c r="BH1210">
        <v>2575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"06:15:41.050"</f>
        <v>06:15:41.050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5</v>
      </c>
      <c r="CP1210" t="s">
        <v>119</v>
      </c>
      <c r="CQ1210">
        <v>465</v>
      </c>
      <c r="CR1210">
        <v>0</v>
      </c>
      <c r="CW1210">
        <v>4719565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 t="shared" si="57"/>
        <v>08/29/2020 06:15:37.804</v>
      </c>
      <c r="C1211" t="str">
        <f t="shared" si="54"/>
        <v>FFDFD3C0</v>
      </c>
      <c r="D1211" t="s">
        <v>113</v>
      </c>
      <c r="E1211">
        <v>5</v>
      </c>
      <c r="H1211">
        <v>163</v>
      </c>
      <c r="I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58"/>
        <v>06:15:41.047</v>
      </c>
      <c r="U1211" t="str">
        <f t="shared" si="55"/>
        <v>A7E2E0</v>
      </c>
      <c r="V1211">
        <v>0</v>
      </c>
      <c r="W1211">
        <v>0</v>
      </c>
      <c r="X1211">
        <v>1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937</v>
      </c>
      <c r="AJ1211">
        <v>39.045409999999997</v>
      </c>
      <c r="AK1211" t="s">
        <v>938</v>
      </c>
      <c r="AL1211">
        <v>-87.527282</v>
      </c>
      <c r="AM1211">
        <v>100</v>
      </c>
      <c r="AN1211">
        <v>2800</v>
      </c>
      <c r="AO1211" t="s">
        <v>118</v>
      </c>
      <c r="AP1211">
        <v>-99</v>
      </c>
      <c r="AQ1211">
        <v>-130</v>
      </c>
      <c r="AR1211">
        <v>-64</v>
      </c>
      <c r="AZ1211">
        <v>4552</v>
      </c>
      <c r="BA1211">
        <v>1</v>
      </c>
      <c r="BB1211" t="str">
        <f t="shared" si="56"/>
        <v xml:space="preserve">N607SR  </v>
      </c>
      <c r="BC1211">
        <v>1</v>
      </c>
      <c r="BE1211">
        <v>0</v>
      </c>
      <c r="BF1211">
        <v>0</v>
      </c>
      <c r="BG1211">
        <v>0</v>
      </c>
      <c r="BH1211">
        <v>2575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"06:15:41.050"</f>
        <v>06:15:41.050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5</v>
      </c>
      <c r="CP1211" t="s">
        <v>119</v>
      </c>
      <c r="CQ1211">
        <v>465</v>
      </c>
      <c r="CR1211">
        <v>0</v>
      </c>
      <c r="CW1211">
        <v>4719565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 t="shared" si="57"/>
        <v>08/29/2020 06:15:37.804</v>
      </c>
      <c r="C1212" t="str">
        <f t="shared" si="54"/>
        <v>FFDFD3C0</v>
      </c>
      <c r="D1212" t="s">
        <v>128</v>
      </c>
      <c r="E1212">
        <v>5</v>
      </c>
      <c r="H1212">
        <v>241</v>
      </c>
      <c r="I1212" t="s">
        <v>129</v>
      </c>
      <c r="J1212" t="s">
        <v>130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58"/>
        <v>06:15:41.047</v>
      </c>
      <c r="U1212" t="str">
        <f t="shared" si="55"/>
        <v>A7E2E0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937</v>
      </c>
      <c r="AJ1212">
        <v>39.045409999999997</v>
      </c>
      <c r="AK1212" t="s">
        <v>938</v>
      </c>
      <c r="AL1212">
        <v>-87.527282</v>
      </c>
      <c r="AM1212">
        <v>100</v>
      </c>
      <c r="AN1212">
        <v>2800</v>
      </c>
      <c r="AO1212" t="s">
        <v>118</v>
      </c>
      <c r="AP1212">
        <v>-99</v>
      </c>
      <c r="AQ1212">
        <v>-130</v>
      </c>
      <c r="AR1212">
        <v>-64</v>
      </c>
      <c r="AZ1212">
        <v>4552</v>
      </c>
      <c r="BA1212">
        <v>1</v>
      </c>
      <c r="BB1212" t="str">
        <f t="shared" si="56"/>
        <v xml:space="preserve">N607SR  </v>
      </c>
      <c r="BC1212">
        <v>1</v>
      </c>
      <c r="BE1212">
        <v>0</v>
      </c>
      <c r="BF1212">
        <v>0</v>
      </c>
      <c r="BG1212">
        <v>0</v>
      </c>
      <c r="BH1212">
        <v>2575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"06:15:41.050"</f>
        <v>06:15:41.050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5</v>
      </c>
      <c r="CP1212" t="s">
        <v>119</v>
      </c>
      <c r="CQ1212">
        <v>465</v>
      </c>
      <c r="CR1212">
        <v>0</v>
      </c>
      <c r="CW1212">
        <v>4719565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 t="shared" si="57"/>
        <v>08/29/2020 06:15:37.804</v>
      </c>
      <c r="C1213" t="str">
        <f t="shared" si="54"/>
        <v>FFDFD3C0</v>
      </c>
      <c r="D1213" t="s">
        <v>939</v>
      </c>
      <c r="E1213">
        <v>10</v>
      </c>
      <c r="H1213">
        <v>79</v>
      </c>
      <c r="I1213" t="s">
        <v>940</v>
      </c>
      <c r="J1213" t="s">
        <v>130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58"/>
        <v>06:15:41.047</v>
      </c>
      <c r="U1213" t="str">
        <f t="shared" si="55"/>
        <v>A7E2E0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937</v>
      </c>
      <c r="AJ1213">
        <v>39.045409999999997</v>
      </c>
      <c r="AK1213" t="s">
        <v>938</v>
      </c>
      <c r="AL1213">
        <v>-87.527282</v>
      </c>
      <c r="AM1213">
        <v>100</v>
      </c>
      <c r="AN1213">
        <v>2800</v>
      </c>
      <c r="AO1213" t="s">
        <v>118</v>
      </c>
      <c r="AP1213">
        <v>-99</v>
      </c>
      <c r="AQ1213">
        <v>-130</v>
      </c>
      <c r="AR1213">
        <v>-64</v>
      </c>
      <c r="AZ1213">
        <v>4552</v>
      </c>
      <c r="BA1213">
        <v>1</v>
      </c>
      <c r="BB1213" t="str">
        <f t="shared" si="56"/>
        <v xml:space="preserve">N607SR  </v>
      </c>
      <c r="BC1213">
        <v>1</v>
      </c>
      <c r="BE1213">
        <v>0</v>
      </c>
      <c r="BF1213">
        <v>0</v>
      </c>
      <c r="BG1213">
        <v>0</v>
      </c>
      <c r="BH1213">
        <v>2575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"06:15:41.050"</f>
        <v>06:15:41.050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5</v>
      </c>
      <c r="CP1213" t="s">
        <v>119</v>
      </c>
      <c r="CQ1213">
        <v>465</v>
      </c>
      <c r="CR1213">
        <v>0</v>
      </c>
      <c r="CW1213">
        <v>4719565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 t="shared" si="57"/>
        <v>08/29/2020 06:15:37.804</v>
      </c>
      <c r="C1214" t="str">
        <f t="shared" si="54"/>
        <v>FFDFD3C0</v>
      </c>
      <c r="D1214" t="s">
        <v>121</v>
      </c>
      <c r="E1214">
        <v>10</v>
      </c>
      <c r="F1214">
        <v>1010</v>
      </c>
      <c r="G1214" t="s">
        <v>114</v>
      </c>
      <c r="J1214" t="s">
        <v>123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58"/>
        <v>06:15:41.047</v>
      </c>
      <c r="U1214" t="str">
        <f t="shared" si="55"/>
        <v>A7E2E0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937</v>
      </c>
      <c r="AJ1214">
        <v>39.045409999999997</v>
      </c>
      <c r="AK1214" t="s">
        <v>938</v>
      </c>
      <c r="AL1214">
        <v>-87.527282</v>
      </c>
      <c r="AM1214">
        <v>100</v>
      </c>
      <c r="AN1214">
        <v>2800</v>
      </c>
      <c r="AO1214" t="s">
        <v>118</v>
      </c>
      <c r="AP1214">
        <v>-99</v>
      </c>
      <c r="AQ1214">
        <v>-130</v>
      </c>
      <c r="AR1214">
        <v>-64</v>
      </c>
      <c r="AZ1214">
        <v>4552</v>
      </c>
      <c r="BA1214">
        <v>1</v>
      </c>
      <c r="BB1214" t="str">
        <f t="shared" si="56"/>
        <v xml:space="preserve">N607SR  </v>
      </c>
      <c r="BC1214">
        <v>1</v>
      </c>
      <c r="BE1214">
        <v>0</v>
      </c>
      <c r="BF1214">
        <v>0</v>
      </c>
      <c r="BG1214">
        <v>0</v>
      </c>
      <c r="BH1214">
        <v>2575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"06:15:41.050"</f>
        <v>06:15:41.050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5</v>
      </c>
      <c r="CP1214" t="s">
        <v>119</v>
      </c>
      <c r="CQ1214">
        <v>465</v>
      </c>
      <c r="CR1214">
        <v>0</v>
      </c>
      <c r="CW1214">
        <v>4719565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 t="shared" ref="A1215:A1220" si="59">"08/29/2020 06:15:39.411"</f>
        <v>08/29/2020 06:15:39.411</v>
      </c>
      <c r="C1215" t="str">
        <f t="shared" si="54"/>
        <v>FFDFD3C0</v>
      </c>
      <c r="D1215" t="s">
        <v>121</v>
      </c>
      <c r="E1215">
        <v>10</v>
      </c>
      <c r="F1215">
        <v>1010</v>
      </c>
      <c r="G1215" t="s">
        <v>114</v>
      </c>
      <c r="J1215" t="s">
        <v>123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ref="S1215:S1220" si="60">"06:15:42.625"</f>
        <v>06:15:42.625</v>
      </c>
      <c r="T1215" t="str">
        <f t="shared" ref="T1215:T1220" si="61">"06:15:42.125"</f>
        <v>06:15:42.125</v>
      </c>
      <c r="U1215" t="str">
        <f t="shared" si="55"/>
        <v>A7E2E0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941</v>
      </c>
      <c r="AJ1215">
        <v>39.044486999999997</v>
      </c>
      <c r="AK1215" t="s">
        <v>942</v>
      </c>
      <c r="AL1215">
        <v>-87.528205</v>
      </c>
      <c r="AM1215">
        <v>100</v>
      </c>
      <c r="AN1215">
        <v>2800</v>
      </c>
      <c r="AO1215" t="s">
        <v>118</v>
      </c>
      <c r="AP1215">
        <v>-99</v>
      </c>
      <c r="AQ1215">
        <v>-130</v>
      </c>
      <c r="AR1215">
        <v>-64</v>
      </c>
      <c r="AZ1215">
        <v>4552</v>
      </c>
      <c r="BA1215">
        <v>1</v>
      </c>
      <c r="BB1215" t="str">
        <f t="shared" si="56"/>
        <v xml:space="preserve">N607SR  </v>
      </c>
      <c r="BC1215">
        <v>1</v>
      </c>
      <c r="BE1215">
        <v>0</v>
      </c>
      <c r="BF1215">
        <v>0</v>
      </c>
      <c r="BG1215">
        <v>0</v>
      </c>
      <c r="BH1215">
        <v>2675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 t="shared" ref="BW1215:BW1220" si="62">"06:15:42.629"</f>
        <v>06:15:42.629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5</v>
      </c>
      <c r="CP1215" t="s">
        <v>119</v>
      </c>
      <c r="CQ1215">
        <v>465</v>
      </c>
      <c r="CR1215">
        <v>0</v>
      </c>
      <c r="CW1215">
        <v>4719612</v>
      </c>
      <c r="CY1215">
        <v>1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 t="shared" si="59"/>
        <v>08/29/2020 06:15:39.411</v>
      </c>
      <c r="C1216" t="str">
        <f t="shared" si="54"/>
        <v>FFDFD3C0</v>
      </c>
      <c r="D1216" t="s">
        <v>121</v>
      </c>
      <c r="E1216">
        <v>11</v>
      </c>
      <c r="F1216">
        <v>1011</v>
      </c>
      <c r="G1216" t="s">
        <v>125</v>
      </c>
      <c r="J1216" t="s">
        <v>123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0"/>
        <v>06:15:42.625</v>
      </c>
      <c r="T1216" t="str">
        <f t="shared" si="61"/>
        <v>06:15:42.125</v>
      </c>
      <c r="U1216" t="str">
        <f t="shared" si="55"/>
        <v>A7E2E0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941</v>
      </c>
      <c r="AJ1216">
        <v>39.044486999999997</v>
      </c>
      <c r="AK1216" t="s">
        <v>942</v>
      </c>
      <c r="AL1216">
        <v>-87.528205</v>
      </c>
      <c r="AM1216">
        <v>100</v>
      </c>
      <c r="AN1216">
        <v>2800</v>
      </c>
      <c r="AO1216" t="s">
        <v>118</v>
      </c>
      <c r="AP1216">
        <v>-99</v>
      </c>
      <c r="AQ1216">
        <v>-130</v>
      </c>
      <c r="AR1216">
        <v>-64</v>
      </c>
      <c r="AZ1216">
        <v>4552</v>
      </c>
      <c r="BA1216">
        <v>1</v>
      </c>
      <c r="BB1216" t="str">
        <f t="shared" si="56"/>
        <v xml:space="preserve">N607SR  </v>
      </c>
      <c r="BC1216">
        <v>1</v>
      </c>
      <c r="BE1216">
        <v>0</v>
      </c>
      <c r="BF1216">
        <v>0</v>
      </c>
      <c r="BG1216">
        <v>0</v>
      </c>
      <c r="BH1216">
        <v>2675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 t="shared" si="62"/>
        <v>06:15:42.629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5</v>
      </c>
      <c r="CP1216" t="s">
        <v>119</v>
      </c>
      <c r="CQ1216">
        <v>177</v>
      </c>
      <c r="CR1216">
        <v>2</v>
      </c>
      <c r="CW1216">
        <v>1638222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 t="shared" si="59"/>
        <v>08/29/2020 06:15:39.411</v>
      </c>
      <c r="C1217" t="str">
        <f t="shared" si="54"/>
        <v>FFDFD3C0</v>
      </c>
      <c r="D1217" t="s">
        <v>121</v>
      </c>
      <c r="E1217">
        <v>13</v>
      </c>
      <c r="F1217">
        <v>1013</v>
      </c>
      <c r="G1217" t="s">
        <v>122</v>
      </c>
      <c r="J1217" t="s">
        <v>123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0"/>
        <v>06:15:42.625</v>
      </c>
      <c r="T1217" t="str">
        <f t="shared" si="61"/>
        <v>06:15:42.125</v>
      </c>
      <c r="U1217" t="str">
        <f t="shared" si="55"/>
        <v>A7E2E0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941</v>
      </c>
      <c r="AJ1217">
        <v>39.044486999999997</v>
      </c>
      <c r="AK1217" t="s">
        <v>942</v>
      </c>
      <c r="AL1217">
        <v>-87.528205</v>
      </c>
      <c r="AM1217">
        <v>100</v>
      </c>
      <c r="AN1217">
        <v>2800</v>
      </c>
      <c r="AO1217" t="s">
        <v>118</v>
      </c>
      <c r="AP1217">
        <v>-99</v>
      </c>
      <c r="AQ1217">
        <v>-130</v>
      </c>
      <c r="AR1217">
        <v>-64</v>
      </c>
      <c r="AZ1217">
        <v>4552</v>
      </c>
      <c r="BA1217">
        <v>1</v>
      </c>
      <c r="BB1217" t="str">
        <f t="shared" si="56"/>
        <v xml:space="preserve">N607SR  </v>
      </c>
      <c r="BC1217">
        <v>1</v>
      </c>
      <c r="BE1217">
        <v>0</v>
      </c>
      <c r="BF1217">
        <v>0</v>
      </c>
      <c r="BG1217">
        <v>0</v>
      </c>
      <c r="BH1217">
        <v>2675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 t="shared" si="62"/>
        <v>06:15:42.629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5</v>
      </c>
      <c r="CP1217" t="s">
        <v>119</v>
      </c>
      <c r="CQ1217">
        <v>465</v>
      </c>
      <c r="CR1217">
        <v>0</v>
      </c>
      <c r="CW1217">
        <v>4719612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 t="shared" si="59"/>
        <v>08/29/2020 06:15:39.411</v>
      </c>
      <c r="C1218" t="str">
        <f t="shared" ref="C1218:C1281" si="63">"FFDFD3C0"</f>
        <v>FFDFD3C0</v>
      </c>
      <c r="D1218" t="s">
        <v>113</v>
      </c>
      <c r="E1218">
        <v>5</v>
      </c>
      <c r="H1218">
        <v>163</v>
      </c>
      <c r="I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0"/>
        <v>06:15:42.625</v>
      </c>
      <c r="T1218" t="str">
        <f t="shared" si="61"/>
        <v>06:15:42.125</v>
      </c>
      <c r="U1218" t="str">
        <f t="shared" ref="U1218:U1281" si="64">"A7E2E0"</f>
        <v>A7E2E0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941</v>
      </c>
      <c r="AJ1218">
        <v>39.044486999999997</v>
      </c>
      <c r="AK1218" t="s">
        <v>942</v>
      </c>
      <c r="AL1218">
        <v>-87.528205</v>
      </c>
      <c r="AM1218">
        <v>100</v>
      </c>
      <c r="AN1218">
        <v>2800</v>
      </c>
      <c r="AO1218" t="s">
        <v>118</v>
      </c>
      <c r="AP1218">
        <v>-99</v>
      </c>
      <c r="AQ1218">
        <v>-130</v>
      </c>
      <c r="AR1218">
        <v>-64</v>
      </c>
      <c r="AZ1218">
        <v>4552</v>
      </c>
      <c r="BA1218">
        <v>1</v>
      </c>
      <c r="BB1218" t="str">
        <f t="shared" ref="BB1218:BB1281" si="65">"N607SR  "</f>
        <v xml:space="preserve">N607SR  </v>
      </c>
      <c r="BC1218">
        <v>1</v>
      </c>
      <c r="BE1218">
        <v>0</v>
      </c>
      <c r="BF1218">
        <v>0</v>
      </c>
      <c r="BG1218">
        <v>0</v>
      </c>
      <c r="BH1218">
        <v>2675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 t="shared" si="62"/>
        <v>06:15:42.629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5</v>
      </c>
      <c r="CP1218" t="s">
        <v>119</v>
      </c>
      <c r="CQ1218">
        <v>465</v>
      </c>
      <c r="CR1218">
        <v>0</v>
      </c>
      <c r="CW1218">
        <v>4719612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 t="shared" si="59"/>
        <v>08/29/2020 06:15:39.411</v>
      </c>
      <c r="C1219" t="str">
        <f t="shared" si="63"/>
        <v>FFDFD3C0</v>
      </c>
      <c r="D1219" t="s">
        <v>128</v>
      </c>
      <c r="E1219">
        <v>5</v>
      </c>
      <c r="H1219">
        <v>241</v>
      </c>
      <c r="I1219" t="s">
        <v>129</v>
      </c>
      <c r="J1219" t="s">
        <v>130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0"/>
        <v>06:15:42.625</v>
      </c>
      <c r="T1219" t="str">
        <f t="shared" si="61"/>
        <v>06:15:42.125</v>
      </c>
      <c r="U1219" t="str">
        <f t="shared" si="64"/>
        <v>A7E2E0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941</v>
      </c>
      <c r="AJ1219">
        <v>39.044486999999997</v>
      </c>
      <c r="AK1219" t="s">
        <v>942</v>
      </c>
      <c r="AL1219">
        <v>-87.528205</v>
      </c>
      <c r="AM1219">
        <v>100</v>
      </c>
      <c r="AN1219">
        <v>2800</v>
      </c>
      <c r="AO1219" t="s">
        <v>118</v>
      </c>
      <c r="AP1219">
        <v>-99</v>
      </c>
      <c r="AQ1219">
        <v>-130</v>
      </c>
      <c r="AR1219">
        <v>-64</v>
      </c>
      <c r="AZ1219">
        <v>4552</v>
      </c>
      <c r="BA1219">
        <v>1</v>
      </c>
      <c r="BB1219" t="str">
        <f t="shared" si="65"/>
        <v xml:space="preserve">N607SR  </v>
      </c>
      <c r="BC1219">
        <v>1</v>
      </c>
      <c r="BE1219">
        <v>0</v>
      </c>
      <c r="BF1219">
        <v>0</v>
      </c>
      <c r="BG1219">
        <v>0</v>
      </c>
      <c r="BH1219">
        <v>2675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si="62"/>
        <v>06:15:42.629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5</v>
      </c>
      <c r="CP1219" t="s">
        <v>119</v>
      </c>
      <c r="CQ1219">
        <v>465</v>
      </c>
      <c r="CR1219">
        <v>0</v>
      </c>
      <c r="CW1219">
        <v>4719612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 t="shared" si="59"/>
        <v>08/29/2020 06:15:39.411</v>
      </c>
      <c r="C1220" t="str">
        <f t="shared" si="63"/>
        <v>FFDFD3C0</v>
      </c>
      <c r="D1220" t="s">
        <v>939</v>
      </c>
      <c r="E1220">
        <v>10</v>
      </c>
      <c r="H1220">
        <v>79</v>
      </c>
      <c r="I1220" t="s">
        <v>940</v>
      </c>
      <c r="J1220" t="s">
        <v>130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0"/>
        <v>06:15:42.625</v>
      </c>
      <c r="T1220" t="str">
        <f t="shared" si="61"/>
        <v>06:15:42.125</v>
      </c>
      <c r="U1220" t="str">
        <f t="shared" si="64"/>
        <v>A7E2E0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941</v>
      </c>
      <c r="AJ1220">
        <v>39.044486999999997</v>
      </c>
      <c r="AK1220" t="s">
        <v>942</v>
      </c>
      <c r="AL1220">
        <v>-87.528205</v>
      </c>
      <c r="AM1220">
        <v>100</v>
      </c>
      <c r="AN1220">
        <v>2800</v>
      </c>
      <c r="AO1220" t="s">
        <v>118</v>
      </c>
      <c r="AP1220">
        <v>-99</v>
      </c>
      <c r="AQ1220">
        <v>-130</v>
      </c>
      <c r="AR1220">
        <v>-64</v>
      </c>
      <c r="AZ1220">
        <v>4552</v>
      </c>
      <c r="BA1220">
        <v>1</v>
      </c>
      <c r="BB1220" t="str">
        <f t="shared" si="65"/>
        <v xml:space="preserve">N607SR  </v>
      </c>
      <c r="BC1220">
        <v>1</v>
      </c>
      <c r="BE1220">
        <v>0</v>
      </c>
      <c r="BF1220">
        <v>0</v>
      </c>
      <c r="BG1220">
        <v>0</v>
      </c>
      <c r="BH1220">
        <v>2675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si="62"/>
        <v>06:15:42.629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5</v>
      </c>
      <c r="CP1220" t="s">
        <v>119</v>
      </c>
      <c r="CQ1220">
        <v>465</v>
      </c>
      <c r="CR1220">
        <v>0</v>
      </c>
      <c r="CW1220">
        <v>4719612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ref="A1221:A1226" si="66">"08/29/2020 06:15:40.423"</f>
        <v>08/29/2020 06:15:40.423</v>
      </c>
      <c r="C1221" t="str">
        <f t="shared" si="63"/>
        <v>FFDFD3C0</v>
      </c>
      <c r="D1221" t="s">
        <v>121</v>
      </c>
      <c r="E1221">
        <v>10</v>
      </c>
      <c r="F1221">
        <v>1010</v>
      </c>
      <c r="G1221" t="s">
        <v>114</v>
      </c>
      <c r="J1221" t="s">
        <v>123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ref="S1221:S1226" si="67">"06:15:43.656"</f>
        <v>06:15:43.656</v>
      </c>
      <c r="T1221" t="str">
        <f>"06:15:43.256"</f>
        <v>06:15:43.256</v>
      </c>
      <c r="U1221" t="str">
        <f t="shared" si="64"/>
        <v>A7E2E0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943</v>
      </c>
      <c r="AJ1221">
        <v>39.043864999999997</v>
      </c>
      <c r="AK1221" t="s">
        <v>944</v>
      </c>
      <c r="AL1221">
        <v>-87.528806000000003</v>
      </c>
      <c r="AM1221">
        <v>100</v>
      </c>
      <c r="AN1221">
        <v>2800</v>
      </c>
      <c r="AO1221" t="s">
        <v>118</v>
      </c>
      <c r="AP1221">
        <v>-99</v>
      </c>
      <c r="AQ1221">
        <v>-130</v>
      </c>
      <c r="AR1221">
        <v>-128</v>
      </c>
      <c r="AZ1221">
        <v>4552</v>
      </c>
      <c r="BA1221">
        <v>1</v>
      </c>
      <c r="BB1221" t="str">
        <f t="shared" si="65"/>
        <v xml:space="preserve">N607SR  </v>
      </c>
      <c r="BC1221">
        <v>1</v>
      </c>
      <c r="BE1221">
        <v>0</v>
      </c>
      <c r="BF1221">
        <v>0</v>
      </c>
      <c r="BG1221">
        <v>0</v>
      </c>
      <c r="BH1221">
        <v>2675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ref="BW1221:BW1226" si="68">"06:15:43.663"</f>
        <v>06:15:43.663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457</v>
      </c>
      <c r="CR1221">
        <v>0</v>
      </c>
      <c r="CW1221">
        <v>15515689</v>
      </c>
      <c r="CY1221">
        <v>1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si="66"/>
        <v>08/29/2020 06:15:40.423</v>
      </c>
      <c r="C1222" t="str">
        <f t="shared" si="63"/>
        <v>FFDFD3C0</v>
      </c>
      <c r="D1222" t="s">
        <v>121</v>
      </c>
      <c r="E1222">
        <v>11</v>
      </c>
      <c r="F1222">
        <v>1011</v>
      </c>
      <c r="G1222" t="s">
        <v>125</v>
      </c>
      <c r="J1222" t="s">
        <v>123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7"/>
        <v>06:15:43.656</v>
      </c>
      <c r="T1222" t="str">
        <f>"06:15:43.256"</f>
        <v>06:15:43.256</v>
      </c>
      <c r="U1222" t="str">
        <f t="shared" si="64"/>
        <v>A7E2E0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943</v>
      </c>
      <c r="AJ1222">
        <v>39.043864999999997</v>
      </c>
      <c r="AK1222" t="s">
        <v>944</v>
      </c>
      <c r="AL1222">
        <v>-87.528806000000003</v>
      </c>
      <c r="AM1222">
        <v>100</v>
      </c>
      <c r="AN1222">
        <v>2800</v>
      </c>
      <c r="AO1222" t="s">
        <v>118</v>
      </c>
      <c r="AP1222">
        <v>-99</v>
      </c>
      <c r="AQ1222">
        <v>-130</v>
      </c>
      <c r="AR1222">
        <v>-128</v>
      </c>
      <c r="AZ1222">
        <v>4552</v>
      </c>
      <c r="BA1222">
        <v>1</v>
      </c>
      <c r="BB1222" t="str">
        <f t="shared" si="65"/>
        <v xml:space="preserve">N607SR  </v>
      </c>
      <c r="BC1222">
        <v>1</v>
      </c>
      <c r="BE1222">
        <v>0</v>
      </c>
      <c r="BF1222">
        <v>0</v>
      </c>
      <c r="BG1222">
        <v>0</v>
      </c>
      <c r="BH1222">
        <v>2675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si="68"/>
        <v>06:15:43.663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457</v>
      </c>
      <c r="CR1222">
        <v>0</v>
      </c>
      <c r="CW1222">
        <v>15515689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66"/>
        <v>08/29/2020 06:15:40.423</v>
      </c>
      <c r="C1223" t="str">
        <f t="shared" si="63"/>
        <v>FFDFD3C0</v>
      </c>
      <c r="D1223" t="s">
        <v>121</v>
      </c>
      <c r="E1223">
        <v>13</v>
      </c>
      <c r="F1223">
        <v>1013</v>
      </c>
      <c r="G1223" t="s">
        <v>122</v>
      </c>
      <c r="J1223" t="s">
        <v>123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7"/>
        <v>06:15:43.656</v>
      </c>
      <c r="T1223" t="str">
        <f>"06:15:43.256"</f>
        <v>06:15:43.256</v>
      </c>
      <c r="U1223" t="str">
        <f t="shared" si="64"/>
        <v>A7E2E0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943</v>
      </c>
      <c r="AJ1223">
        <v>39.043864999999997</v>
      </c>
      <c r="AK1223" t="s">
        <v>944</v>
      </c>
      <c r="AL1223">
        <v>-87.528806000000003</v>
      </c>
      <c r="AM1223">
        <v>100</v>
      </c>
      <c r="AN1223">
        <v>2800</v>
      </c>
      <c r="AO1223" t="s">
        <v>118</v>
      </c>
      <c r="AP1223">
        <v>-99</v>
      </c>
      <c r="AQ1223">
        <v>-130</v>
      </c>
      <c r="AR1223">
        <v>-128</v>
      </c>
      <c r="AZ1223">
        <v>4552</v>
      </c>
      <c r="BA1223">
        <v>1</v>
      </c>
      <c r="BB1223" t="str">
        <f t="shared" si="65"/>
        <v xml:space="preserve">N607SR  </v>
      </c>
      <c r="BC1223">
        <v>1</v>
      </c>
      <c r="BE1223">
        <v>0</v>
      </c>
      <c r="BF1223">
        <v>0</v>
      </c>
      <c r="BG1223">
        <v>0</v>
      </c>
      <c r="BH1223">
        <v>2675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si="68"/>
        <v>06:15:43.663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457</v>
      </c>
      <c r="CR1223">
        <v>0</v>
      </c>
      <c r="CW1223">
        <v>15515689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66"/>
        <v>08/29/2020 06:15:40.423</v>
      </c>
      <c r="C1224" t="str">
        <f t="shared" si="63"/>
        <v>FFDFD3C0</v>
      </c>
      <c r="D1224" t="s">
        <v>113</v>
      </c>
      <c r="E1224">
        <v>5</v>
      </c>
      <c r="H1224">
        <v>163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7"/>
        <v>06:15:43.656</v>
      </c>
      <c r="T1224" t="str">
        <f>"06:15:43.256"</f>
        <v>06:15:43.256</v>
      </c>
      <c r="U1224" t="str">
        <f t="shared" si="64"/>
        <v>A7E2E0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943</v>
      </c>
      <c r="AJ1224">
        <v>39.043864999999997</v>
      </c>
      <c r="AK1224" t="s">
        <v>944</v>
      </c>
      <c r="AL1224">
        <v>-87.528806000000003</v>
      </c>
      <c r="AM1224">
        <v>100</v>
      </c>
      <c r="AN1224">
        <v>2800</v>
      </c>
      <c r="AO1224" t="s">
        <v>118</v>
      </c>
      <c r="AP1224">
        <v>-99</v>
      </c>
      <c r="AQ1224">
        <v>-130</v>
      </c>
      <c r="AR1224">
        <v>-128</v>
      </c>
      <c r="AZ1224">
        <v>4552</v>
      </c>
      <c r="BA1224">
        <v>1</v>
      </c>
      <c r="BB1224" t="str">
        <f t="shared" si="65"/>
        <v xml:space="preserve">N607SR  </v>
      </c>
      <c r="BC1224">
        <v>1</v>
      </c>
      <c r="BE1224">
        <v>0</v>
      </c>
      <c r="BF1224">
        <v>0</v>
      </c>
      <c r="BG1224">
        <v>0</v>
      </c>
      <c r="BH1224">
        <v>2675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68"/>
        <v>06:15:43.663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457</v>
      </c>
      <c r="CR1224">
        <v>0</v>
      </c>
      <c r="CW1224">
        <v>15515689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66"/>
        <v>08/29/2020 06:15:40.423</v>
      </c>
      <c r="C1225" t="str">
        <f t="shared" si="63"/>
        <v>FFDFD3C0</v>
      </c>
      <c r="D1225" t="s">
        <v>128</v>
      </c>
      <c r="E1225">
        <v>5</v>
      </c>
      <c r="H1225">
        <v>241</v>
      </c>
      <c r="I1225" t="s">
        <v>129</v>
      </c>
      <c r="J1225" t="s">
        <v>130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7"/>
        <v>06:15:43.656</v>
      </c>
      <c r="T1225" t="str">
        <f>"06:15:43.256"</f>
        <v>06:15:43.256</v>
      </c>
      <c r="U1225" t="str">
        <f t="shared" si="64"/>
        <v>A7E2E0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943</v>
      </c>
      <c r="AJ1225">
        <v>39.043864999999997</v>
      </c>
      <c r="AK1225" t="s">
        <v>944</v>
      </c>
      <c r="AL1225">
        <v>-87.528806000000003</v>
      </c>
      <c r="AM1225">
        <v>100</v>
      </c>
      <c r="AN1225">
        <v>2800</v>
      </c>
      <c r="AO1225" t="s">
        <v>118</v>
      </c>
      <c r="AP1225">
        <v>-99</v>
      </c>
      <c r="AQ1225">
        <v>-130</v>
      </c>
      <c r="AR1225">
        <v>-128</v>
      </c>
      <c r="AZ1225">
        <v>4552</v>
      </c>
      <c r="BA1225">
        <v>1</v>
      </c>
      <c r="BB1225" t="str">
        <f t="shared" si="65"/>
        <v xml:space="preserve">N607SR  </v>
      </c>
      <c r="BC1225">
        <v>1</v>
      </c>
      <c r="BE1225">
        <v>0</v>
      </c>
      <c r="BF1225">
        <v>0</v>
      </c>
      <c r="BG1225">
        <v>0</v>
      </c>
      <c r="BH1225">
        <v>2675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68"/>
        <v>06:15:43.663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457</v>
      </c>
      <c r="CR1225">
        <v>0</v>
      </c>
      <c r="CW1225">
        <v>15515689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si="66"/>
        <v>08/29/2020 06:15:40.423</v>
      </c>
      <c r="C1226" t="str">
        <f t="shared" si="63"/>
        <v>FFDFD3C0</v>
      </c>
      <c r="D1226" t="s">
        <v>939</v>
      </c>
      <c r="E1226">
        <v>10</v>
      </c>
      <c r="H1226">
        <v>79</v>
      </c>
      <c r="I1226" t="s">
        <v>940</v>
      </c>
      <c r="J1226" t="s">
        <v>130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7"/>
        <v>06:15:43.656</v>
      </c>
      <c r="T1226" t="str">
        <f>"06:15:42.656"</f>
        <v>06:15:42.656</v>
      </c>
      <c r="U1226" t="str">
        <f t="shared" si="64"/>
        <v>A7E2E0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943</v>
      </c>
      <c r="AJ1226">
        <v>39.043864999999997</v>
      </c>
      <c r="AK1226" t="s">
        <v>944</v>
      </c>
      <c r="AL1226">
        <v>-87.528806000000003</v>
      </c>
      <c r="AM1226">
        <v>100</v>
      </c>
      <c r="AN1226">
        <v>2800</v>
      </c>
      <c r="AO1226" t="s">
        <v>118</v>
      </c>
      <c r="AP1226">
        <v>-99</v>
      </c>
      <c r="AQ1226">
        <v>-130</v>
      </c>
      <c r="AR1226">
        <v>-128</v>
      </c>
      <c r="AZ1226">
        <v>4552</v>
      </c>
      <c r="BA1226">
        <v>1</v>
      </c>
      <c r="BB1226" t="str">
        <f t="shared" si="65"/>
        <v xml:space="preserve">N607SR  </v>
      </c>
      <c r="BC1226">
        <v>1</v>
      </c>
      <c r="BE1226">
        <v>0</v>
      </c>
      <c r="BF1226">
        <v>0</v>
      </c>
      <c r="BG1226">
        <v>0</v>
      </c>
      <c r="BH1226">
        <v>2575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si="68"/>
        <v>06:15:43.663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5</v>
      </c>
      <c r="CP1226" t="s">
        <v>119</v>
      </c>
      <c r="CQ1226">
        <v>465</v>
      </c>
      <c r="CR1226">
        <v>0</v>
      </c>
      <c r="CW1226">
        <v>4719645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ref="A1227:A1232" si="69">"08/29/2020 06:15:41.303"</f>
        <v>08/29/2020 06:15:41.303</v>
      </c>
      <c r="C1227" t="str">
        <f t="shared" si="63"/>
        <v>FFDFD3C0</v>
      </c>
      <c r="D1227" t="s">
        <v>121</v>
      </c>
      <c r="E1227">
        <v>11</v>
      </c>
      <c r="F1227">
        <v>1011</v>
      </c>
      <c r="G1227" t="s">
        <v>125</v>
      </c>
      <c r="J1227" t="s">
        <v>123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ref="S1227:S1232" si="70">"06:15:44.555"</f>
        <v>06:15:44.555</v>
      </c>
      <c r="T1227" t="str">
        <f t="shared" ref="T1227:T1232" si="71">"06:15:44.155"</f>
        <v>06:15:44.155</v>
      </c>
      <c r="U1227" t="str">
        <f t="shared" si="64"/>
        <v>A7E2E0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0</v>
      </c>
      <c r="AI1227" t="s">
        <v>945</v>
      </c>
      <c r="AJ1227">
        <v>39.043306999999999</v>
      </c>
      <c r="AK1227" t="s">
        <v>946</v>
      </c>
      <c r="AL1227">
        <v>-87.529320999999996</v>
      </c>
      <c r="AM1227">
        <v>100</v>
      </c>
      <c r="AN1227">
        <v>2800</v>
      </c>
      <c r="AO1227" t="s">
        <v>118</v>
      </c>
      <c r="AP1227">
        <v>-99</v>
      </c>
      <c r="AQ1227">
        <v>-130</v>
      </c>
      <c r="AR1227">
        <v>-64</v>
      </c>
      <c r="AZ1227">
        <v>4552</v>
      </c>
      <c r="BA1227">
        <v>1</v>
      </c>
      <c r="BB1227" t="str">
        <f t="shared" si="65"/>
        <v xml:space="preserve">N607SR  </v>
      </c>
      <c r="BC1227">
        <v>1</v>
      </c>
      <c r="BE1227">
        <v>0</v>
      </c>
      <c r="BF1227">
        <v>0</v>
      </c>
      <c r="BG1227">
        <v>0</v>
      </c>
      <c r="BH1227">
        <v>2575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ref="BW1227:BW1232" si="72">"06:15:44.556"</f>
        <v>06:15:44.556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177</v>
      </c>
      <c r="CR1227">
        <v>2</v>
      </c>
      <c r="CW1227">
        <v>1638566</v>
      </c>
      <c r="CY1227">
        <v>1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69"/>
        <v>08/29/2020 06:15:41.303</v>
      </c>
      <c r="C1228" t="str">
        <f t="shared" si="63"/>
        <v>FFDFD3C0</v>
      </c>
      <c r="D1228" t="s">
        <v>121</v>
      </c>
      <c r="E1228">
        <v>13</v>
      </c>
      <c r="F1228">
        <v>1013</v>
      </c>
      <c r="G1228" t="s">
        <v>122</v>
      </c>
      <c r="J1228" t="s">
        <v>123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70"/>
        <v>06:15:44.555</v>
      </c>
      <c r="T1228" t="str">
        <f t="shared" si="71"/>
        <v>06:15:44.155</v>
      </c>
      <c r="U1228" t="str">
        <f t="shared" si="64"/>
        <v>A7E2E0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0</v>
      </c>
      <c r="AI1228" t="s">
        <v>945</v>
      </c>
      <c r="AJ1228">
        <v>39.043306999999999</v>
      </c>
      <c r="AK1228" t="s">
        <v>946</v>
      </c>
      <c r="AL1228">
        <v>-87.529320999999996</v>
      </c>
      <c r="AM1228">
        <v>100</v>
      </c>
      <c r="AN1228">
        <v>2800</v>
      </c>
      <c r="AO1228" t="s">
        <v>118</v>
      </c>
      <c r="AP1228">
        <v>-99</v>
      </c>
      <c r="AQ1228">
        <v>-130</v>
      </c>
      <c r="AR1228">
        <v>-64</v>
      </c>
      <c r="AZ1228">
        <v>4552</v>
      </c>
      <c r="BA1228">
        <v>1</v>
      </c>
      <c r="BB1228" t="str">
        <f t="shared" si="65"/>
        <v xml:space="preserve">N607SR  </v>
      </c>
      <c r="BC1228">
        <v>1</v>
      </c>
      <c r="BE1228">
        <v>0</v>
      </c>
      <c r="BF1228">
        <v>0</v>
      </c>
      <c r="BG1228">
        <v>0</v>
      </c>
      <c r="BH1228">
        <v>2575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si="72"/>
        <v>06:15:44.556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177</v>
      </c>
      <c r="CR1228">
        <v>2</v>
      </c>
      <c r="CW1228">
        <v>1638566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si="69"/>
        <v>08/29/2020 06:15:41.303</v>
      </c>
      <c r="C1229" t="str">
        <f t="shared" si="63"/>
        <v>FFDFD3C0</v>
      </c>
      <c r="D1229" t="s">
        <v>939</v>
      </c>
      <c r="E1229">
        <v>10</v>
      </c>
      <c r="H1229">
        <v>79</v>
      </c>
      <c r="I1229" t="s">
        <v>940</v>
      </c>
      <c r="J1229" t="s">
        <v>130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70"/>
        <v>06:15:44.555</v>
      </c>
      <c r="T1229" t="str">
        <f t="shared" si="71"/>
        <v>06:15:44.155</v>
      </c>
      <c r="U1229" t="str">
        <f t="shared" si="64"/>
        <v>A7E2E0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945</v>
      </c>
      <c r="AJ1229">
        <v>39.043306999999999</v>
      </c>
      <c r="AK1229" t="s">
        <v>946</v>
      </c>
      <c r="AL1229">
        <v>-87.529320999999996</v>
      </c>
      <c r="AM1229">
        <v>100</v>
      </c>
      <c r="AN1229">
        <v>2800</v>
      </c>
      <c r="AO1229" t="s">
        <v>118</v>
      </c>
      <c r="AP1229">
        <v>-99</v>
      </c>
      <c r="AQ1229">
        <v>-130</v>
      </c>
      <c r="AR1229">
        <v>-64</v>
      </c>
      <c r="AZ1229">
        <v>4552</v>
      </c>
      <c r="BA1229">
        <v>1</v>
      </c>
      <c r="BB1229" t="str">
        <f t="shared" si="65"/>
        <v xml:space="preserve">N607SR  </v>
      </c>
      <c r="BC1229">
        <v>1</v>
      </c>
      <c r="BE1229">
        <v>0</v>
      </c>
      <c r="BF1229">
        <v>0</v>
      </c>
      <c r="BG1229">
        <v>0</v>
      </c>
      <c r="BH1229">
        <v>2675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si="72"/>
        <v>06:15:44.556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5</v>
      </c>
      <c r="CP1229" t="s">
        <v>119</v>
      </c>
      <c r="CQ1229">
        <v>465</v>
      </c>
      <c r="CR1229">
        <v>0</v>
      </c>
      <c r="CW1229">
        <v>4719668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69"/>
        <v>08/29/2020 06:15:41.303</v>
      </c>
      <c r="C1230" t="str">
        <f t="shared" si="63"/>
        <v>FFDFD3C0</v>
      </c>
      <c r="D1230" t="s">
        <v>113</v>
      </c>
      <c r="E1230">
        <v>5</v>
      </c>
      <c r="H1230">
        <v>163</v>
      </c>
      <c r="I1230" t="s">
        <v>114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70"/>
        <v>06:15:44.555</v>
      </c>
      <c r="T1230" t="str">
        <f t="shared" si="71"/>
        <v>06:15:44.155</v>
      </c>
      <c r="U1230" t="str">
        <f t="shared" si="64"/>
        <v>A7E2E0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945</v>
      </c>
      <c r="AJ1230">
        <v>39.043306999999999</v>
      </c>
      <c r="AK1230" t="s">
        <v>946</v>
      </c>
      <c r="AL1230">
        <v>-87.529320999999996</v>
      </c>
      <c r="AM1230">
        <v>100</v>
      </c>
      <c r="AN1230">
        <v>2800</v>
      </c>
      <c r="AO1230" t="s">
        <v>118</v>
      </c>
      <c r="AP1230">
        <v>-99</v>
      </c>
      <c r="AQ1230">
        <v>-130</v>
      </c>
      <c r="AR1230">
        <v>-64</v>
      </c>
      <c r="AZ1230">
        <v>4552</v>
      </c>
      <c r="BA1230">
        <v>1</v>
      </c>
      <c r="BB1230" t="str">
        <f t="shared" si="65"/>
        <v xml:space="preserve">N607SR  </v>
      </c>
      <c r="BC1230">
        <v>1</v>
      </c>
      <c r="BE1230">
        <v>0</v>
      </c>
      <c r="BF1230">
        <v>0</v>
      </c>
      <c r="BG1230">
        <v>0</v>
      </c>
      <c r="BH1230">
        <v>2575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72"/>
        <v>06:15:44.556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177</v>
      </c>
      <c r="CR1230">
        <v>2</v>
      </c>
      <c r="CW1230">
        <v>1638566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69"/>
        <v>08/29/2020 06:15:41.303</v>
      </c>
      <c r="C1231" t="str">
        <f t="shared" si="63"/>
        <v>FFDFD3C0</v>
      </c>
      <c r="D1231" t="s">
        <v>128</v>
      </c>
      <c r="E1231">
        <v>5</v>
      </c>
      <c r="H1231">
        <v>241</v>
      </c>
      <c r="I1231" t="s">
        <v>129</v>
      </c>
      <c r="J1231" t="s">
        <v>130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70"/>
        <v>06:15:44.555</v>
      </c>
      <c r="T1231" t="str">
        <f t="shared" si="71"/>
        <v>06:15:44.155</v>
      </c>
      <c r="U1231" t="str">
        <f t="shared" si="64"/>
        <v>A7E2E0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945</v>
      </c>
      <c r="AJ1231">
        <v>39.043306999999999</v>
      </c>
      <c r="AK1231" t="s">
        <v>946</v>
      </c>
      <c r="AL1231">
        <v>-87.529320999999996</v>
      </c>
      <c r="AM1231">
        <v>100</v>
      </c>
      <c r="AN1231">
        <v>2800</v>
      </c>
      <c r="AO1231" t="s">
        <v>118</v>
      </c>
      <c r="AP1231">
        <v>-99</v>
      </c>
      <c r="AQ1231">
        <v>-130</v>
      </c>
      <c r="AR1231">
        <v>-64</v>
      </c>
      <c r="AZ1231">
        <v>4552</v>
      </c>
      <c r="BA1231">
        <v>1</v>
      </c>
      <c r="BB1231" t="str">
        <f t="shared" si="65"/>
        <v xml:space="preserve">N607SR  </v>
      </c>
      <c r="BC1231">
        <v>1</v>
      </c>
      <c r="BE1231">
        <v>0</v>
      </c>
      <c r="BF1231">
        <v>0</v>
      </c>
      <c r="BG1231">
        <v>0</v>
      </c>
      <c r="BH1231">
        <v>2575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72"/>
        <v>06:15:44.556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177</v>
      </c>
      <c r="CR1231">
        <v>2</v>
      </c>
      <c r="CW1231">
        <v>1638566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69"/>
        <v>08/29/2020 06:15:41.303</v>
      </c>
      <c r="C1232" t="str">
        <f t="shared" si="63"/>
        <v>FFDFD3C0</v>
      </c>
      <c r="D1232" t="s">
        <v>121</v>
      </c>
      <c r="E1232">
        <v>10</v>
      </c>
      <c r="F1232">
        <v>1010</v>
      </c>
      <c r="G1232" t="s">
        <v>114</v>
      </c>
      <c r="J1232" t="s">
        <v>123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70"/>
        <v>06:15:44.555</v>
      </c>
      <c r="T1232" t="str">
        <f t="shared" si="71"/>
        <v>06:15:44.155</v>
      </c>
      <c r="U1232" t="str">
        <f t="shared" si="64"/>
        <v>A7E2E0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945</v>
      </c>
      <c r="AJ1232">
        <v>39.043306999999999</v>
      </c>
      <c r="AK1232" t="s">
        <v>946</v>
      </c>
      <c r="AL1232">
        <v>-87.529320999999996</v>
      </c>
      <c r="AM1232">
        <v>100</v>
      </c>
      <c r="AN1232">
        <v>2800</v>
      </c>
      <c r="AO1232" t="s">
        <v>118</v>
      </c>
      <c r="AP1232">
        <v>-99</v>
      </c>
      <c r="AQ1232">
        <v>-130</v>
      </c>
      <c r="AR1232">
        <v>-64</v>
      </c>
      <c r="AZ1232">
        <v>4552</v>
      </c>
      <c r="BA1232">
        <v>1</v>
      </c>
      <c r="BB1232" t="str">
        <f t="shared" si="65"/>
        <v xml:space="preserve">N607SR  </v>
      </c>
      <c r="BC1232">
        <v>1</v>
      </c>
      <c r="BE1232">
        <v>0</v>
      </c>
      <c r="BF1232">
        <v>0</v>
      </c>
      <c r="BG1232">
        <v>0</v>
      </c>
      <c r="BH1232">
        <v>2575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si="72"/>
        <v>06:15:44.556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177</v>
      </c>
      <c r="CR1232">
        <v>2</v>
      </c>
      <c r="CW1232">
        <v>1638566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ref="A1233:A1238" si="73">"08/29/2020 06:15:42.368"</f>
        <v>08/29/2020 06:15:42.368</v>
      </c>
      <c r="C1233" t="str">
        <f t="shared" si="63"/>
        <v>FFDFD3C0</v>
      </c>
      <c r="D1233" t="s">
        <v>121</v>
      </c>
      <c r="E1233">
        <v>11</v>
      </c>
      <c r="F1233">
        <v>1011</v>
      </c>
      <c r="G1233" t="s">
        <v>125</v>
      </c>
      <c r="J1233" t="s">
        <v>123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ref="S1233:S1238" si="74">"06:15:45.555"</f>
        <v>06:15:45.555</v>
      </c>
      <c r="T1233" t="str">
        <f>"06:15:45.055"</f>
        <v>06:15:45.055</v>
      </c>
      <c r="U1233" t="str">
        <f t="shared" si="64"/>
        <v>A7E2E0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947</v>
      </c>
      <c r="AJ1233">
        <v>39.042706000000003</v>
      </c>
      <c r="AK1233" t="s">
        <v>948</v>
      </c>
      <c r="AL1233">
        <v>-87.529921999999999</v>
      </c>
      <c r="AM1233">
        <v>100</v>
      </c>
      <c r="AN1233">
        <v>2700</v>
      </c>
      <c r="AO1233" t="s">
        <v>118</v>
      </c>
      <c r="AP1233">
        <v>-99</v>
      </c>
      <c r="AQ1233">
        <v>-129</v>
      </c>
      <c r="AR1233">
        <v>-64</v>
      </c>
      <c r="AZ1233">
        <v>4552</v>
      </c>
      <c r="BA1233">
        <v>1</v>
      </c>
      <c r="BB1233" t="str">
        <f t="shared" si="65"/>
        <v xml:space="preserve">N607SR  </v>
      </c>
      <c r="BC1233">
        <v>1</v>
      </c>
      <c r="BE1233">
        <v>0</v>
      </c>
      <c r="BF1233">
        <v>0</v>
      </c>
      <c r="BG1233">
        <v>0</v>
      </c>
      <c r="BH1233">
        <v>2575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ref="BW1233:BW1238" si="75">"06:15:45.562"</f>
        <v>06:15:45.562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177</v>
      </c>
      <c r="CR1233">
        <v>2</v>
      </c>
      <c r="CW1233">
        <v>1638729</v>
      </c>
      <c r="CY1233">
        <v>1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73"/>
        <v>08/29/2020 06:15:42.368</v>
      </c>
      <c r="C1234" t="str">
        <f t="shared" si="63"/>
        <v>FFDFD3C0</v>
      </c>
      <c r="D1234" t="s">
        <v>128</v>
      </c>
      <c r="E1234">
        <v>5</v>
      </c>
      <c r="H1234">
        <v>241</v>
      </c>
      <c r="I1234" t="s">
        <v>129</v>
      </c>
      <c r="J1234" t="s">
        <v>130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74"/>
        <v>06:15:45.555</v>
      </c>
      <c r="U1234" t="str">
        <f t="shared" si="64"/>
        <v>A7E2E0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947</v>
      </c>
      <c r="AJ1234">
        <v>39.042706000000003</v>
      </c>
      <c r="AK1234" t="s">
        <v>948</v>
      </c>
      <c r="AL1234">
        <v>-87.529921999999999</v>
      </c>
      <c r="AM1234">
        <v>100</v>
      </c>
      <c r="AN1234">
        <v>2700</v>
      </c>
      <c r="AO1234" t="s">
        <v>118</v>
      </c>
      <c r="AP1234">
        <v>-99</v>
      </c>
      <c r="AQ1234">
        <v>-129</v>
      </c>
      <c r="AR1234">
        <v>0</v>
      </c>
      <c r="AZ1234">
        <v>4552</v>
      </c>
      <c r="BA1234">
        <v>1</v>
      </c>
      <c r="BB1234" t="str">
        <f t="shared" si="65"/>
        <v xml:space="preserve">N607SR  </v>
      </c>
      <c r="BC1234">
        <v>1</v>
      </c>
      <c r="BE1234">
        <v>0</v>
      </c>
      <c r="BF1234">
        <v>0</v>
      </c>
      <c r="BG1234">
        <v>0</v>
      </c>
      <c r="BH1234">
        <v>2575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75"/>
        <v>06:15:45.562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5</v>
      </c>
      <c r="CP1234" t="s">
        <v>119</v>
      </c>
      <c r="CQ1234">
        <v>517</v>
      </c>
      <c r="CR1234">
        <v>1</v>
      </c>
      <c r="CW1234">
        <v>2480527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si="73"/>
        <v>08/29/2020 06:15:42.368</v>
      </c>
      <c r="C1235" t="str">
        <f t="shared" si="63"/>
        <v>FFDFD3C0</v>
      </c>
      <c r="D1235" t="s">
        <v>121</v>
      </c>
      <c r="E1235">
        <v>10</v>
      </c>
      <c r="F1235">
        <v>1010</v>
      </c>
      <c r="G1235" t="s">
        <v>114</v>
      </c>
      <c r="J1235" t="s">
        <v>123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74"/>
        <v>06:15:45.555</v>
      </c>
      <c r="U1235" t="str">
        <f t="shared" si="64"/>
        <v>A7E2E0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947</v>
      </c>
      <c r="AJ1235">
        <v>39.042706000000003</v>
      </c>
      <c r="AK1235" t="s">
        <v>948</v>
      </c>
      <c r="AL1235">
        <v>-87.529921999999999</v>
      </c>
      <c r="AM1235">
        <v>100</v>
      </c>
      <c r="AN1235">
        <v>2700</v>
      </c>
      <c r="AO1235" t="s">
        <v>118</v>
      </c>
      <c r="AP1235">
        <v>-99</v>
      </c>
      <c r="AQ1235">
        <v>-129</v>
      </c>
      <c r="AR1235">
        <v>0</v>
      </c>
      <c r="AZ1235">
        <v>4552</v>
      </c>
      <c r="BA1235">
        <v>1</v>
      </c>
      <c r="BB1235" t="str">
        <f t="shared" si="65"/>
        <v xml:space="preserve">N607SR  </v>
      </c>
      <c r="BC1235">
        <v>1</v>
      </c>
      <c r="BE1235">
        <v>0</v>
      </c>
      <c r="BF1235">
        <v>0</v>
      </c>
      <c r="BG1235">
        <v>0</v>
      </c>
      <c r="BH1235">
        <v>2575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si="75"/>
        <v>06:15:45.562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5</v>
      </c>
      <c r="CP1235" t="s">
        <v>119</v>
      </c>
      <c r="CQ1235">
        <v>517</v>
      </c>
      <c r="CR1235">
        <v>1</v>
      </c>
      <c r="CW1235">
        <v>2480527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73"/>
        <v>08/29/2020 06:15:42.368</v>
      </c>
      <c r="C1236" t="str">
        <f t="shared" si="63"/>
        <v>FFDFD3C0</v>
      </c>
      <c r="D1236" t="s">
        <v>113</v>
      </c>
      <c r="E1236">
        <v>5</v>
      </c>
      <c r="H1236">
        <v>163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74"/>
        <v>06:15:45.555</v>
      </c>
      <c r="U1236" t="str">
        <f t="shared" si="64"/>
        <v>A7E2E0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947</v>
      </c>
      <c r="AJ1236">
        <v>39.042706000000003</v>
      </c>
      <c r="AK1236" t="s">
        <v>948</v>
      </c>
      <c r="AL1236">
        <v>-87.529921999999999</v>
      </c>
      <c r="AM1236">
        <v>100</v>
      </c>
      <c r="AN1236">
        <v>2700</v>
      </c>
      <c r="AO1236" t="s">
        <v>118</v>
      </c>
      <c r="AP1236">
        <v>-99</v>
      </c>
      <c r="AQ1236">
        <v>-129</v>
      </c>
      <c r="AR1236">
        <v>0</v>
      </c>
      <c r="AZ1236">
        <v>4552</v>
      </c>
      <c r="BA1236">
        <v>1</v>
      </c>
      <c r="BB1236" t="str">
        <f t="shared" si="65"/>
        <v xml:space="preserve">N607SR  </v>
      </c>
      <c r="BC1236">
        <v>1</v>
      </c>
      <c r="BE1236">
        <v>0</v>
      </c>
      <c r="BF1236">
        <v>0</v>
      </c>
      <c r="BG1236">
        <v>0</v>
      </c>
      <c r="BH1236">
        <v>2575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si="75"/>
        <v>06:15:45.562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5</v>
      </c>
      <c r="CP1236" t="s">
        <v>119</v>
      </c>
      <c r="CQ1236">
        <v>517</v>
      </c>
      <c r="CR1236">
        <v>1</v>
      </c>
      <c r="CW1236">
        <v>2480527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73"/>
        <v>08/29/2020 06:15:42.368</v>
      </c>
      <c r="C1237" t="str">
        <f t="shared" si="63"/>
        <v>FFDFD3C0</v>
      </c>
      <c r="D1237" t="s">
        <v>121</v>
      </c>
      <c r="E1237">
        <v>13</v>
      </c>
      <c r="F1237">
        <v>1013</v>
      </c>
      <c r="G1237" t="s">
        <v>122</v>
      </c>
      <c r="J1237" t="s">
        <v>123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74"/>
        <v>06:15:45.555</v>
      </c>
      <c r="U1237" t="str">
        <f t="shared" si="64"/>
        <v>A7E2E0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947</v>
      </c>
      <c r="AJ1237">
        <v>39.042706000000003</v>
      </c>
      <c r="AK1237" t="s">
        <v>948</v>
      </c>
      <c r="AL1237">
        <v>-87.529921999999999</v>
      </c>
      <c r="AM1237">
        <v>100</v>
      </c>
      <c r="AN1237">
        <v>2700</v>
      </c>
      <c r="AO1237" t="s">
        <v>118</v>
      </c>
      <c r="AP1237">
        <v>-99</v>
      </c>
      <c r="AQ1237">
        <v>-129</v>
      </c>
      <c r="AR1237">
        <v>0</v>
      </c>
      <c r="AZ1237">
        <v>4552</v>
      </c>
      <c r="BA1237">
        <v>1</v>
      </c>
      <c r="BB1237" t="str">
        <f t="shared" si="65"/>
        <v xml:space="preserve">N607SR  </v>
      </c>
      <c r="BC1237">
        <v>1</v>
      </c>
      <c r="BE1237">
        <v>0</v>
      </c>
      <c r="BF1237">
        <v>0</v>
      </c>
      <c r="BG1237">
        <v>0</v>
      </c>
      <c r="BH1237">
        <v>2575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75"/>
        <v>06:15:45.562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5</v>
      </c>
      <c r="CP1237" t="s">
        <v>119</v>
      </c>
      <c r="CQ1237">
        <v>517</v>
      </c>
      <c r="CR1237">
        <v>1</v>
      </c>
      <c r="CW1237">
        <v>2480527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si="73"/>
        <v>08/29/2020 06:15:42.368</v>
      </c>
      <c r="C1238" t="str">
        <f t="shared" si="63"/>
        <v>FFDFD3C0</v>
      </c>
      <c r="D1238" t="s">
        <v>939</v>
      </c>
      <c r="E1238">
        <v>10</v>
      </c>
      <c r="H1238">
        <v>79</v>
      </c>
      <c r="I1238" t="s">
        <v>940</v>
      </c>
      <c r="J1238" t="s">
        <v>130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74"/>
        <v>06:15:45.555</v>
      </c>
      <c r="T1238" t="str">
        <f>"06:15:45.055"</f>
        <v>06:15:45.055</v>
      </c>
      <c r="U1238" t="str">
        <f t="shared" si="64"/>
        <v>A7E2E0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947</v>
      </c>
      <c r="AJ1238">
        <v>39.042706000000003</v>
      </c>
      <c r="AK1238" t="s">
        <v>948</v>
      </c>
      <c r="AL1238">
        <v>-87.529921999999999</v>
      </c>
      <c r="AM1238">
        <v>100</v>
      </c>
      <c r="AN1238">
        <v>2700</v>
      </c>
      <c r="AO1238" t="s">
        <v>118</v>
      </c>
      <c r="AP1238">
        <v>-99</v>
      </c>
      <c r="AQ1238">
        <v>-129</v>
      </c>
      <c r="AR1238">
        <v>-64</v>
      </c>
      <c r="AZ1238">
        <v>4552</v>
      </c>
      <c r="BA1238">
        <v>1</v>
      </c>
      <c r="BB1238" t="str">
        <f t="shared" si="65"/>
        <v xml:space="preserve">N607SR  </v>
      </c>
      <c r="BC1238">
        <v>1</v>
      </c>
      <c r="BE1238">
        <v>0</v>
      </c>
      <c r="BF1238">
        <v>0</v>
      </c>
      <c r="BG1238">
        <v>0</v>
      </c>
      <c r="BH1238">
        <v>2575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si="75"/>
        <v>06:15:45.562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5</v>
      </c>
      <c r="CP1238" t="s">
        <v>119</v>
      </c>
      <c r="CQ1238">
        <v>465</v>
      </c>
      <c r="CR1238">
        <v>0</v>
      </c>
      <c r="CW1238">
        <v>4719699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ref="A1239:A1244" si="76">"08/29/2020 06:15:43.281"</f>
        <v>08/29/2020 06:15:43.281</v>
      </c>
      <c r="C1239" t="str">
        <f t="shared" si="63"/>
        <v>FFDFD3C0</v>
      </c>
      <c r="D1239" t="s">
        <v>121</v>
      </c>
      <c r="E1239">
        <v>13</v>
      </c>
      <c r="F1239">
        <v>1013</v>
      </c>
      <c r="G1239" t="s">
        <v>122</v>
      </c>
      <c r="J1239" t="s">
        <v>123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ref="S1239:S1244" si="77">"06:15:46.484"</f>
        <v>06:15:46.484</v>
      </c>
      <c r="T1239" t="str">
        <f t="shared" ref="T1239:T1244" si="78">"06:15:46.084"</f>
        <v>06:15:46.084</v>
      </c>
      <c r="U1239" t="str">
        <f t="shared" si="64"/>
        <v>A7E2E0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949</v>
      </c>
      <c r="AJ1239">
        <v>39.042192</v>
      </c>
      <c r="AK1239" t="s">
        <v>950</v>
      </c>
      <c r="AL1239">
        <v>-87.530457999999996</v>
      </c>
      <c r="AM1239">
        <v>100</v>
      </c>
      <c r="AN1239">
        <v>2700</v>
      </c>
      <c r="AO1239" t="s">
        <v>118</v>
      </c>
      <c r="AP1239">
        <v>-99</v>
      </c>
      <c r="AQ1239">
        <v>-129</v>
      </c>
      <c r="AR1239">
        <v>0</v>
      </c>
      <c r="AZ1239">
        <v>4552</v>
      </c>
      <c r="BA1239">
        <v>1</v>
      </c>
      <c r="BB1239" t="str">
        <f t="shared" si="65"/>
        <v xml:space="preserve">N607SR  </v>
      </c>
      <c r="BC1239">
        <v>1</v>
      </c>
      <c r="BE1239">
        <v>0</v>
      </c>
      <c r="BF1239">
        <v>0</v>
      </c>
      <c r="BG1239">
        <v>0</v>
      </c>
      <c r="BH1239">
        <v>2575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ref="BW1239:BW1244" si="79">"06:15:46.491"</f>
        <v>06:15:46.491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177</v>
      </c>
      <c r="CR1239">
        <v>2</v>
      </c>
      <c r="CW1239">
        <v>1638873</v>
      </c>
      <c r="CY1239">
        <v>1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76"/>
        <v>08/29/2020 06:15:43.281</v>
      </c>
      <c r="C1240" t="str">
        <f t="shared" si="63"/>
        <v>FFDFD3C0</v>
      </c>
      <c r="D1240" t="s">
        <v>939</v>
      </c>
      <c r="E1240">
        <v>10</v>
      </c>
      <c r="H1240">
        <v>79</v>
      </c>
      <c r="I1240" t="s">
        <v>940</v>
      </c>
      <c r="J1240" t="s">
        <v>130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77"/>
        <v>06:15:46.484</v>
      </c>
      <c r="T1240" t="str">
        <f t="shared" si="78"/>
        <v>06:15:46.084</v>
      </c>
      <c r="U1240" t="str">
        <f t="shared" si="64"/>
        <v>A7E2E0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949</v>
      </c>
      <c r="AJ1240">
        <v>39.042192</v>
      </c>
      <c r="AK1240" t="s">
        <v>950</v>
      </c>
      <c r="AL1240">
        <v>-87.530457999999996</v>
      </c>
      <c r="AM1240">
        <v>100</v>
      </c>
      <c r="AN1240">
        <v>2700</v>
      </c>
      <c r="AO1240" t="s">
        <v>118</v>
      </c>
      <c r="AP1240">
        <v>-99</v>
      </c>
      <c r="AQ1240">
        <v>-129</v>
      </c>
      <c r="AR1240">
        <v>0</v>
      </c>
      <c r="AZ1240">
        <v>4552</v>
      </c>
      <c r="BA1240">
        <v>1</v>
      </c>
      <c r="BB1240" t="str">
        <f t="shared" si="65"/>
        <v xml:space="preserve">N607SR  </v>
      </c>
      <c r="BC1240">
        <v>1</v>
      </c>
      <c r="BE1240">
        <v>0</v>
      </c>
      <c r="BF1240">
        <v>0</v>
      </c>
      <c r="BG1240">
        <v>0</v>
      </c>
      <c r="BH1240">
        <v>2475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si="79"/>
        <v>06:15:46.491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5</v>
      </c>
      <c r="CP1240" t="s">
        <v>119</v>
      </c>
      <c r="CQ1240">
        <v>465</v>
      </c>
      <c r="CR1240">
        <v>0</v>
      </c>
      <c r="CW1240">
        <v>4719727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76"/>
        <v>08/29/2020 06:15:43.281</v>
      </c>
      <c r="C1241" t="str">
        <f t="shared" si="63"/>
        <v>FFDFD3C0</v>
      </c>
      <c r="D1241" t="s">
        <v>121</v>
      </c>
      <c r="E1241">
        <v>11</v>
      </c>
      <c r="F1241">
        <v>1011</v>
      </c>
      <c r="G1241" t="s">
        <v>125</v>
      </c>
      <c r="J1241" t="s">
        <v>123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77"/>
        <v>06:15:46.484</v>
      </c>
      <c r="T1241" t="str">
        <f t="shared" si="78"/>
        <v>06:15:46.084</v>
      </c>
      <c r="U1241" t="str">
        <f t="shared" si="64"/>
        <v>A7E2E0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949</v>
      </c>
      <c r="AJ1241">
        <v>39.042192</v>
      </c>
      <c r="AK1241" t="s">
        <v>950</v>
      </c>
      <c r="AL1241">
        <v>-87.530457999999996</v>
      </c>
      <c r="AM1241">
        <v>100</v>
      </c>
      <c r="AN1241">
        <v>2700</v>
      </c>
      <c r="AO1241" t="s">
        <v>118</v>
      </c>
      <c r="AP1241">
        <v>-99</v>
      </c>
      <c r="AQ1241">
        <v>-129</v>
      </c>
      <c r="AR1241">
        <v>0</v>
      </c>
      <c r="AZ1241">
        <v>4552</v>
      </c>
      <c r="BA1241">
        <v>1</v>
      </c>
      <c r="BB1241" t="str">
        <f t="shared" si="65"/>
        <v xml:space="preserve">N607SR  </v>
      </c>
      <c r="BC1241">
        <v>1</v>
      </c>
      <c r="BE1241">
        <v>0</v>
      </c>
      <c r="BF1241">
        <v>0</v>
      </c>
      <c r="BG1241">
        <v>0</v>
      </c>
      <c r="BH1241">
        <v>2575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si="79"/>
        <v>06:15:46.491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177</v>
      </c>
      <c r="CR1241">
        <v>2</v>
      </c>
      <c r="CW1241">
        <v>1638873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76"/>
        <v>08/29/2020 06:15:43.281</v>
      </c>
      <c r="C1242" t="str">
        <f t="shared" si="63"/>
        <v>FFDFD3C0</v>
      </c>
      <c r="D1242" t="s">
        <v>113</v>
      </c>
      <c r="E1242">
        <v>5</v>
      </c>
      <c r="H1242">
        <v>163</v>
      </c>
      <c r="I1242" t="s">
        <v>114</v>
      </c>
      <c r="J1242" t="s">
        <v>115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77"/>
        <v>06:15:46.484</v>
      </c>
      <c r="T1242" t="str">
        <f t="shared" si="78"/>
        <v>06:15:46.084</v>
      </c>
      <c r="U1242" t="str">
        <f t="shared" si="64"/>
        <v>A7E2E0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949</v>
      </c>
      <c r="AJ1242">
        <v>39.042192</v>
      </c>
      <c r="AK1242" t="s">
        <v>950</v>
      </c>
      <c r="AL1242">
        <v>-87.530457999999996</v>
      </c>
      <c r="AM1242">
        <v>100</v>
      </c>
      <c r="AN1242">
        <v>2700</v>
      </c>
      <c r="AO1242" t="s">
        <v>118</v>
      </c>
      <c r="AP1242">
        <v>-99</v>
      </c>
      <c r="AQ1242">
        <v>-129</v>
      </c>
      <c r="AR1242">
        <v>0</v>
      </c>
      <c r="AZ1242">
        <v>4552</v>
      </c>
      <c r="BA1242">
        <v>1</v>
      </c>
      <c r="BB1242" t="str">
        <f t="shared" si="65"/>
        <v xml:space="preserve">N607SR  </v>
      </c>
      <c r="BC1242">
        <v>1</v>
      </c>
      <c r="BE1242">
        <v>0</v>
      </c>
      <c r="BF1242">
        <v>0</v>
      </c>
      <c r="BG1242">
        <v>0</v>
      </c>
      <c r="BH1242">
        <v>2575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si="79"/>
        <v>06:15:46.491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177</v>
      </c>
      <c r="CR1242">
        <v>2</v>
      </c>
      <c r="CW1242">
        <v>1638873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76"/>
        <v>08/29/2020 06:15:43.281</v>
      </c>
      <c r="C1243" t="str">
        <f t="shared" si="63"/>
        <v>FFDFD3C0</v>
      </c>
      <c r="D1243" t="s">
        <v>128</v>
      </c>
      <c r="E1243">
        <v>5</v>
      </c>
      <c r="H1243">
        <v>241</v>
      </c>
      <c r="I1243" t="s">
        <v>129</v>
      </c>
      <c r="J1243" t="s">
        <v>130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77"/>
        <v>06:15:46.484</v>
      </c>
      <c r="T1243" t="str">
        <f t="shared" si="78"/>
        <v>06:15:46.084</v>
      </c>
      <c r="U1243" t="str">
        <f t="shared" si="64"/>
        <v>A7E2E0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949</v>
      </c>
      <c r="AJ1243">
        <v>39.042192</v>
      </c>
      <c r="AK1243" t="s">
        <v>950</v>
      </c>
      <c r="AL1243">
        <v>-87.530457999999996</v>
      </c>
      <c r="AM1243">
        <v>100</v>
      </c>
      <c r="AN1243">
        <v>2700</v>
      </c>
      <c r="AO1243" t="s">
        <v>118</v>
      </c>
      <c r="AP1243">
        <v>-99</v>
      </c>
      <c r="AQ1243">
        <v>-129</v>
      </c>
      <c r="AR1243">
        <v>0</v>
      </c>
      <c r="AZ1243">
        <v>4552</v>
      </c>
      <c r="BA1243">
        <v>1</v>
      </c>
      <c r="BB1243" t="str">
        <f t="shared" si="65"/>
        <v xml:space="preserve">N607SR  </v>
      </c>
      <c r="BC1243">
        <v>1</v>
      </c>
      <c r="BE1243">
        <v>0</v>
      </c>
      <c r="BF1243">
        <v>0</v>
      </c>
      <c r="BG1243">
        <v>0</v>
      </c>
      <c r="BH1243">
        <v>2575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si="79"/>
        <v>06:15:46.491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177</v>
      </c>
      <c r="CR1243">
        <v>2</v>
      </c>
      <c r="CW1243">
        <v>1638873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76"/>
        <v>08/29/2020 06:15:43.281</v>
      </c>
      <c r="C1244" t="str">
        <f t="shared" si="63"/>
        <v>FFDFD3C0</v>
      </c>
      <c r="D1244" t="s">
        <v>121</v>
      </c>
      <c r="E1244">
        <v>10</v>
      </c>
      <c r="F1244">
        <v>1010</v>
      </c>
      <c r="G1244" t="s">
        <v>114</v>
      </c>
      <c r="J1244" t="s">
        <v>123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77"/>
        <v>06:15:46.484</v>
      </c>
      <c r="T1244" t="str">
        <f t="shared" si="78"/>
        <v>06:15:46.084</v>
      </c>
      <c r="U1244" t="str">
        <f t="shared" si="64"/>
        <v>A7E2E0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949</v>
      </c>
      <c r="AJ1244">
        <v>39.042192</v>
      </c>
      <c r="AK1244" t="s">
        <v>950</v>
      </c>
      <c r="AL1244">
        <v>-87.530457999999996</v>
      </c>
      <c r="AM1244">
        <v>100</v>
      </c>
      <c r="AN1244">
        <v>2700</v>
      </c>
      <c r="AO1244" t="s">
        <v>118</v>
      </c>
      <c r="AP1244">
        <v>-99</v>
      </c>
      <c r="AQ1244">
        <v>-129</v>
      </c>
      <c r="AR1244">
        <v>0</v>
      </c>
      <c r="AZ1244">
        <v>4552</v>
      </c>
      <c r="BA1244">
        <v>1</v>
      </c>
      <c r="BB1244" t="str">
        <f t="shared" si="65"/>
        <v xml:space="preserve">N607SR  </v>
      </c>
      <c r="BC1244">
        <v>1</v>
      </c>
      <c r="BE1244">
        <v>0</v>
      </c>
      <c r="BF1244">
        <v>0</v>
      </c>
      <c r="BG1244">
        <v>0</v>
      </c>
      <c r="BH1244">
        <v>2575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si="79"/>
        <v>06:15:46.491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177</v>
      </c>
      <c r="CR1244">
        <v>2</v>
      </c>
      <c r="CW1244">
        <v>1638873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ref="A1245:A1250" si="80">"08/29/2020 06:15:44.294"</f>
        <v>08/29/2020 06:15:44.294</v>
      </c>
      <c r="C1245" t="str">
        <f t="shared" si="63"/>
        <v>FFDFD3C0</v>
      </c>
      <c r="D1245" t="s">
        <v>121</v>
      </c>
      <c r="E1245">
        <v>13</v>
      </c>
      <c r="F1245">
        <v>1013</v>
      </c>
      <c r="G1245" t="s">
        <v>122</v>
      </c>
      <c r="J1245" t="s">
        <v>123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ref="S1245:S1250" si="81">"06:15:47.539"</f>
        <v>06:15:47.539</v>
      </c>
      <c r="T1245" t="str">
        <f t="shared" ref="T1245:T1250" si="82">"06:15:47.039"</f>
        <v>06:15:47.039</v>
      </c>
      <c r="U1245" t="str">
        <f t="shared" si="64"/>
        <v>A7E2E0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951</v>
      </c>
      <c r="AJ1245">
        <v>39.041525999999998</v>
      </c>
      <c r="AK1245" t="s">
        <v>952</v>
      </c>
      <c r="AL1245">
        <v>-87.531058999999999</v>
      </c>
      <c r="AM1245">
        <v>100</v>
      </c>
      <c r="AN1245">
        <v>2700</v>
      </c>
      <c r="AO1245" t="s">
        <v>118</v>
      </c>
      <c r="AP1245">
        <v>-99</v>
      </c>
      <c r="AQ1245">
        <v>-129</v>
      </c>
      <c r="AR1245">
        <v>64</v>
      </c>
      <c r="AZ1245">
        <v>4552</v>
      </c>
      <c r="BA1245">
        <v>1</v>
      </c>
      <c r="BB1245" t="str">
        <f t="shared" si="65"/>
        <v xml:space="preserve">N607SR  </v>
      </c>
      <c r="BC1245">
        <v>1</v>
      </c>
      <c r="BE1245">
        <v>0</v>
      </c>
      <c r="BF1245">
        <v>0</v>
      </c>
      <c r="BG1245">
        <v>0</v>
      </c>
      <c r="BH1245">
        <v>2575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ref="BW1245:BW1250" si="83">"06:15:47.543"</f>
        <v>06:15:47.543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177</v>
      </c>
      <c r="CR1245">
        <v>2</v>
      </c>
      <c r="CW1245">
        <v>1639022</v>
      </c>
      <c r="CY1245">
        <v>1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80"/>
        <v>08/29/2020 06:15:44.294</v>
      </c>
      <c r="C1246" t="str">
        <f t="shared" si="63"/>
        <v>FFDFD3C0</v>
      </c>
      <c r="D1246" t="s">
        <v>121</v>
      </c>
      <c r="E1246">
        <v>11</v>
      </c>
      <c r="F1246">
        <v>1011</v>
      </c>
      <c r="G1246" t="s">
        <v>125</v>
      </c>
      <c r="J1246" t="s">
        <v>123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81"/>
        <v>06:15:47.539</v>
      </c>
      <c r="T1246" t="str">
        <f t="shared" si="82"/>
        <v>06:15:47.039</v>
      </c>
      <c r="U1246" t="str">
        <f t="shared" si="64"/>
        <v>A7E2E0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951</v>
      </c>
      <c r="AJ1246">
        <v>39.041525999999998</v>
      </c>
      <c r="AK1246" t="s">
        <v>952</v>
      </c>
      <c r="AL1246">
        <v>-87.531058999999999</v>
      </c>
      <c r="AM1246">
        <v>100</v>
      </c>
      <c r="AN1246">
        <v>2700</v>
      </c>
      <c r="AO1246" t="s">
        <v>118</v>
      </c>
      <c r="AP1246">
        <v>-99</v>
      </c>
      <c r="AQ1246">
        <v>-129</v>
      </c>
      <c r="AR1246">
        <v>64</v>
      </c>
      <c r="AZ1246">
        <v>4552</v>
      </c>
      <c r="BA1246">
        <v>1</v>
      </c>
      <c r="BB1246" t="str">
        <f t="shared" si="65"/>
        <v xml:space="preserve">N607SR  </v>
      </c>
      <c r="BC1246">
        <v>1</v>
      </c>
      <c r="BE1246">
        <v>0</v>
      </c>
      <c r="BF1246">
        <v>0</v>
      </c>
      <c r="BG1246">
        <v>0</v>
      </c>
      <c r="BH1246">
        <v>2575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83"/>
        <v>06:15:47.543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177</v>
      </c>
      <c r="CR1246">
        <v>2</v>
      </c>
      <c r="CW1246">
        <v>1639022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si="80"/>
        <v>08/29/2020 06:15:44.294</v>
      </c>
      <c r="C1247" t="str">
        <f t="shared" si="63"/>
        <v>FFDFD3C0</v>
      </c>
      <c r="D1247" t="s">
        <v>113</v>
      </c>
      <c r="E1247">
        <v>5</v>
      </c>
      <c r="H1247">
        <v>163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81"/>
        <v>06:15:47.539</v>
      </c>
      <c r="T1247" t="str">
        <f t="shared" si="82"/>
        <v>06:15:47.039</v>
      </c>
      <c r="U1247" t="str">
        <f t="shared" si="64"/>
        <v>A7E2E0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951</v>
      </c>
      <c r="AJ1247">
        <v>39.041525999999998</v>
      </c>
      <c r="AK1247" t="s">
        <v>952</v>
      </c>
      <c r="AL1247">
        <v>-87.531058999999999</v>
      </c>
      <c r="AM1247">
        <v>100</v>
      </c>
      <c r="AN1247">
        <v>2700</v>
      </c>
      <c r="AO1247" t="s">
        <v>118</v>
      </c>
      <c r="AP1247">
        <v>-99</v>
      </c>
      <c r="AQ1247">
        <v>-129</v>
      </c>
      <c r="AR1247">
        <v>64</v>
      </c>
      <c r="AZ1247">
        <v>4552</v>
      </c>
      <c r="BA1247">
        <v>1</v>
      </c>
      <c r="BB1247" t="str">
        <f t="shared" si="65"/>
        <v xml:space="preserve">N607SR  </v>
      </c>
      <c r="BC1247">
        <v>1</v>
      </c>
      <c r="BE1247">
        <v>0</v>
      </c>
      <c r="BF1247">
        <v>0</v>
      </c>
      <c r="BG1247">
        <v>0</v>
      </c>
      <c r="BH1247">
        <v>2575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si="83"/>
        <v>06:15:47.543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6</v>
      </c>
      <c r="CP1247" t="s">
        <v>119</v>
      </c>
      <c r="CQ1247">
        <v>177</v>
      </c>
      <c r="CR1247">
        <v>2</v>
      </c>
      <c r="CW1247">
        <v>1639022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80"/>
        <v>08/29/2020 06:15:44.294</v>
      </c>
      <c r="C1248" t="str">
        <f t="shared" si="63"/>
        <v>FFDFD3C0</v>
      </c>
      <c r="D1248" t="s">
        <v>128</v>
      </c>
      <c r="E1248">
        <v>5</v>
      </c>
      <c r="H1248">
        <v>241</v>
      </c>
      <c r="I1248" t="s">
        <v>129</v>
      </c>
      <c r="J1248" t="s">
        <v>130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81"/>
        <v>06:15:47.539</v>
      </c>
      <c r="T1248" t="str">
        <f t="shared" si="82"/>
        <v>06:15:47.039</v>
      </c>
      <c r="U1248" t="str">
        <f t="shared" si="64"/>
        <v>A7E2E0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951</v>
      </c>
      <c r="AJ1248">
        <v>39.041525999999998</v>
      </c>
      <c r="AK1248" t="s">
        <v>952</v>
      </c>
      <c r="AL1248">
        <v>-87.531058999999999</v>
      </c>
      <c r="AM1248">
        <v>100</v>
      </c>
      <c r="AN1248">
        <v>2700</v>
      </c>
      <c r="AO1248" t="s">
        <v>118</v>
      </c>
      <c r="AP1248">
        <v>-99</v>
      </c>
      <c r="AQ1248">
        <v>-129</v>
      </c>
      <c r="AR1248">
        <v>64</v>
      </c>
      <c r="AZ1248">
        <v>4552</v>
      </c>
      <c r="BA1248">
        <v>1</v>
      </c>
      <c r="BB1248" t="str">
        <f t="shared" si="65"/>
        <v xml:space="preserve">N607SR  </v>
      </c>
      <c r="BC1248">
        <v>1</v>
      </c>
      <c r="BE1248">
        <v>0</v>
      </c>
      <c r="BF1248">
        <v>0</v>
      </c>
      <c r="BG1248">
        <v>0</v>
      </c>
      <c r="BH1248">
        <v>2575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83"/>
        <v>06:15:47.543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6</v>
      </c>
      <c r="CP1248" t="s">
        <v>119</v>
      </c>
      <c r="CQ1248">
        <v>177</v>
      </c>
      <c r="CR1248">
        <v>2</v>
      </c>
      <c r="CW1248">
        <v>1639022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80"/>
        <v>08/29/2020 06:15:44.294</v>
      </c>
      <c r="C1249" t="str">
        <f t="shared" si="63"/>
        <v>FFDFD3C0</v>
      </c>
      <c r="D1249" t="s">
        <v>121</v>
      </c>
      <c r="E1249">
        <v>10</v>
      </c>
      <c r="F1249">
        <v>1010</v>
      </c>
      <c r="G1249" t="s">
        <v>114</v>
      </c>
      <c r="J1249" t="s">
        <v>123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81"/>
        <v>06:15:47.539</v>
      </c>
      <c r="T1249" t="str">
        <f t="shared" si="82"/>
        <v>06:15:47.039</v>
      </c>
      <c r="U1249" t="str">
        <f t="shared" si="64"/>
        <v>A7E2E0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951</v>
      </c>
      <c r="AJ1249">
        <v>39.041525999999998</v>
      </c>
      <c r="AK1249" t="s">
        <v>952</v>
      </c>
      <c r="AL1249">
        <v>-87.531058999999999</v>
      </c>
      <c r="AM1249">
        <v>100</v>
      </c>
      <c r="AN1249">
        <v>2700</v>
      </c>
      <c r="AO1249" t="s">
        <v>118</v>
      </c>
      <c r="AP1249">
        <v>-99</v>
      </c>
      <c r="AQ1249">
        <v>-129</v>
      </c>
      <c r="AR1249">
        <v>64</v>
      </c>
      <c r="AZ1249">
        <v>4552</v>
      </c>
      <c r="BA1249">
        <v>1</v>
      </c>
      <c r="BB1249" t="str">
        <f t="shared" si="65"/>
        <v xml:space="preserve">N607SR  </v>
      </c>
      <c r="BC1249">
        <v>1</v>
      </c>
      <c r="BE1249">
        <v>0</v>
      </c>
      <c r="BF1249">
        <v>0</v>
      </c>
      <c r="BG1249">
        <v>0</v>
      </c>
      <c r="BH1249">
        <v>2575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si="83"/>
        <v>06:15:47.543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6</v>
      </c>
      <c r="CP1249" t="s">
        <v>119</v>
      </c>
      <c r="CQ1249">
        <v>177</v>
      </c>
      <c r="CR1249">
        <v>2</v>
      </c>
      <c r="CW1249">
        <v>1639022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si="80"/>
        <v>08/29/2020 06:15:44.294</v>
      </c>
      <c r="C1250" t="str">
        <f t="shared" si="63"/>
        <v>FFDFD3C0</v>
      </c>
      <c r="D1250" t="s">
        <v>939</v>
      </c>
      <c r="E1250">
        <v>10</v>
      </c>
      <c r="H1250">
        <v>79</v>
      </c>
      <c r="I1250" t="s">
        <v>940</v>
      </c>
      <c r="J1250" t="s">
        <v>130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81"/>
        <v>06:15:47.539</v>
      </c>
      <c r="T1250" t="str">
        <f t="shared" si="82"/>
        <v>06:15:47.039</v>
      </c>
      <c r="U1250" t="str">
        <f t="shared" si="64"/>
        <v>A7E2E0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0</v>
      </c>
      <c r="AI1250" t="s">
        <v>951</v>
      </c>
      <c r="AJ1250">
        <v>39.041525999999998</v>
      </c>
      <c r="AK1250" t="s">
        <v>952</v>
      </c>
      <c r="AL1250">
        <v>-87.531058999999999</v>
      </c>
      <c r="AM1250">
        <v>100</v>
      </c>
      <c r="AN1250">
        <v>2700</v>
      </c>
      <c r="AO1250" t="s">
        <v>118</v>
      </c>
      <c r="AP1250">
        <v>-99</v>
      </c>
      <c r="AQ1250">
        <v>-129</v>
      </c>
      <c r="AR1250">
        <v>64</v>
      </c>
      <c r="AZ1250">
        <v>4552</v>
      </c>
      <c r="BA1250">
        <v>1</v>
      </c>
      <c r="BB1250" t="str">
        <f t="shared" si="65"/>
        <v xml:space="preserve">N607SR  </v>
      </c>
      <c r="BC1250">
        <v>1</v>
      </c>
      <c r="BE1250">
        <v>0</v>
      </c>
      <c r="BF1250">
        <v>0</v>
      </c>
      <c r="BG1250">
        <v>0</v>
      </c>
      <c r="BH1250">
        <v>2475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si="83"/>
        <v>06:15:47.543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5</v>
      </c>
      <c r="CP1250" t="s">
        <v>119</v>
      </c>
      <c r="CQ1250">
        <v>465</v>
      </c>
      <c r="CR1250">
        <v>0</v>
      </c>
      <c r="CW1250">
        <v>4719765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ref="A1251:A1256" si="84">"08/29/2020 06:15:45.307"</f>
        <v>08/29/2020 06:15:45.307</v>
      </c>
      <c r="C1251" t="str">
        <f t="shared" si="63"/>
        <v>FFDFD3C0</v>
      </c>
      <c r="D1251" t="s">
        <v>121</v>
      </c>
      <c r="E1251">
        <v>13</v>
      </c>
      <c r="F1251">
        <v>1013</v>
      </c>
      <c r="G1251" t="s">
        <v>122</v>
      </c>
      <c r="J1251" t="s">
        <v>123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ref="S1251:S1256" si="85">"06:15:48.539"</f>
        <v>06:15:48.539</v>
      </c>
      <c r="T1251" t="str">
        <f t="shared" ref="T1251:T1256" si="86">"06:15:48.039"</f>
        <v>06:15:48.039</v>
      </c>
      <c r="U1251" t="str">
        <f t="shared" si="64"/>
        <v>A7E2E0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0</v>
      </c>
      <c r="AI1251" t="s">
        <v>953</v>
      </c>
      <c r="AJ1251">
        <v>39.040925999999999</v>
      </c>
      <c r="AK1251" t="s">
        <v>954</v>
      </c>
      <c r="AL1251">
        <v>-87.531660000000002</v>
      </c>
      <c r="AM1251">
        <v>100</v>
      </c>
      <c r="AN1251">
        <v>2800</v>
      </c>
      <c r="AO1251" t="s">
        <v>118</v>
      </c>
      <c r="AP1251">
        <v>-98</v>
      </c>
      <c r="AQ1251">
        <v>-129</v>
      </c>
      <c r="AR1251">
        <v>64</v>
      </c>
      <c r="AZ1251">
        <v>4552</v>
      </c>
      <c r="BA1251">
        <v>1</v>
      </c>
      <c r="BB1251" t="str">
        <f t="shared" si="65"/>
        <v xml:space="preserve">N607SR  </v>
      </c>
      <c r="BC1251">
        <v>1</v>
      </c>
      <c r="BE1251">
        <v>0</v>
      </c>
      <c r="BF1251">
        <v>0</v>
      </c>
      <c r="BG1251">
        <v>0</v>
      </c>
      <c r="BH1251">
        <v>2575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"06:15:48.540"</f>
        <v>06:15:48.540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6</v>
      </c>
      <c r="CP1251" t="s">
        <v>119</v>
      </c>
      <c r="CQ1251">
        <v>457</v>
      </c>
      <c r="CR1251">
        <v>0</v>
      </c>
      <c r="CW1251">
        <v>15515828</v>
      </c>
      <c r="CY1251">
        <v>1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84"/>
        <v>08/29/2020 06:15:45.307</v>
      </c>
      <c r="C1252" t="str">
        <f t="shared" si="63"/>
        <v>FFDFD3C0</v>
      </c>
      <c r="D1252" t="s">
        <v>939</v>
      </c>
      <c r="E1252">
        <v>10</v>
      </c>
      <c r="H1252">
        <v>79</v>
      </c>
      <c r="I1252" t="s">
        <v>940</v>
      </c>
      <c r="J1252" t="s">
        <v>130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85"/>
        <v>06:15:48.539</v>
      </c>
      <c r="T1252" t="str">
        <f t="shared" si="86"/>
        <v>06:15:48.039</v>
      </c>
      <c r="U1252" t="str">
        <f t="shared" si="64"/>
        <v>A7E2E0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0</v>
      </c>
      <c r="AI1252" t="s">
        <v>953</v>
      </c>
      <c r="AJ1252">
        <v>39.040925999999999</v>
      </c>
      <c r="AK1252" t="s">
        <v>954</v>
      </c>
      <c r="AL1252">
        <v>-87.531660000000002</v>
      </c>
      <c r="AM1252">
        <v>100</v>
      </c>
      <c r="AN1252">
        <v>2800</v>
      </c>
      <c r="AO1252" t="s">
        <v>118</v>
      </c>
      <c r="AP1252">
        <v>-98</v>
      </c>
      <c r="AQ1252">
        <v>-129</v>
      </c>
      <c r="AR1252">
        <v>64</v>
      </c>
      <c r="AZ1252">
        <v>4552</v>
      </c>
      <c r="BA1252">
        <v>1</v>
      </c>
      <c r="BB1252" t="str">
        <f t="shared" si="65"/>
        <v xml:space="preserve">N607SR  </v>
      </c>
      <c r="BC1252">
        <v>1</v>
      </c>
      <c r="BE1252">
        <v>0</v>
      </c>
      <c r="BF1252">
        <v>0</v>
      </c>
      <c r="BG1252">
        <v>0</v>
      </c>
      <c r="BH1252">
        <v>2575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"06:15:48.541"</f>
        <v>06:15:48.541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5</v>
      </c>
      <c r="CP1252" t="s">
        <v>119</v>
      </c>
      <c r="CQ1252">
        <v>465</v>
      </c>
      <c r="CR1252">
        <v>0</v>
      </c>
      <c r="CW1252">
        <v>4719797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si="84"/>
        <v>08/29/2020 06:15:45.307</v>
      </c>
      <c r="C1253" t="str">
        <f t="shared" si="63"/>
        <v>FFDFD3C0</v>
      </c>
      <c r="D1253" t="s">
        <v>121</v>
      </c>
      <c r="E1253">
        <v>11</v>
      </c>
      <c r="F1253">
        <v>1011</v>
      </c>
      <c r="G1253" t="s">
        <v>125</v>
      </c>
      <c r="J1253" t="s">
        <v>123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85"/>
        <v>06:15:48.539</v>
      </c>
      <c r="T1253" t="str">
        <f t="shared" si="86"/>
        <v>06:15:48.039</v>
      </c>
      <c r="U1253" t="str">
        <f t="shared" si="64"/>
        <v>A7E2E0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0</v>
      </c>
      <c r="AI1253" t="s">
        <v>953</v>
      </c>
      <c r="AJ1253">
        <v>39.040925999999999</v>
      </c>
      <c r="AK1253" t="s">
        <v>954</v>
      </c>
      <c r="AL1253">
        <v>-87.531660000000002</v>
      </c>
      <c r="AM1253">
        <v>100</v>
      </c>
      <c r="AN1253">
        <v>2800</v>
      </c>
      <c r="AO1253" t="s">
        <v>118</v>
      </c>
      <c r="AP1253">
        <v>-98</v>
      </c>
      <c r="AQ1253">
        <v>-129</v>
      </c>
      <c r="AR1253">
        <v>64</v>
      </c>
      <c r="AZ1253">
        <v>4552</v>
      </c>
      <c r="BA1253">
        <v>1</v>
      </c>
      <c r="BB1253" t="str">
        <f t="shared" si="65"/>
        <v xml:space="preserve">N607SR  </v>
      </c>
      <c r="BC1253">
        <v>1</v>
      </c>
      <c r="BE1253">
        <v>0</v>
      </c>
      <c r="BF1253">
        <v>0</v>
      </c>
      <c r="BG1253">
        <v>0</v>
      </c>
      <c r="BH1253">
        <v>2575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"06:15:48.540"</f>
        <v>06:15:48.540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6</v>
      </c>
      <c r="CP1253" t="s">
        <v>119</v>
      </c>
      <c r="CQ1253">
        <v>457</v>
      </c>
      <c r="CR1253">
        <v>0</v>
      </c>
      <c r="CW1253">
        <v>15515828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84"/>
        <v>08/29/2020 06:15:45.307</v>
      </c>
      <c r="C1254" t="str">
        <f t="shared" si="63"/>
        <v>FFDFD3C0</v>
      </c>
      <c r="D1254" t="s">
        <v>113</v>
      </c>
      <c r="E1254">
        <v>5</v>
      </c>
      <c r="H1254">
        <v>163</v>
      </c>
      <c r="I1254" t="s">
        <v>114</v>
      </c>
      <c r="J1254" t="s">
        <v>115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85"/>
        <v>06:15:48.539</v>
      </c>
      <c r="T1254" t="str">
        <f t="shared" si="86"/>
        <v>06:15:48.039</v>
      </c>
      <c r="U1254" t="str">
        <f t="shared" si="64"/>
        <v>A7E2E0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0</v>
      </c>
      <c r="AI1254" t="s">
        <v>953</v>
      </c>
      <c r="AJ1254">
        <v>39.040925999999999</v>
      </c>
      <c r="AK1254" t="s">
        <v>954</v>
      </c>
      <c r="AL1254">
        <v>-87.531660000000002</v>
      </c>
      <c r="AM1254">
        <v>100</v>
      </c>
      <c r="AN1254">
        <v>2800</v>
      </c>
      <c r="AO1254" t="s">
        <v>118</v>
      </c>
      <c r="AP1254">
        <v>-98</v>
      </c>
      <c r="AQ1254">
        <v>-129</v>
      </c>
      <c r="AR1254">
        <v>64</v>
      </c>
      <c r="AZ1254">
        <v>4552</v>
      </c>
      <c r="BA1254">
        <v>1</v>
      </c>
      <c r="BB1254" t="str">
        <f t="shared" si="65"/>
        <v xml:space="preserve">N607SR  </v>
      </c>
      <c r="BC1254">
        <v>1</v>
      </c>
      <c r="BE1254">
        <v>0</v>
      </c>
      <c r="BF1254">
        <v>0</v>
      </c>
      <c r="BG1254">
        <v>0</v>
      </c>
      <c r="BH1254">
        <v>2575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"06:15:48.540"</f>
        <v>06:15:48.540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6</v>
      </c>
      <c r="CP1254" t="s">
        <v>119</v>
      </c>
      <c r="CQ1254">
        <v>457</v>
      </c>
      <c r="CR1254">
        <v>0</v>
      </c>
      <c r="CW1254">
        <v>15515828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84"/>
        <v>08/29/2020 06:15:45.307</v>
      </c>
      <c r="C1255" t="str">
        <f t="shared" si="63"/>
        <v>FFDFD3C0</v>
      </c>
      <c r="D1255" t="s">
        <v>128</v>
      </c>
      <c r="E1255">
        <v>5</v>
      </c>
      <c r="H1255">
        <v>241</v>
      </c>
      <c r="I1255" t="s">
        <v>129</v>
      </c>
      <c r="J1255" t="s">
        <v>130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85"/>
        <v>06:15:48.539</v>
      </c>
      <c r="T1255" t="str">
        <f t="shared" si="86"/>
        <v>06:15:48.039</v>
      </c>
      <c r="U1255" t="str">
        <f t="shared" si="64"/>
        <v>A7E2E0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0</v>
      </c>
      <c r="AI1255" t="s">
        <v>953</v>
      </c>
      <c r="AJ1255">
        <v>39.040925999999999</v>
      </c>
      <c r="AK1255" t="s">
        <v>954</v>
      </c>
      <c r="AL1255">
        <v>-87.531660000000002</v>
      </c>
      <c r="AM1255">
        <v>100</v>
      </c>
      <c r="AN1255">
        <v>2800</v>
      </c>
      <c r="AO1255" t="s">
        <v>118</v>
      </c>
      <c r="AP1255">
        <v>-98</v>
      </c>
      <c r="AQ1255">
        <v>-129</v>
      </c>
      <c r="AR1255">
        <v>64</v>
      </c>
      <c r="AZ1255">
        <v>4552</v>
      </c>
      <c r="BA1255">
        <v>1</v>
      </c>
      <c r="BB1255" t="str">
        <f t="shared" si="65"/>
        <v xml:space="preserve">N607SR  </v>
      </c>
      <c r="BC1255">
        <v>1</v>
      </c>
      <c r="BE1255">
        <v>0</v>
      </c>
      <c r="BF1255">
        <v>0</v>
      </c>
      <c r="BG1255">
        <v>0</v>
      </c>
      <c r="BH1255">
        <v>2575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"06:15:48.540"</f>
        <v>06:15:48.540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6</v>
      </c>
      <c r="CP1255" t="s">
        <v>119</v>
      </c>
      <c r="CQ1255">
        <v>457</v>
      </c>
      <c r="CR1255">
        <v>0</v>
      </c>
      <c r="CW1255">
        <v>15515828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si="84"/>
        <v>08/29/2020 06:15:45.307</v>
      </c>
      <c r="C1256" t="str">
        <f t="shared" si="63"/>
        <v>FFDFD3C0</v>
      </c>
      <c r="D1256" t="s">
        <v>121</v>
      </c>
      <c r="E1256">
        <v>10</v>
      </c>
      <c r="F1256">
        <v>1010</v>
      </c>
      <c r="G1256" t="s">
        <v>114</v>
      </c>
      <c r="J1256" t="s">
        <v>123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85"/>
        <v>06:15:48.539</v>
      </c>
      <c r="T1256" t="str">
        <f t="shared" si="86"/>
        <v>06:15:48.039</v>
      </c>
      <c r="U1256" t="str">
        <f t="shared" si="64"/>
        <v>A7E2E0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0</v>
      </c>
      <c r="AI1256" t="s">
        <v>953</v>
      </c>
      <c r="AJ1256">
        <v>39.040925999999999</v>
      </c>
      <c r="AK1256" t="s">
        <v>954</v>
      </c>
      <c r="AL1256">
        <v>-87.531660000000002</v>
      </c>
      <c r="AM1256">
        <v>100</v>
      </c>
      <c r="AN1256">
        <v>2800</v>
      </c>
      <c r="AO1256" t="s">
        <v>118</v>
      </c>
      <c r="AP1256">
        <v>-98</v>
      </c>
      <c r="AQ1256">
        <v>-129</v>
      </c>
      <c r="AR1256">
        <v>64</v>
      </c>
      <c r="AZ1256">
        <v>4552</v>
      </c>
      <c r="BA1256">
        <v>1</v>
      </c>
      <c r="BB1256" t="str">
        <f t="shared" si="65"/>
        <v xml:space="preserve">N607SR  </v>
      </c>
      <c r="BC1256">
        <v>1</v>
      </c>
      <c r="BE1256">
        <v>0</v>
      </c>
      <c r="BF1256">
        <v>0</v>
      </c>
      <c r="BG1256">
        <v>0</v>
      </c>
      <c r="BH1256">
        <v>2575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"06:15:48.540"</f>
        <v>06:15:48.540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6</v>
      </c>
      <c r="CP1256" t="s">
        <v>119</v>
      </c>
      <c r="CQ1256">
        <v>457</v>
      </c>
      <c r="CR1256">
        <v>0</v>
      </c>
      <c r="CW1256">
        <v>15515828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ref="A1257:A1262" si="87">"08/29/2020 06:15:46.184"</f>
        <v>08/29/2020 06:15:46.184</v>
      </c>
      <c r="C1257" t="str">
        <f t="shared" si="63"/>
        <v>FFDFD3C0</v>
      </c>
      <c r="D1257" t="s">
        <v>121</v>
      </c>
      <c r="E1257">
        <v>10</v>
      </c>
      <c r="F1257">
        <v>1010</v>
      </c>
      <c r="G1257" t="s">
        <v>114</v>
      </c>
      <c r="J1257" t="s">
        <v>123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ref="S1257:S1262" si="88">"06:15:49.422"</f>
        <v>06:15:49.422</v>
      </c>
      <c r="T1257" t="str">
        <f t="shared" ref="T1257:T1262" si="89">"06:15:49.022"</f>
        <v>06:15:49.022</v>
      </c>
      <c r="U1257" t="str">
        <f t="shared" si="64"/>
        <v>A7E2E0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0</v>
      </c>
      <c r="AI1257" t="s">
        <v>955</v>
      </c>
      <c r="AJ1257">
        <v>39.040388999999998</v>
      </c>
      <c r="AK1257" t="s">
        <v>956</v>
      </c>
      <c r="AL1257">
        <v>-87.532174999999995</v>
      </c>
      <c r="AM1257">
        <v>100</v>
      </c>
      <c r="AN1257">
        <v>2800</v>
      </c>
      <c r="AO1257" t="s">
        <v>118</v>
      </c>
      <c r="AP1257">
        <v>-98</v>
      </c>
      <c r="AQ1257">
        <v>-129</v>
      </c>
      <c r="AR1257">
        <v>64</v>
      </c>
      <c r="AZ1257">
        <v>4552</v>
      </c>
      <c r="BA1257">
        <v>1</v>
      </c>
      <c r="BB1257" t="str">
        <f t="shared" si="65"/>
        <v xml:space="preserve">N607SR  </v>
      </c>
      <c r="BC1257">
        <v>1</v>
      </c>
      <c r="BE1257">
        <v>0</v>
      </c>
      <c r="BF1257">
        <v>0</v>
      </c>
      <c r="BG1257">
        <v>0</v>
      </c>
      <c r="BH1257">
        <v>2575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"06:15:49.428"</f>
        <v>06:15:49.428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6</v>
      </c>
      <c r="CP1257" t="s">
        <v>119</v>
      </c>
      <c r="CQ1257">
        <v>457</v>
      </c>
      <c r="CR1257">
        <v>0</v>
      </c>
      <c r="CW1257">
        <v>15515850</v>
      </c>
      <c r="CY1257">
        <v>1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87"/>
        <v>08/29/2020 06:15:46.184</v>
      </c>
      <c r="C1258" t="str">
        <f t="shared" si="63"/>
        <v>FFDFD3C0</v>
      </c>
      <c r="D1258" t="s">
        <v>128</v>
      </c>
      <c r="E1258">
        <v>5</v>
      </c>
      <c r="H1258">
        <v>241</v>
      </c>
      <c r="I1258" t="s">
        <v>129</v>
      </c>
      <c r="J1258" t="s">
        <v>130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88"/>
        <v>06:15:49.422</v>
      </c>
      <c r="T1258" t="str">
        <f t="shared" si="89"/>
        <v>06:15:49.022</v>
      </c>
      <c r="U1258" t="str">
        <f t="shared" si="64"/>
        <v>A7E2E0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955</v>
      </c>
      <c r="AJ1258">
        <v>39.040388999999998</v>
      </c>
      <c r="AK1258" t="s">
        <v>956</v>
      </c>
      <c r="AL1258">
        <v>-87.532174999999995</v>
      </c>
      <c r="AM1258">
        <v>100</v>
      </c>
      <c r="AN1258">
        <v>2800</v>
      </c>
      <c r="AO1258" t="s">
        <v>118</v>
      </c>
      <c r="AP1258">
        <v>-98</v>
      </c>
      <c r="AQ1258">
        <v>-129</v>
      </c>
      <c r="AR1258">
        <v>64</v>
      </c>
      <c r="AZ1258">
        <v>4552</v>
      </c>
      <c r="BA1258">
        <v>1</v>
      </c>
      <c r="BB1258" t="str">
        <f t="shared" si="65"/>
        <v xml:space="preserve">N607SR  </v>
      </c>
      <c r="BC1258">
        <v>1</v>
      </c>
      <c r="BE1258">
        <v>0</v>
      </c>
      <c r="BF1258">
        <v>0</v>
      </c>
      <c r="BG1258">
        <v>0</v>
      </c>
      <c r="BH1258">
        <v>2575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"06:15:49.428"</f>
        <v>06:15:49.428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6</v>
      </c>
      <c r="CP1258" t="s">
        <v>119</v>
      </c>
      <c r="CQ1258">
        <v>457</v>
      </c>
      <c r="CR1258">
        <v>0</v>
      </c>
      <c r="CW1258">
        <v>15515850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 t="shared" si="87"/>
        <v>08/29/2020 06:15:46.184</v>
      </c>
      <c r="C1259" t="str">
        <f t="shared" si="63"/>
        <v>FFDFD3C0</v>
      </c>
      <c r="D1259" t="s">
        <v>113</v>
      </c>
      <c r="E1259">
        <v>5</v>
      </c>
      <c r="H1259">
        <v>163</v>
      </c>
      <c r="I1259" t="s">
        <v>114</v>
      </c>
      <c r="J1259" t="s">
        <v>115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88"/>
        <v>06:15:49.422</v>
      </c>
      <c r="T1259" t="str">
        <f t="shared" si="89"/>
        <v>06:15:49.022</v>
      </c>
      <c r="U1259" t="str">
        <f t="shared" si="64"/>
        <v>A7E2E0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955</v>
      </c>
      <c r="AJ1259">
        <v>39.040388999999998</v>
      </c>
      <c r="AK1259" t="s">
        <v>956</v>
      </c>
      <c r="AL1259">
        <v>-87.532174999999995</v>
      </c>
      <c r="AM1259">
        <v>100</v>
      </c>
      <c r="AN1259">
        <v>2800</v>
      </c>
      <c r="AO1259" t="s">
        <v>118</v>
      </c>
      <c r="AP1259">
        <v>-98</v>
      </c>
      <c r="AQ1259">
        <v>-129</v>
      </c>
      <c r="AR1259">
        <v>64</v>
      </c>
      <c r="AZ1259">
        <v>4552</v>
      </c>
      <c r="BA1259">
        <v>1</v>
      </c>
      <c r="BB1259" t="str">
        <f t="shared" si="65"/>
        <v xml:space="preserve">N607SR  </v>
      </c>
      <c r="BC1259">
        <v>1</v>
      </c>
      <c r="BE1259">
        <v>0</v>
      </c>
      <c r="BF1259">
        <v>0</v>
      </c>
      <c r="BG1259">
        <v>0</v>
      </c>
      <c r="BH1259">
        <v>2575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"06:15:49.428"</f>
        <v>06:15:49.428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6</v>
      </c>
      <c r="CP1259" t="s">
        <v>119</v>
      </c>
      <c r="CQ1259">
        <v>457</v>
      </c>
      <c r="CR1259">
        <v>0</v>
      </c>
      <c r="CW1259">
        <v>15515850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 t="shared" si="87"/>
        <v>08/29/2020 06:15:46.184</v>
      </c>
      <c r="C1260" t="str">
        <f t="shared" si="63"/>
        <v>FFDFD3C0</v>
      </c>
      <c r="D1260" t="s">
        <v>939</v>
      </c>
      <c r="E1260">
        <v>10</v>
      </c>
      <c r="H1260">
        <v>79</v>
      </c>
      <c r="I1260" t="s">
        <v>940</v>
      </c>
      <c r="J1260" t="s">
        <v>130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88"/>
        <v>06:15:49.422</v>
      </c>
      <c r="T1260" t="str">
        <f t="shared" si="89"/>
        <v>06:15:49.022</v>
      </c>
      <c r="U1260" t="str">
        <f t="shared" si="64"/>
        <v>A7E2E0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955</v>
      </c>
      <c r="AJ1260">
        <v>39.040388999999998</v>
      </c>
      <c r="AK1260" t="s">
        <v>956</v>
      </c>
      <c r="AL1260">
        <v>-87.532174999999995</v>
      </c>
      <c r="AM1260">
        <v>100</v>
      </c>
      <c r="AN1260">
        <v>2800</v>
      </c>
      <c r="AO1260" t="s">
        <v>118</v>
      </c>
      <c r="AP1260">
        <v>-98</v>
      </c>
      <c r="AQ1260">
        <v>-129</v>
      </c>
      <c r="AR1260">
        <v>64</v>
      </c>
      <c r="AZ1260">
        <v>4552</v>
      </c>
      <c r="BA1260">
        <v>1</v>
      </c>
      <c r="BB1260" t="str">
        <f t="shared" si="65"/>
        <v xml:space="preserve">N607SR  </v>
      </c>
      <c r="BC1260">
        <v>1</v>
      </c>
      <c r="BE1260">
        <v>0</v>
      </c>
      <c r="BF1260">
        <v>0</v>
      </c>
      <c r="BG1260">
        <v>0</v>
      </c>
      <c r="BH1260">
        <v>2575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"06:15:49.429"</f>
        <v>06:15:49.429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5</v>
      </c>
      <c r="CP1260" t="s">
        <v>119</v>
      </c>
      <c r="CQ1260">
        <v>465</v>
      </c>
      <c r="CR1260">
        <v>0</v>
      </c>
      <c r="CW1260">
        <v>4719821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 t="shared" si="87"/>
        <v>08/29/2020 06:15:46.184</v>
      </c>
      <c r="C1261" t="str">
        <f t="shared" si="63"/>
        <v>FFDFD3C0</v>
      </c>
      <c r="D1261" t="s">
        <v>121</v>
      </c>
      <c r="E1261">
        <v>13</v>
      </c>
      <c r="F1261">
        <v>1013</v>
      </c>
      <c r="G1261" t="s">
        <v>122</v>
      </c>
      <c r="J1261" t="s">
        <v>123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88"/>
        <v>06:15:49.422</v>
      </c>
      <c r="T1261" t="str">
        <f t="shared" si="89"/>
        <v>06:15:49.022</v>
      </c>
      <c r="U1261" t="str">
        <f t="shared" si="64"/>
        <v>A7E2E0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955</v>
      </c>
      <c r="AJ1261">
        <v>39.040388999999998</v>
      </c>
      <c r="AK1261" t="s">
        <v>956</v>
      </c>
      <c r="AL1261">
        <v>-87.532174999999995</v>
      </c>
      <c r="AM1261">
        <v>100</v>
      </c>
      <c r="AN1261">
        <v>2800</v>
      </c>
      <c r="AO1261" t="s">
        <v>118</v>
      </c>
      <c r="AP1261">
        <v>-98</v>
      </c>
      <c r="AQ1261">
        <v>-129</v>
      </c>
      <c r="AR1261">
        <v>64</v>
      </c>
      <c r="AZ1261">
        <v>4552</v>
      </c>
      <c r="BA1261">
        <v>1</v>
      </c>
      <c r="BB1261" t="str">
        <f t="shared" si="65"/>
        <v xml:space="preserve">N607SR  </v>
      </c>
      <c r="BC1261">
        <v>1</v>
      </c>
      <c r="BE1261">
        <v>0</v>
      </c>
      <c r="BF1261">
        <v>0</v>
      </c>
      <c r="BG1261">
        <v>0</v>
      </c>
      <c r="BH1261">
        <v>2575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"06:15:49.428"</f>
        <v>06:15:49.428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6</v>
      </c>
      <c r="CP1261" t="s">
        <v>119</v>
      </c>
      <c r="CQ1261">
        <v>457</v>
      </c>
      <c r="CR1261">
        <v>0</v>
      </c>
      <c r="CW1261">
        <v>15515850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 t="shared" si="87"/>
        <v>08/29/2020 06:15:46.184</v>
      </c>
      <c r="C1262" t="str">
        <f t="shared" si="63"/>
        <v>FFDFD3C0</v>
      </c>
      <c r="D1262" t="s">
        <v>121</v>
      </c>
      <c r="E1262">
        <v>11</v>
      </c>
      <c r="F1262">
        <v>1011</v>
      </c>
      <c r="G1262" t="s">
        <v>125</v>
      </c>
      <c r="J1262" t="s">
        <v>123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88"/>
        <v>06:15:49.422</v>
      </c>
      <c r="T1262" t="str">
        <f t="shared" si="89"/>
        <v>06:15:49.022</v>
      </c>
      <c r="U1262" t="str">
        <f t="shared" si="64"/>
        <v>A7E2E0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955</v>
      </c>
      <c r="AJ1262">
        <v>39.040388999999998</v>
      </c>
      <c r="AK1262" t="s">
        <v>956</v>
      </c>
      <c r="AL1262">
        <v>-87.532174999999995</v>
      </c>
      <c r="AM1262">
        <v>100</v>
      </c>
      <c r="AN1262">
        <v>2800</v>
      </c>
      <c r="AO1262" t="s">
        <v>118</v>
      </c>
      <c r="AP1262">
        <v>-98</v>
      </c>
      <c r="AQ1262">
        <v>-129</v>
      </c>
      <c r="AR1262">
        <v>64</v>
      </c>
      <c r="AZ1262">
        <v>4552</v>
      </c>
      <c r="BA1262">
        <v>1</v>
      </c>
      <c r="BB1262" t="str">
        <f t="shared" si="65"/>
        <v xml:space="preserve">N607SR  </v>
      </c>
      <c r="BC1262">
        <v>1</v>
      </c>
      <c r="BE1262">
        <v>0</v>
      </c>
      <c r="BF1262">
        <v>0</v>
      </c>
      <c r="BG1262">
        <v>0</v>
      </c>
      <c r="BH1262">
        <v>2575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"06:15:49.428"</f>
        <v>06:15:49.428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6</v>
      </c>
      <c r="CP1262" t="s">
        <v>119</v>
      </c>
      <c r="CQ1262">
        <v>457</v>
      </c>
      <c r="CR1262">
        <v>0</v>
      </c>
      <c r="CW1262">
        <v>15515850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 t="shared" ref="A1263:A1268" si="90">"08/29/2020 06:15:47.286"</f>
        <v>08/29/2020 06:15:47.286</v>
      </c>
      <c r="C1263" t="str">
        <f t="shared" si="63"/>
        <v>FFDFD3C0</v>
      </c>
      <c r="D1263" t="s">
        <v>121</v>
      </c>
      <c r="E1263">
        <v>11</v>
      </c>
      <c r="F1263">
        <v>1011</v>
      </c>
      <c r="G1263" t="s">
        <v>125</v>
      </c>
      <c r="J1263" t="s">
        <v>123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ref="S1263:S1268" si="91">"06:15:50.508"</f>
        <v>06:15:50.508</v>
      </c>
      <c r="T1263" t="str">
        <f>"06:15:50.008"</f>
        <v>06:15:50.008</v>
      </c>
      <c r="U1263" t="str">
        <f t="shared" si="64"/>
        <v>A7E2E0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957</v>
      </c>
      <c r="AJ1263">
        <v>39.039724</v>
      </c>
      <c r="AK1263" t="s">
        <v>958</v>
      </c>
      <c r="AL1263">
        <v>-87.532860999999997</v>
      </c>
      <c r="AM1263">
        <v>100</v>
      </c>
      <c r="AN1263">
        <v>2800</v>
      </c>
      <c r="AO1263" t="s">
        <v>118</v>
      </c>
      <c r="AP1263">
        <v>-98</v>
      </c>
      <c r="AQ1263">
        <v>-129</v>
      </c>
      <c r="AR1263">
        <v>64</v>
      </c>
      <c r="AZ1263">
        <v>4552</v>
      </c>
      <c r="BA1263">
        <v>1</v>
      </c>
      <c r="BB1263" t="str">
        <f t="shared" si="65"/>
        <v xml:space="preserve">N607SR  </v>
      </c>
      <c r="BC1263">
        <v>1</v>
      </c>
      <c r="BE1263">
        <v>0</v>
      </c>
      <c r="BF1263">
        <v>0</v>
      </c>
      <c r="BG1263">
        <v>0</v>
      </c>
      <c r="BH1263">
        <v>2575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 t="shared" ref="BW1263:BW1268" si="92">"06:15:50.513"</f>
        <v>06:15:50.513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457</v>
      </c>
      <c r="CR1263">
        <v>0</v>
      </c>
      <c r="CW1263">
        <v>15515885</v>
      </c>
      <c r="CY1263">
        <v>1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 t="shared" si="90"/>
        <v>08/29/2020 06:15:47.286</v>
      </c>
      <c r="C1264" t="str">
        <f t="shared" si="63"/>
        <v>FFDFD3C0</v>
      </c>
      <c r="D1264" t="s">
        <v>121</v>
      </c>
      <c r="E1264">
        <v>13</v>
      </c>
      <c r="F1264">
        <v>1013</v>
      </c>
      <c r="G1264" t="s">
        <v>122</v>
      </c>
      <c r="J1264" t="s">
        <v>123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91"/>
        <v>06:15:50.508</v>
      </c>
      <c r="U1264" t="str">
        <f t="shared" si="64"/>
        <v>A7E2E0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957</v>
      </c>
      <c r="AJ1264">
        <v>39.039724</v>
      </c>
      <c r="AK1264" t="s">
        <v>958</v>
      </c>
      <c r="AL1264">
        <v>-87.532860999999997</v>
      </c>
      <c r="AM1264">
        <v>100</v>
      </c>
      <c r="AN1264">
        <v>2800</v>
      </c>
      <c r="AO1264" t="s">
        <v>118</v>
      </c>
      <c r="AP1264">
        <v>-98</v>
      </c>
      <c r="AQ1264">
        <v>-129</v>
      </c>
      <c r="AR1264">
        <v>64</v>
      </c>
      <c r="AZ1264">
        <v>4552</v>
      </c>
      <c r="BA1264">
        <v>1</v>
      </c>
      <c r="BB1264" t="str">
        <f t="shared" si="65"/>
        <v xml:space="preserve">N607SR  </v>
      </c>
      <c r="BC1264">
        <v>1</v>
      </c>
      <c r="BE1264">
        <v>0</v>
      </c>
      <c r="BF1264">
        <v>0</v>
      </c>
      <c r="BG1264">
        <v>0</v>
      </c>
      <c r="BH1264">
        <v>2575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 t="shared" si="92"/>
        <v>06:15:50.513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4</v>
      </c>
      <c r="CP1264" t="s">
        <v>119</v>
      </c>
      <c r="CQ1264">
        <v>465</v>
      </c>
      <c r="CR1264">
        <v>0</v>
      </c>
      <c r="CW1264">
        <v>4719860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 t="shared" si="90"/>
        <v>08/29/2020 06:15:47.286</v>
      </c>
      <c r="C1265" t="str">
        <f t="shared" si="63"/>
        <v>FFDFD3C0</v>
      </c>
      <c r="D1265" t="s">
        <v>121</v>
      </c>
      <c r="E1265">
        <v>10</v>
      </c>
      <c r="F1265">
        <v>1010</v>
      </c>
      <c r="G1265" t="s">
        <v>114</v>
      </c>
      <c r="J1265" t="s">
        <v>123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91"/>
        <v>06:15:50.508</v>
      </c>
      <c r="U1265" t="str">
        <f t="shared" si="64"/>
        <v>A7E2E0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957</v>
      </c>
      <c r="AJ1265">
        <v>39.039724</v>
      </c>
      <c r="AK1265" t="s">
        <v>958</v>
      </c>
      <c r="AL1265">
        <v>-87.532860999999997</v>
      </c>
      <c r="AM1265">
        <v>100</v>
      </c>
      <c r="AN1265">
        <v>2800</v>
      </c>
      <c r="AO1265" t="s">
        <v>118</v>
      </c>
      <c r="AP1265">
        <v>-98</v>
      </c>
      <c r="AQ1265">
        <v>-129</v>
      </c>
      <c r="AR1265">
        <v>64</v>
      </c>
      <c r="AZ1265">
        <v>4552</v>
      </c>
      <c r="BA1265">
        <v>1</v>
      </c>
      <c r="BB1265" t="str">
        <f t="shared" si="65"/>
        <v xml:space="preserve">N607SR  </v>
      </c>
      <c r="BC1265">
        <v>1</v>
      </c>
      <c r="BE1265">
        <v>0</v>
      </c>
      <c r="BF1265">
        <v>0</v>
      </c>
      <c r="BG1265">
        <v>0</v>
      </c>
      <c r="BH1265">
        <v>2575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 t="shared" si="92"/>
        <v>06:15:50.513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4</v>
      </c>
      <c r="CP1265" t="s">
        <v>119</v>
      </c>
      <c r="CQ1265">
        <v>465</v>
      </c>
      <c r="CR1265">
        <v>0</v>
      </c>
      <c r="CW1265">
        <v>4719860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 t="shared" si="90"/>
        <v>08/29/2020 06:15:47.286</v>
      </c>
      <c r="C1266" t="str">
        <f t="shared" si="63"/>
        <v>FFDFD3C0</v>
      </c>
      <c r="D1266" t="s">
        <v>113</v>
      </c>
      <c r="E1266">
        <v>5</v>
      </c>
      <c r="H1266">
        <v>163</v>
      </c>
      <c r="I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91"/>
        <v>06:15:50.508</v>
      </c>
      <c r="U1266" t="str">
        <f t="shared" si="64"/>
        <v>A7E2E0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0</v>
      </c>
      <c r="AI1266" t="s">
        <v>957</v>
      </c>
      <c r="AJ1266">
        <v>39.039724</v>
      </c>
      <c r="AK1266" t="s">
        <v>958</v>
      </c>
      <c r="AL1266">
        <v>-87.532860999999997</v>
      </c>
      <c r="AM1266">
        <v>100</v>
      </c>
      <c r="AN1266">
        <v>2800</v>
      </c>
      <c r="AO1266" t="s">
        <v>118</v>
      </c>
      <c r="AP1266">
        <v>-98</v>
      </c>
      <c r="AQ1266">
        <v>-129</v>
      </c>
      <c r="AR1266">
        <v>64</v>
      </c>
      <c r="AZ1266">
        <v>4552</v>
      </c>
      <c r="BA1266">
        <v>1</v>
      </c>
      <c r="BB1266" t="str">
        <f t="shared" si="65"/>
        <v xml:space="preserve">N607SR  </v>
      </c>
      <c r="BC1266">
        <v>1</v>
      </c>
      <c r="BE1266">
        <v>0</v>
      </c>
      <c r="BF1266">
        <v>0</v>
      </c>
      <c r="BG1266">
        <v>0</v>
      </c>
      <c r="BH1266">
        <v>2575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 t="shared" si="92"/>
        <v>06:15:50.513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4</v>
      </c>
      <c r="CP1266" t="s">
        <v>119</v>
      </c>
      <c r="CQ1266">
        <v>465</v>
      </c>
      <c r="CR1266">
        <v>0</v>
      </c>
      <c r="CW1266">
        <v>4719860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 t="shared" si="90"/>
        <v>08/29/2020 06:15:47.286</v>
      </c>
      <c r="C1267" t="str">
        <f t="shared" si="63"/>
        <v>FFDFD3C0</v>
      </c>
      <c r="D1267" t="s">
        <v>128</v>
      </c>
      <c r="E1267">
        <v>5</v>
      </c>
      <c r="H1267">
        <v>241</v>
      </c>
      <c r="I1267" t="s">
        <v>129</v>
      </c>
      <c r="J1267" t="s">
        <v>130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91"/>
        <v>06:15:50.508</v>
      </c>
      <c r="U1267" t="str">
        <f t="shared" si="64"/>
        <v>A7E2E0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0</v>
      </c>
      <c r="AI1267" t="s">
        <v>957</v>
      </c>
      <c r="AJ1267">
        <v>39.039724</v>
      </c>
      <c r="AK1267" t="s">
        <v>958</v>
      </c>
      <c r="AL1267">
        <v>-87.532860999999997</v>
      </c>
      <c r="AM1267">
        <v>100</v>
      </c>
      <c r="AN1267">
        <v>2800</v>
      </c>
      <c r="AO1267" t="s">
        <v>118</v>
      </c>
      <c r="AP1267">
        <v>-98</v>
      </c>
      <c r="AQ1267">
        <v>-129</v>
      </c>
      <c r="AR1267">
        <v>64</v>
      </c>
      <c r="AZ1267">
        <v>4552</v>
      </c>
      <c r="BA1267">
        <v>1</v>
      </c>
      <c r="BB1267" t="str">
        <f t="shared" si="65"/>
        <v xml:space="preserve">N607SR  </v>
      </c>
      <c r="BC1267">
        <v>1</v>
      </c>
      <c r="BE1267">
        <v>0</v>
      </c>
      <c r="BF1267">
        <v>0</v>
      </c>
      <c r="BG1267">
        <v>0</v>
      </c>
      <c r="BH1267">
        <v>2575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 t="shared" si="92"/>
        <v>06:15:50.513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4</v>
      </c>
      <c r="CP1267" t="s">
        <v>119</v>
      </c>
      <c r="CQ1267">
        <v>465</v>
      </c>
      <c r="CR1267">
        <v>0</v>
      </c>
      <c r="CW1267">
        <v>4719860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 t="shared" si="90"/>
        <v>08/29/2020 06:15:47.286</v>
      </c>
      <c r="C1268" t="str">
        <f t="shared" si="63"/>
        <v>FFDFD3C0</v>
      </c>
      <c r="D1268" t="s">
        <v>939</v>
      </c>
      <c r="E1268">
        <v>10</v>
      </c>
      <c r="H1268">
        <v>79</v>
      </c>
      <c r="I1268" t="s">
        <v>940</v>
      </c>
      <c r="J1268" t="s">
        <v>130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91"/>
        <v>06:15:50.508</v>
      </c>
      <c r="U1268" t="str">
        <f t="shared" si="64"/>
        <v>A7E2E0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0</v>
      </c>
      <c r="AI1268" t="s">
        <v>957</v>
      </c>
      <c r="AJ1268">
        <v>39.039724</v>
      </c>
      <c r="AK1268" t="s">
        <v>958</v>
      </c>
      <c r="AL1268">
        <v>-87.532860999999997</v>
      </c>
      <c r="AM1268">
        <v>100</v>
      </c>
      <c r="AN1268">
        <v>2800</v>
      </c>
      <c r="AO1268" t="s">
        <v>118</v>
      </c>
      <c r="AP1268">
        <v>-98</v>
      </c>
      <c r="AQ1268">
        <v>-129</v>
      </c>
      <c r="AR1268">
        <v>64</v>
      </c>
      <c r="AZ1268">
        <v>4552</v>
      </c>
      <c r="BA1268">
        <v>1</v>
      </c>
      <c r="BB1268" t="str">
        <f t="shared" si="65"/>
        <v xml:space="preserve">N607SR  </v>
      </c>
      <c r="BC1268">
        <v>1</v>
      </c>
      <c r="BE1268">
        <v>0</v>
      </c>
      <c r="BF1268">
        <v>0</v>
      </c>
      <c r="BG1268">
        <v>0</v>
      </c>
      <c r="BH1268">
        <v>2575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 t="shared" si="92"/>
        <v>06:15:50.513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4</v>
      </c>
      <c r="CP1268" t="s">
        <v>119</v>
      </c>
      <c r="CQ1268">
        <v>465</v>
      </c>
      <c r="CR1268">
        <v>0</v>
      </c>
      <c r="CW1268">
        <v>4719860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 t="shared" ref="A1269:A1274" si="93">"08/29/2020 06:15:48.297"</f>
        <v>08/29/2020 06:15:48.297</v>
      </c>
      <c r="C1269" t="str">
        <f t="shared" si="63"/>
        <v>FFDFD3C0</v>
      </c>
      <c r="D1269" t="s">
        <v>121</v>
      </c>
      <c r="E1269">
        <v>13</v>
      </c>
      <c r="F1269">
        <v>1013</v>
      </c>
      <c r="G1269" t="s">
        <v>122</v>
      </c>
      <c r="J1269" t="s">
        <v>123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ref="S1269:S1274" si="94">"06:15:51.500"</f>
        <v>06:15:51.500</v>
      </c>
      <c r="U1269" t="str">
        <f t="shared" si="64"/>
        <v>A7E2E0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0</v>
      </c>
      <c r="AI1269" t="s">
        <v>959</v>
      </c>
      <c r="AJ1269">
        <v>39.039144999999998</v>
      </c>
      <c r="AK1269" t="s">
        <v>960</v>
      </c>
      <c r="AL1269">
        <v>-87.533398000000005</v>
      </c>
      <c r="AM1269">
        <v>100</v>
      </c>
      <c r="AN1269">
        <v>2800</v>
      </c>
      <c r="AO1269" t="s">
        <v>118</v>
      </c>
      <c r="AP1269">
        <v>-98</v>
      </c>
      <c r="AQ1269">
        <v>-128</v>
      </c>
      <c r="AR1269">
        <v>64</v>
      </c>
      <c r="AZ1269">
        <v>4552</v>
      </c>
      <c r="BA1269">
        <v>1</v>
      </c>
      <c r="BB1269" t="str">
        <f t="shared" si="65"/>
        <v xml:space="preserve">N607SR  </v>
      </c>
      <c r="BC1269">
        <v>1</v>
      </c>
      <c r="BE1269">
        <v>0</v>
      </c>
      <c r="BF1269">
        <v>0</v>
      </c>
      <c r="BG1269">
        <v>0</v>
      </c>
      <c r="BH1269">
        <v>2575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"06:15:51.505"</f>
        <v>06:15:51.505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5</v>
      </c>
      <c r="CP1269" t="s">
        <v>119</v>
      </c>
      <c r="CQ1269">
        <v>465</v>
      </c>
      <c r="CR1269">
        <v>0</v>
      </c>
      <c r="CW1269">
        <v>4719889</v>
      </c>
      <c r="CY1269">
        <v>1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 t="shared" si="93"/>
        <v>08/29/2020 06:15:48.297</v>
      </c>
      <c r="C1270" t="str">
        <f t="shared" si="63"/>
        <v>FFDFD3C0</v>
      </c>
      <c r="D1270" t="s">
        <v>121</v>
      </c>
      <c r="E1270">
        <v>11</v>
      </c>
      <c r="F1270">
        <v>1011</v>
      </c>
      <c r="G1270" t="s">
        <v>125</v>
      </c>
      <c r="J1270" t="s">
        <v>123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94"/>
        <v>06:15:51.500</v>
      </c>
      <c r="T1270" t="str">
        <f>"06:15:51.100"</f>
        <v>06:15:51.100</v>
      </c>
      <c r="U1270" t="str">
        <f t="shared" si="64"/>
        <v>A7E2E0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0</v>
      </c>
      <c r="AI1270" t="s">
        <v>959</v>
      </c>
      <c r="AJ1270">
        <v>39.039144999999998</v>
      </c>
      <c r="AK1270" t="s">
        <v>960</v>
      </c>
      <c r="AL1270">
        <v>-87.533398000000005</v>
      </c>
      <c r="AM1270">
        <v>100</v>
      </c>
      <c r="AN1270">
        <v>2800</v>
      </c>
      <c r="AO1270" t="s">
        <v>118</v>
      </c>
      <c r="AP1270">
        <v>-98</v>
      </c>
      <c r="AQ1270">
        <v>-129</v>
      </c>
      <c r="AR1270">
        <v>64</v>
      </c>
      <c r="AZ1270">
        <v>4552</v>
      </c>
      <c r="BA1270">
        <v>1</v>
      </c>
      <c r="BB1270" t="str">
        <f t="shared" si="65"/>
        <v xml:space="preserve">N607SR  </v>
      </c>
      <c r="BC1270">
        <v>1</v>
      </c>
      <c r="BE1270">
        <v>0</v>
      </c>
      <c r="BF1270">
        <v>0</v>
      </c>
      <c r="BG1270">
        <v>0</v>
      </c>
      <c r="BH1270">
        <v>2575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"06:15:51.504"</f>
        <v>06:15:51.504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5</v>
      </c>
      <c r="CP1270" t="s">
        <v>119</v>
      </c>
      <c r="CQ1270">
        <v>177</v>
      </c>
      <c r="CR1270">
        <v>2</v>
      </c>
      <c r="CW1270">
        <v>1639671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si="93"/>
        <v>08/29/2020 06:15:48.297</v>
      </c>
      <c r="C1271" t="str">
        <f t="shared" si="63"/>
        <v>FFDFD3C0</v>
      </c>
      <c r="D1271" t="s">
        <v>121</v>
      </c>
      <c r="E1271">
        <v>10</v>
      </c>
      <c r="F1271">
        <v>1010</v>
      </c>
      <c r="G1271" t="s">
        <v>114</v>
      </c>
      <c r="J1271" t="s">
        <v>123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94"/>
        <v>06:15:51.500</v>
      </c>
      <c r="U1271" t="str">
        <f t="shared" si="64"/>
        <v>A7E2E0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0</v>
      </c>
      <c r="AI1271" t="s">
        <v>959</v>
      </c>
      <c r="AJ1271">
        <v>39.039144999999998</v>
      </c>
      <c r="AK1271" t="s">
        <v>960</v>
      </c>
      <c r="AL1271">
        <v>-87.533398000000005</v>
      </c>
      <c r="AM1271">
        <v>100</v>
      </c>
      <c r="AN1271">
        <v>2800</v>
      </c>
      <c r="AO1271" t="s">
        <v>118</v>
      </c>
      <c r="AP1271">
        <v>-98</v>
      </c>
      <c r="AQ1271">
        <v>-128</v>
      </c>
      <c r="AR1271">
        <v>64</v>
      </c>
      <c r="AZ1271">
        <v>4552</v>
      </c>
      <c r="BA1271">
        <v>1</v>
      </c>
      <c r="BB1271" t="str">
        <f t="shared" si="65"/>
        <v xml:space="preserve">N607SR  </v>
      </c>
      <c r="BC1271">
        <v>1</v>
      </c>
      <c r="BE1271">
        <v>0</v>
      </c>
      <c r="BF1271">
        <v>0</v>
      </c>
      <c r="BG1271">
        <v>0</v>
      </c>
      <c r="BH1271">
        <v>2575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"06:15:51.505"</f>
        <v>06:15:51.505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5</v>
      </c>
      <c r="CP1271" t="s">
        <v>119</v>
      </c>
      <c r="CQ1271">
        <v>465</v>
      </c>
      <c r="CR1271">
        <v>0</v>
      </c>
      <c r="CW1271">
        <v>4719889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93"/>
        <v>08/29/2020 06:15:48.297</v>
      </c>
      <c r="C1272" t="str">
        <f t="shared" si="63"/>
        <v>FFDFD3C0</v>
      </c>
      <c r="D1272" t="s">
        <v>939</v>
      </c>
      <c r="E1272">
        <v>10</v>
      </c>
      <c r="H1272">
        <v>79</v>
      </c>
      <c r="I1272" t="s">
        <v>940</v>
      </c>
      <c r="J1272" t="s">
        <v>130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94"/>
        <v>06:15:51.500</v>
      </c>
      <c r="U1272" t="str">
        <f t="shared" si="64"/>
        <v>A7E2E0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0</v>
      </c>
      <c r="AI1272" t="s">
        <v>959</v>
      </c>
      <c r="AJ1272">
        <v>39.039144999999998</v>
      </c>
      <c r="AK1272" t="s">
        <v>960</v>
      </c>
      <c r="AL1272">
        <v>-87.533398000000005</v>
      </c>
      <c r="AM1272">
        <v>100</v>
      </c>
      <c r="AN1272">
        <v>2800</v>
      </c>
      <c r="AO1272" t="s">
        <v>118</v>
      </c>
      <c r="AP1272">
        <v>-98</v>
      </c>
      <c r="AQ1272">
        <v>-128</v>
      </c>
      <c r="AR1272">
        <v>64</v>
      </c>
      <c r="AZ1272">
        <v>4552</v>
      </c>
      <c r="BA1272">
        <v>1</v>
      </c>
      <c r="BB1272" t="str">
        <f t="shared" si="65"/>
        <v xml:space="preserve">N607SR  </v>
      </c>
      <c r="BC1272">
        <v>1</v>
      </c>
      <c r="BE1272">
        <v>0</v>
      </c>
      <c r="BF1272">
        <v>0</v>
      </c>
      <c r="BG1272">
        <v>0</v>
      </c>
      <c r="BH1272">
        <v>2575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"06:15:51.505"</f>
        <v>06:15:51.505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5</v>
      </c>
      <c r="CP1272" t="s">
        <v>119</v>
      </c>
      <c r="CQ1272">
        <v>465</v>
      </c>
      <c r="CR1272">
        <v>0</v>
      </c>
      <c r="CW1272">
        <v>4719889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93"/>
        <v>08/29/2020 06:15:48.297</v>
      </c>
      <c r="C1273" t="str">
        <f t="shared" si="63"/>
        <v>FFDFD3C0</v>
      </c>
      <c r="D1273" t="s">
        <v>113</v>
      </c>
      <c r="E1273">
        <v>5</v>
      </c>
      <c r="H1273">
        <v>163</v>
      </c>
      <c r="I1273" t="s">
        <v>114</v>
      </c>
      <c r="J1273" t="s">
        <v>115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94"/>
        <v>06:15:51.500</v>
      </c>
      <c r="U1273" t="str">
        <f t="shared" si="64"/>
        <v>A7E2E0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0</v>
      </c>
      <c r="AI1273" t="s">
        <v>959</v>
      </c>
      <c r="AJ1273">
        <v>39.039144999999998</v>
      </c>
      <c r="AK1273" t="s">
        <v>960</v>
      </c>
      <c r="AL1273">
        <v>-87.533398000000005</v>
      </c>
      <c r="AM1273">
        <v>100</v>
      </c>
      <c r="AN1273">
        <v>2800</v>
      </c>
      <c r="AO1273" t="s">
        <v>118</v>
      </c>
      <c r="AP1273">
        <v>-98</v>
      </c>
      <c r="AQ1273">
        <v>-128</v>
      </c>
      <c r="AR1273">
        <v>64</v>
      </c>
      <c r="AZ1273">
        <v>4552</v>
      </c>
      <c r="BA1273">
        <v>1</v>
      </c>
      <c r="BB1273" t="str">
        <f t="shared" si="65"/>
        <v xml:space="preserve">N607SR  </v>
      </c>
      <c r="BC1273">
        <v>1</v>
      </c>
      <c r="BE1273">
        <v>0</v>
      </c>
      <c r="BF1273">
        <v>0</v>
      </c>
      <c r="BG1273">
        <v>0</v>
      </c>
      <c r="BH1273">
        <v>2575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"06:15:51.505"</f>
        <v>06:15:51.505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5</v>
      </c>
      <c r="CP1273" t="s">
        <v>119</v>
      </c>
      <c r="CQ1273">
        <v>465</v>
      </c>
      <c r="CR1273">
        <v>0</v>
      </c>
      <c r="CW1273">
        <v>4719889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si="93"/>
        <v>08/29/2020 06:15:48.297</v>
      </c>
      <c r="C1274" t="str">
        <f t="shared" si="63"/>
        <v>FFDFD3C0</v>
      </c>
      <c r="D1274" t="s">
        <v>128</v>
      </c>
      <c r="E1274">
        <v>5</v>
      </c>
      <c r="H1274">
        <v>241</v>
      </c>
      <c r="I1274" t="s">
        <v>129</v>
      </c>
      <c r="J1274" t="s">
        <v>130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94"/>
        <v>06:15:51.500</v>
      </c>
      <c r="U1274" t="str">
        <f t="shared" si="64"/>
        <v>A7E2E0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0</v>
      </c>
      <c r="AI1274" t="s">
        <v>959</v>
      </c>
      <c r="AJ1274">
        <v>39.039144999999998</v>
      </c>
      <c r="AK1274" t="s">
        <v>960</v>
      </c>
      <c r="AL1274">
        <v>-87.533398000000005</v>
      </c>
      <c r="AM1274">
        <v>100</v>
      </c>
      <c r="AN1274">
        <v>2800</v>
      </c>
      <c r="AO1274" t="s">
        <v>118</v>
      </c>
      <c r="AP1274">
        <v>-98</v>
      </c>
      <c r="AQ1274">
        <v>-128</v>
      </c>
      <c r="AR1274">
        <v>64</v>
      </c>
      <c r="AZ1274">
        <v>4552</v>
      </c>
      <c r="BA1274">
        <v>1</v>
      </c>
      <c r="BB1274" t="str">
        <f t="shared" si="65"/>
        <v xml:space="preserve">N607SR  </v>
      </c>
      <c r="BC1274">
        <v>1</v>
      </c>
      <c r="BE1274">
        <v>0</v>
      </c>
      <c r="BF1274">
        <v>0</v>
      </c>
      <c r="BG1274">
        <v>0</v>
      </c>
      <c r="BH1274">
        <v>2575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"06:15:51.505"</f>
        <v>06:15:51.505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5</v>
      </c>
      <c r="CP1274" t="s">
        <v>119</v>
      </c>
      <c r="CQ1274">
        <v>465</v>
      </c>
      <c r="CR1274">
        <v>0</v>
      </c>
      <c r="CW1274">
        <v>4719889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 t="shared" ref="A1275:A1280" si="95">"08/29/2020 06:15:49.261"</f>
        <v>08/29/2020 06:15:49.261</v>
      </c>
      <c r="C1275" t="str">
        <f t="shared" si="63"/>
        <v>FFDFD3C0</v>
      </c>
      <c r="D1275" t="s">
        <v>121</v>
      </c>
      <c r="E1275">
        <v>11</v>
      </c>
      <c r="F1275">
        <v>1011</v>
      </c>
      <c r="G1275" t="s">
        <v>125</v>
      </c>
      <c r="J1275" t="s">
        <v>123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ref="S1275:S1280" si="96">"06:15:52.461"</f>
        <v>06:15:52.461</v>
      </c>
      <c r="T1275" t="str">
        <f>"06:15:51.961"</f>
        <v>06:15:51.961</v>
      </c>
      <c r="U1275" t="str">
        <f t="shared" si="64"/>
        <v>A7E2E0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0</v>
      </c>
      <c r="AI1275" t="s">
        <v>961</v>
      </c>
      <c r="AJ1275">
        <v>39.038608000000004</v>
      </c>
      <c r="AK1275" t="s">
        <v>962</v>
      </c>
      <c r="AL1275">
        <v>-87.533934000000002</v>
      </c>
      <c r="AM1275">
        <v>100</v>
      </c>
      <c r="AN1275">
        <v>2800</v>
      </c>
      <c r="AO1275" t="s">
        <v>118</v>
      </c>
      <c r="AP1275">
        <v>-97</v>
      </c>
      <c r="AQ1275">
        <v>-128</v>
      </c>
      <c r="AR1275">
        <v>64</v>
      </c>
      <c r="AZ1275">
        <v>4552</v>
      </c>
      <c r="BA1275">
        <v>1</v>
      </c>
      <c r="BB1275" t="str">
        <f t="shared" si="65"/>
        <v xml:space="preserve">N607SR  </v>
      </c>
      <c r="BC1275">
        <v>1</v>
      </c>
      <c r="BE1275">
        <v>0</v>
      </c>
      <c r="BF1275">
        <v>0</v>
      </c>
      <c r="BG1275">
        <v>0</v>
      </c>
      <c r="BH1275">
        <v>2575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 t="shared" ref="BW1275:BW1280" si="97">"06:15:52.463"</f>
        <v>06:15:52.463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6</v>
      </c>
      <c r="CP1275" t="s">
        <v>119</v>
      </c>
      <c r="CQ1275">
        <v>457</v>
      </c>
      <c r="CR1275">
        <v>0</v>
      </c>
      <c r="CW1275">
        <v>15515942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si="95"/>
        <v>08/29/2020 06:15:49.261</v>
      </c>
      <c r="C1276" t="str">
        <f t="shared" si="63"/>
        <v>FFDFD3C0</v>
      </c>
      <c r="D1276" t="s">
        <v>121</v>
      </c>
      <c r="E1276">
        <v>13</v>
      </c>
      <c r="F1276">
        <v>1013</v>
      </c>
      <c r="G1276" t="s">
        <v>122</v>
      </c>
      <c r="J1276" t="s">
        <v>123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96"/>
        <v>06:15:52.461</v>
      </c>
      <c r="U1276" t="str">
        <f t="shared" si="64"/>
        <v>A7E2E0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961</v>
      </c>
      <c r="AJ1276">
        <v>39.038608000000004</v>
      </c>
      <c r="AK1276" t="s">
        <v>962</v>
      </c>
      <c r="AL1276">
        <v>-87.533934000000002</v>
      </c>
      <c r="AM1276">
        <v>100</v>
      </c>
      <c r="AN1276">
        <v>2800</v>
      </c>
      <c r="AO1276" t="s">
        <v>118</v>
      </c>
      <c r="AP1276">
        <v>-97</v>
      </c>
      <c r="AQ1276">
        <v>-128</v>
      </c>
      <c r="AR1276">
        <v>64</v>
      </c>
      <c r="AZ1276">
        <v>4552</v>
      </c>
      <c r="BA1276">
        <v>1</v>
      </c>
      <c r="BB1276" t="str">
        <f t="shared" si="65"/>
        <v xml:space="preserve">N607SR  </v>
      </c>
      <c r="BC1276">
        <v>1</v>
      </c>
      <c r="BE1276">
        <v>0</v>
      </c>
      <c r="BF1276">
        <v>0</v>
      </c>
      <c r="BG1276">
        <v>0</v>
      </c>
      <c r="BH1276">
        <v>2575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 t="shared" si="97"/>
        <v>06:15:52.463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5</v>
      </c>
      <c r="CP1276" t="s">
        <v>119</v>
      </c>
      <c r="CQ1276">
        <v>465</v>
      </c>
      <c r="CR1276">
        <v>0</v>
      </c>
      <c r="CW1276">
        <v>4719922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 t="shared" si="95"/>
        <v>08/29/2020 06:15:49.261</v>
      </c>
      <c r="C1277" t="str">
        <f t="shared" si="63"/>
        <v>FFDFD3C0</v>
      </c>
      <c r="D1277" t="s">
        <v>939</v>
      </c>
      <c r="E1277">
        <v>10</v>
      </c>
      <c r="H1277">
        <v>79</v>
      </c>
      <c r="I1277" t="s">
        <v>940</v>
      </c>
      <c r="J1277" t="s">
        <v>130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96"/>
        <v>06:15:52.461</v>
      </c>
      <c r="U1277" t="str">
        <f t="shared" si="64"/>
        <v>A7E2E0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961</v>
      </c>
      <c r="AJ1277">
        <v>39.038608000000004</v>
      </c>
      <c r="AK1277" t="s">
        <v>962</v>
      </c>
      <c r="AL1277">
        <v>-87.533934000000002</v>
      </c>
      <c r="AM1277">
        <v>100</v>
      </c>
      <c r="AN1277">
        <v>2800</v>
      </c>
      <c r="AO1277" t="s">
        <v>118</v>
      </c>
      <c r="AP1277">
        <v>-97</v>
      </c>
      <c r="AQ1277">
        <v>-128</v>
      </c>
      <c r="AR1277">
        <v>64</v>
      </c>
      <c r="AZ1277">
        <v>4552</v>
      </c>
      <c r="BA1277">
        <v>1</v>
      </c>
      <c r="BB1277" t="str">
        <f t="shared" si="65"/>
        <v xml:space="preserve">N607SR  </v>
      </c>
      <c r="BC1277">
        <v>1</v>
      </c>
      <c r="BE1277">
        <v>0</v>
      </c>
      <c r="BF1277">
        <v>0</v>
      </c>
      <c r="BG1277">
        <v>0</v>
      </c>
      <c r="BH1277">
        <v>2575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 t="shared" si="97"/>
        <v>06:15:52.463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5</v>
      </c>
      <c r="CP1277" t="s">
        <v>119</v>
      </c>
      <c r="CQ1277">
        <v>465</v>
      </c>
      <c r="CR1277">
        <v>0</v>
      </c>
      <c r="CW1277">
        <v>4719922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 t="shared" si="95"/>
        <v>08/29/2020 06:15:49.261</v>
      </c>
      <c r="C1278" t="str">
        <f t="shared" si="63"/>
        <v>FFDFD3C0</v>
      </c>
      <c r="D1278" t="s">
        <v>121</v>
      </c>
      <c r="E1278">
        <v>10</v>
      </c>
      <c r="F1278">
        <v>1010</v>
      </c>
      <c r="G1278" t="s">
        <v>114</v>
      </c>
      <c r="J1278" t="s">
        <v>123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96"/>
        <v>06:15:52.461</v>
      </c>
      <c r="U1278" t="str">
        <f t="shared" si="64"/>
        <v>A7E2E0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961</v>
      </c>
      <c r="AJ1278">
        <v>39.038608000000004</v>
      </c>
      <c r="AK1278" t="s">
        <v>962</v>
      </c>
      <c r="AL1278">
        <v>-87.533934000000002</v>
      </c>
      <c r="AM1278">
        <v>100</v>
      </c>
      <c r="AN1278">
        <v>2800</v>
      </c>
      <c r="AO1278" t="s">
        <v>118</v>
      </c>
      <c r="AP1278">
        <v>-97</v>
      </c>
      <c r="AQ1278">
        <v>-128</v>
      </c>
      <c r="AR1278">
        <v>64</v>
      </c>
      <c r="AZ1278">
        <v>4552</v>
      </c>
      <c r="BA1278">
        <v>1</v>
      </c>
      <c r="BB1278" t="str">
        <f t="shared" si="65"/>
        <v xml:space="preserve">N607SR  </v>
      </c>
      <c r="BC1278">
        <v>1</v>
      </c>
      <c r="BE1278">
        <v>0</v>
      </c>
      <c r="BF1278">
        <v>0</v>
      </c>
      <c r="BG1278">
        <v>0</v>
      </c>
      <c r="BH1278">
        <v>2575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 t="shared" si="97"/>
        <v>06:15:52.463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5</v>
      </c>
      <c r="CP1278" t="s">
        <v>119</v>
      </c>
      <c r="CQ1278">
        <v>465</v>
      </c>
      <c r="CR1278">
        <v>0</v>
      </c>
      <c r="CW1278">
        <v>4719922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 t="shared" si="95"/>
        <v>08/29/2020 06:15:49.261</v>
      </c>
      <c r="C1279" t="str">
        <f t="shared" si="63"/>
        <v>FFDFD3C0</v>
      </c>
      <c r="D1279" t="s">
        <v>113</v>
      </c>
      <c r="E1279">
        <v>5</v>
      </c>
      <c r="H1279">
        <v>163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96"/>
        <v>06:15:52.461</v>
      </c>
      <c r="U1279" t="str">
        <f t="shared" si="64"/>
        <v>A7E2E0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961</v>
      </c>
      <c r="AJ1279">
        <v>39.038608000000004</v>
      </c>
      <c r="AK1279" t="s">
        <v>962</v>
      </c>
      <c r="AL1279">
        <v>-87.533934000000002</v>
      </c>
      <c r="AM1279">
        <v>100</v>
      </c>
      <c r="AN1279">
        <v>2800</v>
      </c>
      <c r="AO1279" t="s">
        <v>118</v>
      </c>
      <c r="AP1279">
        <v>-97</v>
      </c>
      <c r="AQ1279">
        <v>-128</v>
      </c>
      <c r="AR1279">
        <v>64</v>
      </c>
      <c r="AZ1279">
        <v>4552</v>
      </c>
      <c r="BA1279">
        <v>1</v>
      </c>
      <c r="BB1279" t="str">
        <f t="shared" si="65"/>
        <v xml:space="preserve">N607SR  </v>
      </c>
      <c r="BC1279">
        <v>1</v>
      </c>
      <c r="BE1279">
        <v>0</v>
      </c>
      <c r="BF1279">
        <v>0</v>
      </c>
      <c r="BG1279">
        <v>0</v>
      </c>
      <c r="BH1279">
        <v>2575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 t="shared" si="97"/>
        <v>06:15:52.463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5</v>
      </c>
      <c r="CP1279" t="s">
        <v>119</v>
      </c>
      <c r="CQ1279">
        <v>465</v>
      </c>
      <c r="CR1279">
        <v>0</v>
      </c>
      <c r="CW1279">
        <v>4719922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 t="shared" si="95"/>
        <v>08/29/2020 06:15:49.261</v>
      </c>
      <c r="C1280" t="str">
        <f t="shared" si="63"/>
        <v>FFDFD3C0</v>
      </c>
      <c r="D1280" t="s">
        <v>128</v>
      </c>
      <c r="E1280">
        <v>5</v>
      </c>
      <c r="H1280">
        <v>241</v>
      </c>
      <c r="I1280" t="s">
        <v>129</v>
      </c>
      <c r="J1280" t="s">
        <v>130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96"/>
        <v>06:15:52.461</v>
      </c>
      <c r="U1280" t="str">
        <f t="shared" si="64"/>
        <v>A7E2E0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961</v>
      </c>
      <c r="AJ1280">
        <v>39.038608000000004</v>
      </c>
      <c r="AK1280" t="s">
        <v>962</v>
      </c>
      <c r="AL1280">
        <v>-87.533934000000002</v>
      </c>
      <c r="AM1280">
        <v>100</v>
      </c>
      <c r="AN1280">
        <v>2800</v>
      </c>
      <c r="AO1280" t="s">
        <v>118</v>
      </c>
      <c r="AP1280">
        <v>-97</v>
      </c>
      <c r="AQ1280">
        <v>-128</v>
      </c>
      <c r="AR1280">
        <v>64</v>
      </c>
      <c r="AZ1280">
        <v>4552</v>
      </c>
      <c r="BA1280">
        <v>1</v>
      </c>
      <c r="BB1280" t="str">
        <f t="shared" si="65"/>
        <v xml:space="preserve">N607SR  </v>
      </c>
      <c r="BC1280">
        <v>1</v>
      </c>
      <c r="BE1280">
        <v>0</v>
      </c>
      <c r="BF1280">
        <v>0</v>
      </c>
      <c r="BG1280">
        <v>0</v>
      </c>
      <c r="BH1280">
        <v>2575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 t="shared" si="97"/>
        <v>06:15:52.463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5</v>
      </c>
      <c r="CP1280" t="s">
        <v>119</v>
      </c>
      <c r="CQ1280">
        <v>465</v>
      </c>
      <c r="CR1280">
        <v>0</v>
      </c>
      <c r="CW1280">
        <v>4719922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 t="shared" ref="A1281:A1286" si="98">"08/29/2020 06:15:50.186"</f>
        <v>08/29/2020 06:15:50.186</v>
      </c>
      <c r="C1281" t="str">
        <f t="shared" si="63"/>
        <v>FFDFD3C0</v>
      </c>
      <c r="D1281" t="s">
        <v>113</v>
      </c>
      <c r="E1281">
        <v>5</v>
      </c>
      <c r="H1281">
        <v>163</v>
      </c>
      <c r="I1281" t="s">
        <v>114</v>
      </c>
      <c r="J1281" t="s">
        <v>115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ref="S1281:S1286" si="99">"06:15:53.422"</f>
        <v>06:15:53.422</v>
      </c>
      <c r="T1281" t="str">
        <f t="shared" ref="T1281:T1286" si="100">"06:15:52.922"</f>
        <v>06:15:52.922</v>
      </c>
      <c r="U1281" t="str">
        <f t="shared" si="64"/>
        <v>A7E2E0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963</v>
      </c>
      <c r="AJ1281">
        <v>39.038007</v>
      </c>
      <c r="AK1281" t="s">
        <v>964</v>
      </c>
      <c r="AL1281">
        <v>-87.534492</v>
      </c>
      <c r="AM1281">
        <v>100</v>
      </c>
      <c r="AN1281">
        <v>2800</v>
      </c>
      <c r="AO1281" t="s">
        <v>118</v>
      </c>
      <c r="AP1281">
        <v>-97</v>
      </c>
      <c r="AQ1281">
        <v>-128</v>
      </c>
      <c r="AR1281">
        <v>64</v>
      </c>
      <c r="AZ1281">
        <v>4552</v>
      </c>
      <c r="BA1281">
        <v>1</v>
      </c>
      <c r="BB1281" t="str">
        <f t="shared" si="65"/>
        <v xml:space="preserve">N607SR  </v>
      </c>
      <c r="BC1281">
        <v>1</v>
      </c>
      <c r="BE1281">
        <v>0</v>
      </c>
      <c r="BF1281">
        <v>0</v>
      </c>
      <c r="BG1281">
        <v>0</v>
      </c>
      <c r="BH1281">
        <v>2575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 t="shared" ref="BW1281:BW1286" si="101">"06:15:53.425"</f>
        <v>06:15:53.425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6</v>
      </c>
      <c r="CP1281" t="s">
        <v>119</v>
      </c>
      <c r="CQ1281">
        <v>457</v>
      </c>
      <c r="CR1281">
        <v>0</v>
      </c>
      <c r="CW1281">
        <v>15515971</v>
      </c>
      <c r="CY1281">
        <v>1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 t="shared" si="98"/>
        <v>08/29/2020 06:15:50.186</v>
      </c>
      <c r="C1282" t="str">
        <f t="shared" ref="C1282:C1345" si="102">"FFDFD3C0"</f>
        <v>FFDFD3C0</v>
      </c>
      <c r="D1282" t="s">
        <v>128</v>
      </c>
      <c r="E1282">
        <v>5</v>
      </c>
      <c r="H1282">
        <v>241</v>
      </c>
      <c r="I1282" t="s">
        <v>129</v>
      </c>
      <c r="J1282" t="s">
        <v>130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99"/>
        <v>06:15:53.422</v>
      </c>
      <c r="T1282" t="str">
        <f t="shared" si="100"/>
        <v>06:15:52.922</v>
      </c>
      <c r="U1282" t="str">
        <f t="shared" ref="U1282:U1345" si="103">"A7E2E0"</f>
        <v>A7E2E0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963</v>
      </c>
      <c r="AJ1282">
        <v>39.038007</v>
      </c>
      <c r="AK1282" t="s">
        <v>964</v>
      </c>
      <c r="AL1282">
        <v>-87.534492</v>
      </c>
      <c r="AM1282">
        <v>100</v>
      </c>
      <c r="AN1282">
        <v>2800</v>
      </c>
      <c r="AO1282" t="s">
        <v>118</v>
      </c>
      <c r="AP1282">
        <v>-97</v>
      </c>
      <c r="AQ1282">
        <v>-128</v>
      </c>
      <c r="AR1282">
        <v>64</v>
      </c>
      <c r="AZ1282">
        <v>4552</v>
      </c>
      <c r="BA1282">
        <v>1</v>
      </c>
      <c r="BB1282" t="str">
        <f t="shared" ref="BB1282:BB1345" si="104">"N607SR  "</f>
        <v xml:space="preserve">N607SR  </v>
      </c>
      <c r="BC1282">
        <v>1</v>
      </c>
      <c r="BE1282">
        <v>0</v>
      </c>
      <c r="BF1282">
        <v>0</v>
      </c>
      <c r="BG1282">
        <v>0</v>
      </c>
      <c r="BH1282">
        <v>2575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 t="shared" si="101"/>
        <v>06:15:53.425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6</v>
      </c>
      <c r="CP1282" t="s">
        <v>119</v>
      </c>
      <c r="CQ1282">
        <v>457</v>
      </c>
      <c r="CR1282">
        <v>0</v>
      </c>
      <c r="CW1282">
        <v>15515971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 t="shared" si="98"/>
        <v>08/29/2020 06:15:50.186</v>
      </c>
      <c r="C1283" t="str">
        <f t="shared" si="102"/>
        <v>FFDFD3C0</v>
      </c>
      <c r="D1283" t="s">
        <v>939</v>
      </c>
      <c r="E1283">
        <v>10</v>
      </c>
      <c r="H1283">
        <v>79</v>
      </c>
      <c r="I1283" t="s">
        <v>940</v>
      </c>
      <c r="J1283" t="s">
        <v>130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99"/>
        <v>06:15:53.422</v>
      </c>
      <c r="T1283" t="str">
        <f t="shared" si="100"/>
        <v>06:15:52.922</v>
      </c>
      <c r="U1283" t="str">
        <f t="shared" si="103"/>
        <v>A7E2E0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963</v>
      </c>
      <c r="AJ1283">
        <v>39.038007</v>
      </c>
      <c r="AK1283" t="s">
        <v>964</v>
      </c>
      <c r="AL1283">
        <v>-87.534492</v>
      </c>
      <c r="AM1283">
        <v>100</v>
      </c>
      <c r="AN1283">
        <v>2800</v>
      </c>
      <c r="AO1283" t="s">
        <v>118</v>
      </c>
      <c r="AP1283">
        <v>-97</v>
      </c>
      <c r="AQ1283">
        <v>-128</v>
      </c>
      <c r="AR1283">
        <v>64</v>
      </c>
      <c r="AZ1283">
        <v>4552</v>
      </c>
      <c r="BA1283">
        <v>1</v>
      </c>
      <c r="BB1283" t="str">
        <f t="shared" si="104"/>
        <v xml:space="preserve">N607SR  </v>
      </c>
      <c r="BC1283">
        <v>1</v>
      </c>
      <c r="BE1283">
        <v>0</v>
      </c>
      <c r="BF1283">
        <v>0</v>
      </c>
      <c r="BG1283">
        <v>0</v>
      </c>
      <c r="BH1283">
        <v>2575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 t="shared" si="101"/>
        <v>06:15:53.425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5</v>
      </c>
      <c r="CP1283" t="s">
        <v>119</v>
      </c>
      <c r="CQ1283">
        <v>465</v>
      </c>
      <c r="CR1283">
        <v>0</v>
      </c>
      <c r="CW1283">
        <v>4719952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 t="shared" si="98"/>
        <v>08/29/2020 06:15:50.186</v>
      </c>
      <c r="C1284" t="str">
        <f t="shared" si="102"/>
        <v>FFDFD3C0</v>
      </c>
      <c r="D1284" t="s">
        <v>121</v>
      </c>
      <c r="E1284">
        <v>11</v>
      </c>
      <c r="F1284">
        <v>1011</v>
      </c>
      <c r="G1284" t="s">
        <v>125</v>
      </c>
      <c r="J1284" t="s">
        <v>123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99"/>
        <v>06:15:53.422</v>
      </c>
      <c r="T1284" t="str">
        <f t="shared" si="100"/>
        <v>06:15:52.922</v>
      </c>
      <c r="U1284" t="str">
        <f t="shared" si="103"/>
        <v>A7E2E0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963</v>
      </c>
      <c r="AJ1284">
        <v>39.038007</v>
      </c>
      <c r="AK1284" t="s">
        <v>964</v>
      </c>
      <c r="AL1284">
        <v>-87.534492</v>
      </c>
      <c r="AM1284">
        <v>100</v>
      </c>
      <c r="AN1284">
        <v>2800</v>
      </c>
      <c r="AO1284" t="s">
        <v>118</v>
      </c>
      <c r="AP1284">
        <v>-97</v>
      </c>
      <c r="AQ1284">
        <v>-128</v>
      </c>
      <c r="AR1284">
        <v>64</v>
      </c>
      <c r="AZ1284">
        <v>4552</v>
      </c>
      <c r="BA1284">
        <v>1</v>
      </c>
      <c r="BB1284" t="str">
        <f t="shared" si="104"/>
        <v xml:space="preserve">N607SR  </v>
      </c>
      <c r="BC1284">
        <v>1</v>
      </c>
      <c r="BE1284">
        <v>0</v>
      </c>
      <c r="BF1284">
        <v>0</v>
      </c>
      <c r="BG1284">
        <v>0</v>
      </c>
      <c r="BH1284">
        <v>2575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 t="shared" si="101"/>
        <v>06:15:53.425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119</v>
      </c>
      <c r="CQ1284">
        <v>457</v>
      </c>
      <c r="CR1284">
        <v>0</v>
      </c>
      <c r="CW1284">
        <v>15515971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 t="shared" si="98"/>
        <v>08/29/2020 06:15:50.186</v>
      </c>
      <c r="C1285" t="str">
        <f t="shared" si="102"/>
        <v>FFDFD3C0</v>
      </c>
      <c r="D1285" t="s">
        <v>121</v>
      </c>
      <c r="E1285">
        <v>13</v>
      </c>
      <c r="F1285">
        <v>1013</v>
      </c>
      <c r="G1285" t="s">
        <v>122</v>
      </c>
      <c r="J1285" t="s">
        <v>123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99"/>
        <v>06:15:53.422</v>
      </c>
      <c r="T1285" t="str">
        <f t="shared" si="100"/>
        <v>06:15:52.922</v>
      </c>
      <c r="U1285" t="str">
        <f t="shared" si="103"/>
        <v>A7E2E0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963</v>
      </c>
      <c r="AJ1285">
        <v>39.038007</v>
      </c>
      <c r="AK1285" t="s">
        <v>964</v>
      </c>
      <c r="AL1285">
        <v>-87.534492</v>
      </c>
      <c r="AM1285">
        <v>100</v>
      </c>
      <c r="AN1285">
        <v>2800</v>
      </c>
      <c r="AO1285" t="s">
        <v>118</v>
      </c>
      <c r="AP1285">
        <v>-97</v>
      </c>
      <c r="AQ1285">
        <v>-128</v>
      </c>
      <c r="AR1285">
        <v>64</v>
      </c>
      <c r="AZ1285">
        <v>4552</v>
      </c>
      <c r="BA1285">
        <v>1</v>
      </c>
      <c r="BB1285" t="str">
        <f t="shared" si="104"/>
        <v xml:space="preserve">N607SR  </v>
      </c>
      <c r="BC1285">
        <v>1</v>
      </c>
      <c r="BE1285">
        <v>0</v>
      </c>
      <c r="BF1285">
        <v>0</v>
      </c>
      <c r="BG1285">
        <v>0</v>
      </c>
      <c r="BH1285">
        <v>2575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 t="shared" si="101"/>
        <v>06:15:53.425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6</v>
      </c>
      <c r="CP1285" t="s">
        <v>119</v>
      </c>
      <c r="CQ1285">
        <v>457</v>
      </c>
      <c r="CR1285">
        <v>0</v>
      </c>
      <c r="CW1285">
        <v>15515971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 t="shared" si="98"/>
        <v>08/29/2020 06:15:50.186</v>
      </c>
      <c r="C1286" t="str">
        <f t="shared" si="102"/>
        <v>FFDFD3C0</v>
      </c>
      <c r="D1286" t="s">
        <v>121</v>
      </c>
      <c r="E1286">
        <v>10</v>
      </c>
      <c r="F1286">
        <v>1010</v>
      </c>
      <c r="G1286" t="s">
        <v>114</v>
      </c>
      <c r="J1286" t="s">
        <v>123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99"/>
        <v>06:15:53.422</v>
      </c>
      <c r="T1286" t="str">
        <f t="shared" si="100"/>
        <v>06:15:52.922</v>
      </c>
      <c r="U1286" t="str">
        <f t="shared" si="103"/>
        <v>A7E2E0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963</v>
      </c>
      <c r="AJ1286">
        <v>39.038007</v>
      </c>
      <c r="AK1286" t="s">
        <v>964</v>
      </c>
      <c r="AL1286">
        <v>-87.534492</v>
      </c>
      <c r="AM1286">
        <v>100</v>
      </c>
      <c r="AN1286">
        <v>2800</v>
      </c>
      <c r="AO1286" t="s">
        <v>118</v>
      </c>
      <c r="AP1286">
        <v>-97</v>
      </c>
      <c r="AQ1286">
        <v>-128</v>
      </c>
      <c r="AR1286">
        <v>64</v>
      </c>
      <c r="AZ1286">
        <v>4552</v>
      </c>
      <c r="BA1286">
        <v>1</v>
      </c>
      <c r="BB1286" t="str">
        <f t="shared" si="104"/>
        <v xml:space="preserve">N607SR  </v>
      </c>
      <c r="BC1286">
        <v>1</v>
      </c>
      <c r="BE1286">
        <v>0</v>
      </c>
      <c r="BF1286">
        <v>0</v>
      </c>
      <c r="BG1286">
        <v>0</v>
      </c>
      <c r="BH1286">
        <v>2575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 t="shared" si="101"/>
        <v>06:15:53.425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6</v>
      </c>
      <c r="CP1286" t="s">
        <v>119</v>
      </c>
      <c r="CQ1286">
        <v>457</v>
      </c>
      <c r="CR1286">
        <v>0</v>
      </c>
      <c r="CW1286">
        <v>15515971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 t="shared" ref="A1287:A1292" si="105">"08/29/2020 06:15:51.344"</f>
        <v>08/29/2020 06:15:51.344</v>
      </c>
      <c r="C1287" t="str">
        <f t="shared" si="102"/>
        <v>FFDFD3C0</v>
      </c>
      <c r="D1287" t="s">
        <v>121</v>
      </c>
      <c r="E1287">
        <v>11</v>
      </c>
      <c r="F1287">
        <v>1011</v>
      </c>
      <c r="G1287" t="s">
        <v>125</v>
      </c>
      <c r="J1287" t="s">
        <v>123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ref="S1287:S1292" si="106">"06:15:54.531"</f>
        <v>06:15:54.531</v>
      </c>
      <c r="T1287" t="str">
        <f>"06:15:54.031"</f>
        <v>06:15:54.031</v>
      </c>
      <c r="U1287" t="str">
        <f t="shared" si="103"/>
        <v>A7E2E0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965</v>
      </c>
      <c r="AJ1287">
        <v>39.037363999999997</v>
      </c>
      <c r="AK1287" t="s">
        <v>966</v>
      </c>
      <c r="AL1287">
        <v>-87.535113999999993</v>
      </c>
      <c r="AM1287">
        <v>100</v>
      </c>
      <c r="AN1287">
        <v>2800</v>
      </c>
      <c r="AO1287" t="s">
        <v>118</v>
      </c>
      <c r="AP1287">
        <v>-97</v>
      </c>
      <c r="AQ1287">
        <v>-128</v>
      </c>
      <c r="AR1287">
        <v>0</v>
      </c>
      <c r="AZ1287">
        <v>4552</v>
      </c>
      <c r="BA1287">
        <v>1</v>
      </c>
      <c r="BB1287" t="str">
        <f t="shared" si="104"/>
        <v xml:space="preserve">N607SR  </v>
      </c>
      <c r="BC1287">
        <v>1</v>
      </c>
      <c r="BE1287">
        <v>0</v>
      </c>
      <c r="BF1287">
        <v>0</v>
      </c>
      <c r="BG1287">
        <v>0</v>
      </c>
      <c r="BH1287">
        <v>2575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 t="shared" ref="BW1287:BW1292" si="107">"06:15:54.539"</f>
        <v>06:15:54.539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6</v>
      </c>
      <c r="CP1287" t="s">
        <v>119</v>
      </c>
      <c r="CQ1287">
        <v>457</v>
      </c>
      <c r="CR1287">
        <v>0</v>
      </c>
      <c r="CW1287">
        <v>15516004</v>
      </c>
      <c r="CY1287">
        <v>1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 t="shared" si="105"/>
        <v>08/29/2020 06:15:51.344</v>
      </c>
      <c r="C1288" t="str">
        <f t="shared" si="102"/>
        <v>FFDFD3C0</v>
      </c>
      <c r="D1288" t="s">
        <v>121</v>
      </c>
      <c r="E1288">
        <v>13</v>
      </c>
      <c r="F1288">
        <v>1013</v>
      </c>
      <c r="G1288" t="s">
        <v>122</v>
      </c>
      <c r="J1288" t="s">
        <v>123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106"/>
        <v>06:15:54.531</v>
      </c>
      <c r="U1288" t="str">
        <f t="shared" si="103"/>
        <v>A7E2E0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965</v>
      </c>
      <c r="AJ1288">
        <v>39.037363999999997</v>
      </c>
      <c r="AK1288" t="s">
        <v>966</v>
      </c>
      <c r="AL1288">
        <v>-87.535113999999993</v>
      </c>
      <c r="AM1288">
        <v>100</v>
      </c>
      <c r="AN1288">
        <v>2800</v>
      </c>
      <c r="AO1288" t="s">
        <v>118</v>
      </c>
      <c r="AP1288">
        <v>-97</v>
      </c>
      <c r="AQ1288">
        <v>-128</v>
      </c>
      <c r="AR1288">
        <v>0</v>
      </c>
      <c r="AZ1288">
        <v>4552</v>
      </c>
      <c r="BA1288">
        <v>1</v>
      </c>
      <c r="BB1288" t="str">
        <f t="shared" si="104"/>
        <v xml:space="preserve">N607SR  </v>
      </c>
      <c r="BC1288">
        <v>1</v>
      </c>
      <c r="BE1288">
        <v>0</v>
      </c>
      <c r="BF1288">
        <v>0</v>
      </c>
      <c r="BG1288">
        <v>0</v>
      </c>
      <c r="BH1288">
        <v>2575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 t="shared" si="107"/>
        <v>06:15:54.539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5</v>
      </c>
      <c r="CP1288" t="s">
        <v>119</v>
      </c>
      <c r="CQ1288">
        <v>465</v>
      </c>
      <c r="CR1288">
        <v>0</v>
      </c>
      <c r="CW1288">
        <v>4719988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si="105"/>
        <v>08/29/2020 06:15:51.344</v>
      </c>
      <c r="C1289" t="str">
        <f t="shared" si="102"/>
        <v>FFDFD3C0</v>
      </c>
      <c r="D1289" t="s">
        <v>121</v>
      </c>
      <c r="E1289">
        <v>10</v>
      </c>
      <c r="F1289">
        <v>1010</v>
      </c>
      <c r="G1289" t="s">
        <v>114</v>
      </c>
      <c r="J1289" t="s">
        <v>123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106"/>
        <v>06:15:54.531</v>
      </c>
      <c r="U1289" t="str">
        <f t="shared" si="103"/>
        <v>A7E2E0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965</v>
      </c>
      <c r="AJ1289">
        <v>39.037363999999997</v>
      </c>
      <c r="AK1289" t="s">
        <v>966</v>
      </c>
      <c r="AL1289">
        <v>-87.535113999999993</v>
      </c>
      <c r="AM1289">
        <v>100</v>
      </c>
      <c r="AN1289">
        <v>2800</v>
      </c>
      <c r="AO1289" t="s">
        <v>118</v>
      </c>
      <c r="AP1289">
        <v>-97</v>
      </c>
      <c r="AQ1289">
        <v>-128</v>
      </c>
      <c r="AR1289">
        <v>0</v>
      </c>
      <c r="AZ1289">
        <v>4552</v>
      </c>
      <c r="BA1289">
        <v>1</v>
      </c>
      <c r="BB1289" t="str">
        <f t="shared" si="104"/>
        <v xml:space="preserve">N607SR  </v>
      </c>
      <c r="BC1289">
        <v>1</v>
      </c>
      <c r="BE1289">
        <v>0</v>
      </c>
      <c r="BF1289">
        <v>0</v>
      </c>
      <c r="BG1289">
        <v>0</v>
      </c>
      <c r="BH1289">
        <v>2575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 t="shared" si="107"/>
        <v>06:15:54.539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5</v>
      </c>
      <c r="CP1289" t="s">
        <v>119</v>
      </c>
      <c r="CQ1289">
        <v>465</v>
      </c>
      <c r="CR1289">
        <v>0</v>
      </c>
      <c r="CW1289">
        <v>4719988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105"/>
        <v>08/29/2020 06:15:51.344</v>
      </c>
      <c r="C1290" t="str">
        <f t="shared" si="102"/>
        <v>FFDFD3C0</v>
      </c>
      <c r="D1290" t="s">
        <v>113</v>
      </c>
      <c r="E1290">
        <v>5</v>
      </c>
      <c r="H1290">
        <v>163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106"/>
        <v>06:15:54.531</v>
      </c>
      <c r="U1290" t="str">
        <f t="shared" si="103"/>
        <v>A7E2E0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965</v>
      </c>
      <c r="AJ1290">
        <v>39.037363999999997</v>
      </c>
      <c r="AK1290" t="s">
        <v>966</v>
      </c>
      <c r="AL1290">
        <v>-87.535113999999993</v>
      </c>
      <c r="AM1290">
        <v>100</v>
      </c>
      <c r="AN1290">
        <v>2800</v>
      </c>
      <c r="AO1290" t="s">
        <v>118</v>
      </c>
      <c r="AP1290">
        <v>-97</v>
      </c>
      <c r="AQ1290">
        <v>-128</v>
      </c>
      <c r="AR1290">
        <v>0</v>
      </c>
      <c r="AZ1290">
        <v>4552</v>
      </c>
      <c r="BA1290">
        <v>1</v>
      </c>
      <c r="BB1290" t="str">
        <f t="shared" si="104"/>
        <v xml:space="preserve">N607SR  </v>
      </c>
      <c r="BC1290">
        <v>1</v>
      </c>
      <c r="BE1290">
        <v>0</v>
      </c>
      <c r="BF1290">
        <v>0</v>
      </c>
      <c r="BG1290">
        <v>0</v>
      </c>
      <c r="BH1290">
        <v>2575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 t="shared" si="107"/>
        <v>06:15:54.539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5</v>
      </c>
      <c r="CP1290" t="s">
        <v>119</v>
      </c>
      <c r="CQ1290">
        <v>465</v>
      </c>
      <c r="CR1290">
        <v>0</v>
      </c>
      <c r="CW1290">
        <v>4719988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 t="shared" si="105"/>
        <v>08/29/2020 06:15:51.344</v>
      </c>
      <c r="C1291" t="str">
        <f t="shared" si="102"/>
        <v>FFDFD3C0</v>
      </c>
      <c r="D1291" t="s">
        <v>128</v>
      </c>
      <c r="E1291">
        <v>5</v>
      </c>
      <c r="H1291">
        <v>241</v>
      </c>
      <c r="I1291" t="s">
        <v>129</v>
      </c>
      <c r="J1291" t="s">
        <v>130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106"/>
        <v>06:15:54.531</v>
      </c>
      <c r="U1291" t="str">
        <f t="shared" si="103"/>
        <v>A7E2E0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965</v>
      </c>
      <c r="AJ1291">
        <v>39.037363999999997</v>
      </c>
      <c r="AK1291" t="s">
        <v>966</v>
      </c>
      <c r="AL1291">
        <v>-87.535113999999993</v>
      </c>
      <c r="AM1291">
        <v>100</v>
      </c>
      <c r="AN1291">
        <v>2800</v>
      </c>
      <c r="AO1291" t="s">
        <v>118</v>
      </c>
      <c r="AP1291">
        <v>-97</v>
      </c>
      <c r="AQ1291">
        <v>-128</v>
      </c>
      <c r="AR1291">
        <v>0</v>
      </c>
      <c r="AZ1291">
        <v>4552</v>
      </c>
      <c r="BA1291">
        <v>1</v>
      </c>
      <c r="BB1291" t="str">
        <f t="shared" si="104"/>
        <v xml:space="preserve">N607SR  </v>
      </c>
      <c r="BC1291">
        <v>1</v>
      </c>
      <c r="BE1291">
        <v>0</v>
      </c>
      <c r="BF1291">
        <v>0</v>
      </c>
      <c r="BG1291">
        <v>0</v>
      </c>
      <c r="BH1291">
        <v>2575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 t="shared" si="107"/>
        <v>06:15:54.539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5</v>
      </c>
      <c r="CP1291" t="s">
        <v>119</v>
      </c>
      <c r="CQ1291">
        <v>465</v>
      </c>
      <c r="CR1291">
        <v>0</v>
      </c>
      <c r="CW1291">
        <v>4719988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 t="shared" si="105"/>
        <v>08/29/2020 06:15:51.344</v>
      </c>
      <c r="C1292" t="str">
        <f t="shared" si="102"/>
        <v>FFDFD3C0</v>
      </c>
      <c r="D1292" t="s">
        <v>939</v>
      </c>
      <c r="E1292">
        <v>10</v>
      </c>
      <c r="H1292">
        <v>79</v>
      </c>
      <c r="I1292" t="s">
        <v>940</v>
      </c>
      <c r="J1292" t="s">
        <v>130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106"/>
        <v>06:15:54.531</v>
      </c>
      <c r="U1292" t="str">
        <f t="shared" si="103"/>
        <v>A7E2E0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965</v>
      </c>
      <c r="AJ1292">
        <v>39.037363999999997</v>
      </c>
      <c r="AK1292" t="s">
        <v>966</v>
      </c>
      <c r="AL1292">
        <v>-87.535113999999993</v>
      </c>
      <c r="AM1292">
        <v>100</v>
      </c>
      <c r="AN1292">
        <v>2800</v>
      </c>
      <c r="AO1292" t="s">
        <v>118</v>
      </c>
      <c r="AP1292">
        <v>-97</v>
      </c>
      <c r="AQ1292">
        <v>-128</v>
      </c>
      <c r="AR1292">
        <v>0</v>
      </c>
      <c r="AZ1292">
        <v>4552</v>
      </c>
      <c r="BA1292">
        <v>1</v>
      </c>
      <c r="BB1292" t="str">
        <f t="shared" si="104"/>
        <v xml:space="preserve">N607SR  </v>
      </c>
      <c r="BC1292">
        <v>1</v>
      </c>
      <c r="BE1292">
        <v>0</v>
      </c>
      <c r="BF1292">
        <v>0</v>
      </c>
      <c r="BG1292">
        <v>0</v>
      </c>
      <c r="BH1292">
        <v>2575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 t="shared" si="107"/>
        <v>06:15:54.539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5</v>
      </c>
      <c r="CP1292" t="s">
        <v>119</v>
      </c>
      <c r="CQ1292">
        <v>465</v>
      </c>
      <c r="CR1292">
        <v>0</v>
      </c>
      <c r="CW1292">
        <v>4719988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 t="shared" ref="A1293:A1298" si="108">"08/29/2020 06:15:52.451"</f>
        <v>08/29/2020 06:15:52.451</v>
      </c>
      <c r="C1293" t="str">
        <f t="shared" si="102"/>
        <v>FFDFD3C0</v>
      </c>
      <c r="D1293" t="s">
        <v>121</v>
      </c>
      <c r="E1293">
        <v>10</v>
      </c>
      <c r="F1293">
        <v>1010</v>
      </c>
      <c r="G1293" t="s">
        <v>114</v>
      </c>
      <c r="J1293" t="s">
        <v>123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"06:15:55.648"</f>
        <v>06:15:55.648</v>
      </c>
      <c r="T1293" t="str">
        <f>"06:15:55.148"</f>
        <v>06:15:55.148</v>
      </c>
      <c r="U1293" t="str">
        <f t="shared" si="103"/>
        <v>A7E2E0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967</v>
      </c>
      <c r="AJ1293">
        <v>39.036698000000001</v>
      </c>
      <c r="AK1293" t="s">
        <v>968</v>
      </c>
      <c r="AL1293">
        <v>-87.535758000000001</v>
      </c>
      <c r="AM1293">
        <v>100</v>
      </c>
      <c r="AN1293">
        <v>2800</v>
      </c>
      <c r="AO1293" t="s">
        <v>118</v>
      </c>
      <c r="AP1293">
        <v>-97</v>
      </c>
      <c r="AQ1293">
        <v>-128</v>
      </c>
      <c r="AR1293">
        <v>64</v>
      </c>
      <c r="AZ1293">
        <v>4552</v>
      </c>
      <c r="BA1293">
        <v>1</v>
      </c>
      <c r="BB1293" t="str">
        <f t="shared" si="104"/>
        <v xml:space="preserve">N607SR  </v>
      </c>
      <c r="BC1293">
        <v>1</v>
      </c>
      <c r="BE1293">
        <v>0</v>
      </c>
      <c r="BF1293">
        <v>0</v>
      </c>
      <c r="BG1293">
        <v>0</v>
      </c>
      <c r="BH1293">
        <v>2575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 t="shared" ref="BW1293:BW1298" si="109">"06:15:55.656"</f>
        <v>06:15:55.656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6</v>
      </c>
      <c r="CP1293" t="s">
        <v>119</v>
      </c>
      <c r="CQ1293">
        <v>457</v>
      </c>
      <c r="CR1293">
        <v>0</v>
      </c>
      <c r="CW1293">
        <v>15516038</v>
      </c>
      <c r="CY1293">
        <v>1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 t="shared" si="108"/>
        <v>08/29/2020 06:15:52.451</v>
      </c>
      <c r="C1294" t="str">
        <f t="shared" si="102"/>
        <v>FFDFD3C0</v>
      </c>
      <c r="D1294" t="s">
        <v>121</v>
      </c>
      <c r="E1294">
        <v>13</v>
      </c>
      <c r="F1294">
        <v>1013</v>
      </c>
      <c r="G1294" t="s">
        <v>122</v>
      </c>
      <c r="J1294" t="s">
        <v>123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"06:15:55.648"</f>
        <v>06:15:55.648</v>
      </c>
      <c r="T1294" t="str">
        <f>"06:15:55.148"</f>
        <v>06:15:55.148</v>
      </c>
      <c r="U1294" t="str">
        <f t="shared" si="103"/>
        <v>A7E2E0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967</v>
      </c>
      <c r="AJ1294">
        <v>39.036698000000001</v>
      </c>
      <c r="AK1294" t="s">
        <v>968</v>
      </c>
      <c r="AL1294">
        <v>-87.535758000000001</v>
      </c>
      <c r="AM1294">
        <v>100</v>
      </c>
      <c r="AN1294">
        <v>2800</v>
      </c>
      <c r="AO1294" t="s">
        <v>118</v>
      </c>
      <c r="AP1294">
        <v>-97</v>
      </c>
      <c r="AQ1294">
        <v>-128</v>
      </c>
      <c r="AR1294">
        <v>64</v>
      </c>
      <c r="AZ1294">
        <v>4552</v>
      </c>
      <c r="BA1294">
        <v>1</v>
      </c>
      <c r="BB1294" t="str">
        <f t="shared" si="104"/>
        <v xml:space="preserve">N607SR  </v>
      </c>
      <c r="BC1294">
        <v>1</v>
      </c>
      <c r="BE1294">
        <v>0</v>
      </c>
      <c r="BF1294">
        <v>0</v>
      </c>
      <c r="BG1294">
        <v>0</v>
      </c>
      <c r="BH1294">
        <v>2575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 t="shared" si="109"/>
        <v>06:15:55.656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6</v>
      </c>
      <c r="CP1294" t="s">
        <v>119</v>
      </c>
      <c r="CQ1294">
        <v>457</v>
      </c>
      <c r="CR1294">
        <v>0</v>
      </c>
      <c r="CW1294">
        <v>15516038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 t="shared" si="108"/>
        <v>08/29/2020 06:15:52.451</v>
      </c>
      <c r="C1295" t="str">
        <f t="shared" si="102"/>
        <v>FFDFD3C0</v>
      </c>
      <c r="D1295" t="s">
        <v>121</v>
      </c>
      <c r="E1295">
        <v>11</v>
      </c>
      <c r="F1295">
        <v>1011</v>
      </c>
      <c r="G1295" t="s">
        <v>125</v>
      </c>
      <c r="J1295" t="s">
        <v>123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"06:15:55.648"</f>
        <v>06:15:55.648</v>
      </c>
      <c r="T1295" t="str">
        <f>"06:15:55.148"</f>
        <v>06:15:55.148</v>
      </c>
      <c r="U1295" t="str">
        <f t="shared" si="103"/>
        <v>A7E2E0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967</v>
      </c>
      <c r="AJ1295">
        <v>39.036698000000001</v>
      </c>
      <c r="AK1295" t="s">
        <v>968</v>
      </c>
      <c r="AL1295">
        <v>-87.535758000000001</v>
      </c>
      <c r="AM1295">
        <v>100</v>
      </c>
      <c r="AN1295">
        <v>2800</v>
      </c>
      <c r="AO1295" t="s">
        <v>118</v>
      </c>
      <c r="AP1295">
        <v>-97</v>
      </c>
      <c r="AQ1295">
        <v>-128</v>
      </c>
      <c r="AR1295">
        <v>64</v>
      </c>
      <c r="AZ1295">
        <v>4552</v>
      </c>
      <c r="BA1295">
        <v>1</v>
      </c>
      <c r="BB1295" t="str">
        <f t="shared" si="104"/>
        <v xml:space="preserve">N607SR  </v>
      </c>
      <c r="BC1295">
        <v>1</v>
      </c>
      <c r="BE1295">
        <v>0</v>
      </c>
      <c r="BF1295">
        <v>0</v>
      </c>
      <c r="BG1295">
        <v>0</v>
      </c>
      <c r="BH1295">
        <v>2575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 t="shared" si="109"/>
        <v>06:15:55.656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6</v>
      </c>
      <c r="CP1295" t="s">
        <v>119</v>
      </c>
      <c r="CQ1295">
        <v>457</v>
      </c>
      <c r="CR1295">
        <v>0</v>
      </c>
      <c r="CW1295">
        <v>15516038</v>
      </c>
      <c r="CY1295">
        <v>1</v>
      </c>
      <c r="CZ1295">
        <v>0</v>
      </c>
      <c r="DA1295">
        <v>1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 t="shared" si="108"/>
        <v>08/29/2020 06:15:52.451</v>
      </c>
      <c r="C1296" t="str">
        <f t="shared" si="102"/>
        <v>FFDFD3C0</v>
      </c>
      <c r="D1296" t="s">
        <v>113</v>
      </c>
      <c r="E1296">
        <v>5</v>
      </c>
      <c r="H1296">
        <v>163</v>
      </c>
      <c r="I1296" t="s">
        <v>114</v>
      </c>
      <c r="J1296" t="s">
        <v>115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"06:15:55.648"</f>
        <v>06:15:55.648</v>
      </c>
      <c r="T1296" t="str">
        <f>"06:15:55.148"</f>
        <v>06:15:55.148</v>
      </c>
      <c r="U1296" t="str">
        <f t="shared" si="103"/>
        <v>A7E2E0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967</v>
      </c>
      <c r="AJ1296">
        <v>39.036698000000001</v>
      </c>
      <c r="AK1296" t="s">
        <v>968</v>
      </c>
      <c r="AL1296">
        <v>-87.535758000000001</v>
      </c>
      <c r="AM1296">
        <v>100</v>
      </c>
      <c r="AN1296">
        <v>2800</v>
      </c>
      <c r="AO1296" t="s">
        <v>118</v>
      </c>
      <c r="AP1296">
        <v>-97</v>
      </c>
      <c r="AQ1296">
        <v>-128</v>
      </c>
      <c r="AR1296">
        <v>64</v>
      </c>
      <c r="AZ1296">
        <v>4552</v>
      </c>
      <c r="BA1296">
        <v>1</v>
      </c>
      <c r="BB1296" t="str">
        <f t="shared" si="104"/>
        <v xml:space="preserve">N607SR  </v>
      </c>
      <c r="BC1296">
        <v>1</v>
      </c>
      <c r="BE1296">
        <v>0</v>
      </c>
      <c r="BF1296">
        <v>0</v>
      </c>
      <c r="BG1296">
        <v>0</v>
      </c>
      <c r="BH1296">
        <v>2575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 t="shared" si="109"/>
        <v>06:15:55.656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6</v>
      </c>
      <c r="CP1296" t="s">
        <v>119</v>
      </c>
      <c r="CQ1296">
        <v>457</v>
      </c>
      <c r="CR1296">
        <v>0</v>
      </c>
      <c r="CW1296">
        <v>15516038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 t="shared" si="108"/>
        <v>08/29/2020 06:15:52.451</v>
      </c>
      <c r="C1297" t="str">
        <f t="shared" si="102"/>
        <v>FFDFD3C0</v>
      </c>
      <c r="D1297" t="s">
        <v>128</v>
      </c>
      <c r="E1297">
        <v>5</v>
      </c>
      <c r="H1297">
        <v>241</v>
      </c>
      <c r="I1297" t="s">
        <v>129</v>
      </c>
      <c r="J1297" t="s">
        <v>130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"06:15:55.648"</f>
        <v>06:15:55.648</v>
      </c>
      <c r="T1297" t="str">
        <f>"06:15:55.148"</f>
        <v>06:15:55.148</v>
      </c>
      <c r="U1297" t="str">
        <f t="shared" si="103"/>
        <v>A7E2E0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967</v>
      </c>
      <c r="AJ1297">
        <v>39.036698000000001</v>
      </c>
      <c r="AK1297" t="s">
        <v>968</v>
      </c>
      <c r="AL1297">
        <v>-87.535758000000001</v>
      </c>
      <c r="AM1297">
        <v>100</v>
      </c>
      <c r="AN1297">
        <v>2800</v>
      </c>
      <c r="AO1297" t="s">
        <v>118</v>
      </c>
      <c r="AP1297">
        <v>-97</v>
      </c>
      <c r="AQ1297">
        <v>-128</v>
      </c>
      <c r="AR1297">
        <v>64</v>
      </c>
      <c r="AZ1297">
        <v>4552</v>
      </c>
      <c r="BA1297">
        <v>1</v>
      </c>
      <c r="BB1297" t="str">
        <f t="shared" si="104"/>
        <v xml:space="preserve">N607SR  </v>
      </c>
      <c r="BC1297">
        <v>1</v>
      </c>
      <c r="BE1297">
        <v>0</v>
      </c>
      <c r="BF1297">
        <v>0</v>
      </c>
      <c r="BG1297">
        <v>0</v>
      </c>
      <c r="BH1297">
        <v>2575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 t="shared" si="109"/>
        <v>06:15:55.656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6</v>
      </c>
      <c r="CP1297" t="s">
        <v>119</v>
      </c>
      <c r="CQ1297">
        <v>457</v>
      </c>
      <c r="CR1297">
        <v>0</v>
      </c>
      <c r="CW1297">
        <v>15516038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 t="shared" si="108"/>
        <v>08/29/2020 06:15:52.451</v>
      </c>
      <c r="C1298" t="str">
        <f t="shared" si="102"/>
        <v>FFDFD3C0</v>
      </c>
      <c r="D1298" t="s">
        <v>939</v>
      </c>
      <c r="E1298">
        <v>10</v>
      </c>
      <c r="H1298">
        <v>79</v>
      </c>
      <c r="I1298" t="s">
        <v>940</v>
      </c>
      <c r="J1298" t="s">
        <v>130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"06:15:55.656"</f>
        <v>06:15:55.656</v>
      </c>
      <c r="T1298" t="str">
        <f>"06:15:55.156"</f>
        <v>06:15:55.156</v>
      </c>
      <c r="U1298" t="str">
        <f t="shared" si="103"/>
        <v>A7E2E0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967</v>
      </c>
      <c r="AJ1298">
        <v>39.036698000000001</v>
      </c>
      <c r="AK1298" t="s">
        <v>968</v>
      </c>
      <c r="AL1298">
        <v>-87.535758000000001</v>
      </c>
      <c r="AM1298">
        <v>100</v>
      </c>
      <c r="AN1298">
        <v>2800</v>
      </c>
      <c r="AO1298" t="s">
        <v>118</v>
      </c>
      <c r="AP1298">
        <v>-97</v>
      </c>
      <c r="AQ1298">
        <v>-128</v>
      </c>
      <c r="AR1298">
        <v>64</v>
      </c>
      <c r="AZ1298">
        <v>4552</v>
      </c>
      <c r="BA1298">
        <v>1</v>
      </c>
      <c r="BB1298" t="str">
        <f t="shared" si="104"/>
        <v xml:space="preserve">N607SR  </v>
      </c>
      <c r="BC1298">
        <v>1</v>
      </c>
      <c r="BE1298">
        <v>0</v>
      </c>
      <c r="BF1298">
        <v>0</v>
      </c>
      <c r="BG1298">
        <v>0</v>
      </c>
      <c r="BH1298">
        <v>2575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 t="shared" si="109"/>
        <v>06:15:55.656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5</v>
      </c>
      <c r="CP1298" t="s">
        <v>119</v>
      </c>
      <c r="CQ1298">
        <v>465</v>
      </c>
      <c r="CR1298">
        <v>0</v>
      </c>
      <c r="CW1298">
        <v>4720026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"08/29/2020 06:15:53.613"</f>
        <v>08/29/2020 06:15:53.613</v>
      </c>
      <c r="C1299" t="str">
        <f t="shared" si="102"/>
        <v>FFDFD3C0</v>
      </c>
      <c r="D1299" t="s">
        <v>121</v>
      </c>
      <c r="E1299">
        <v>10</v>
      </c>
      <c r="F1299">
        <v>1010</v>
      </c>
      <c r="G1299" t="s">
        <v>114</v>
      </c>
      <c r="J1299" t="s">
        <v>123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"06:15:56.820"</f>
        <v>06:15:56.820</v>
      </c>
      <c r="T1299" t="str">
        <f>"06:15:56.320"</f>
        <v>06:15:56.320</v>
      </c>
      <c r="U1299" t="str">
        <f t="shared" si="103"/>
        <v>A7E2E0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969</v>
      </c>
      <c r="AJ1299">
        <v>39.036011999999999</v>
      </c>
      <c r="AK1299" t="s">
        <v>970</v>
      </c>
      <c r="AL1299">
        <v>-87.536445000000001</v>
      </c>
      <c r="AM1299">
        <v>100</v>
      </c>
      <c r="AN1299">
        <v>2800</v>
      </c>
      <c r="AO1299" t="s">
        <v>118</v>
      </c>
      <c r="AP1299">
        <v>-97</v>
      </c>
      <c r="AQ1299">
        <v>-128</v>
      </c>
      <c r="AR1299">
        <v>64</v>
      </c>
      <c r="AZ1299">
        <v>4552</v>
      </c>
      <c r="BA1299">
        <v>1</v>
      </c>
      <c r="BB1299" t="str">
        <f t="shared" si="104"/>
        <v xml:space="preserve">N607SR  </v>
      </c>
      <c r="BC1299">
        <v>1</v>
      </c>
      <c r="BE1299">
        <v>0</v>
      </c>
      <c r="BF1299">
        <v>0</v>
      </c>
      <c r="BG1299">
        <v>0</v>
      </c>
      <c r="BH1299">
        <v>2575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"06:15:56.821"</f>
        <v>06:15:56.821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6</v>
      </c>
      <c r="CP1299" t="s">
        <v>119</v>
      </c>
      <c r="CQ1299">
        <v>457</v>
      </c>
      <c r="CR1299">
        <v>0</v>
      </c>
      <c r="CW1299">
        <v>15516071</v>
      </c>
      <c r="CY1299">
        <v>1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"08/29/2020 06:15:53.613"</f>
        <v>08/29/2020 06:15:53.613</v>
      </c>
      <c r="C1300" t="str">
        <f t="shared" si="102"/>
        <v>FFDFD3C0</v>
      </c>
      <c r="D1300" t="s">
        <v>121</v>
      </c>
      <c r="E1300">
        <v>13</v>
      </c>
      <c r="F1300">
        <v>1013</v>
      </c>
      <c r="G1300" t="s">
        <v>122</v>
      </c>
      <c r="J1300" t="s">
        <v>123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"06:15:56.820"</f>
        <v>06:15:56.820</v>
      </c>
      <c r="T1300" t="str">
        <f>"06:15:56.320"</f>
        <v>06:15:56.320</v>
      </c>
      <c r="U1300" t="str">
        <f t="shared" si="103"/>
        <v>A7E2E0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969</v>
      </c>
      <c r="AJ1300">
        <v>39.036011999999999</v>
      </c>
      <c r="AK1300" t="s">
        <v>970</v>
      </c>
      <c r="AL1300">
        <v>-87.536445000000001</v>
      </c>
      <c r="AM1300">
        <v>100</v>
      </c>
      <c r="AN1300">
        <v>2800</v>
      </c>
      <c r="AO1300" t="s">
        <v>118</v>
      </c>
      <c r="AP1300">
        <v>-97</v>
      </c>
      <c r="AQ1300">
        <v>-128</v>
      </c>
      <c r="AR1300">
        <v>64</v>
      </c>
      <c r="AZ1300">
        <v>4552</v>
      </c>
      <c r="BA1300">
        <v>1</v>
      </c>
      <c r="BB1300" t="str">
        <f t="shared" si="104"/>
        <v xml:space="preserve">N607SR  </v>
      </c>
      <c r="BC1300">
        <v>1</v>
      </c>
      <c r="BE1300">
        <v>0</v>
      </c>
      <c r="BF1300">
        <v>0</v>
      </c>
      <c r="BG1300">
        <v>0</v>
      </c>
      <c r="BH1300">
        <v>2575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"06:15:56.821"</f>
        <v>06:15:56.821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6</v>
      </c>
      <c r="CP1300" t="s">
        <v>119</v>
      </c>
      <c r="CQ1300">
        <v>457</v>
      </c>
      <c r="CR1300">
        <v>0</v>
      </c>
      <c r="CW1300">
        <v>15516071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"08/29/2020 06:15:53.613"</f>
        <v>08/29/2020 06:15:53.613</v>
      </c>
      <c r="C1301" t="str">
        <f t="shared" si="102"/>
        <v>FFDFD3C0</v>
      </c>
      <c r="D1301" t="s">
        <v>121</v>
      </c>
      <c r="E1301">
        <v>11</v>
      </c>
      <c r="F1301">
        <v>1011</v>
      </c>
      <c r="G1301" t="s">
        <v>125</v>
      </c>
      <c r="J1301" t="s">
        <v>123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"06:15:56.820"</f>
        <v>06:15:56.820</v>
      </c>
      <c r="T1301" t="str">
        <f>"06:15:56.320"</f>
        <v>06:15:56.320</v>
      </c>
      <c r="U1301" t="str">
        <f t="shared" si="103"/>
        <v>A7E2E0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969</v>
      </c>
      <c r="AJ1301">
        <v>39.036011999999999</v>
      </c>
      <c r="AK1301" t="s">
        <v>970</v>
      </c>
      <c r="AL1301">
        <v>-87.536445000000001</v>
      </c>
      <c r="AM1301">
        <v>100</v>
      </c>
      <c r="AN1301">
        <v>2800</v>
      </c>
      <c r="AO1301" t="s">
        <v>118</v>
      </c>
      <c r="AP1301">
        <v>-97</v>
      </c>
      <c r="AQ1301">
        <v>-128</v>
      </c>
      <c r="AR1301">
        <v>64</v>
      </c>
      <c r="AZ1301">
        <v>4552</v>
      </c>
      <c r="BA1301">
        <v>1</v>
      </c>
      <c r="BB1301" t="str">
        <f t="shared" si="104"/>
        <v xml:space="preserve">N607SR  </v>
      </c>
      <c r="BC1301">
        <v>1</v>
      </c>
      <c r="BE1301">
        <v>0</v>
      </c>
      <c r="BF1301">
        <v>0</v>
      </c>
      <c r="BG1301">
        <v>0</v>
      </c>
      <c r="BH1301">
        <v>2575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"06:15:56.821"</f>
        <v>06:15:56.821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6</v>
      </c>
      <c r="CP1301" t="s">
        <v>119</v>
      </c>
      <c r="CQ1301">
        <v>457</v>
      </c>
      <c r="CR1301">
        <v>0</v>
      </c>
      <c r="CW1301">
        <v>15516071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"08/29/2020 06:15:53.613"</f>
        <v>08/29/2020 06:15:53.613</v>
      </c>
      <c r="C1302" t="str">
        <f t="shared" si="102"/>
        <v>FFDFD3C0</v>
      </c>
      <c r="D1302" t="s">
        <v>113</v>
      </c>
      <c r="E1302">
        <v>5</v>
      </c>
      <c r="H1302">
        <v>163</v>
      </c>
      <c r="I1302" t="s">
        <v>114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"06:15:56.820"</f>
        <v>06:15:56.820</v>
      </c>
      <c r="T1302" t="str">
        <f>"06:15:56.320"</f>
        <v>06:15:56.320</v>
      </c>
      <c r="U1302" t="str">
        <f t="shared" si="103"/>
        <v>A7E2E0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969</v>
      </c>
      <c r="AJ1302">
        <v>39.036011999999999</v>
      </c>
      <c r="AK1302" t="s">
        <v>970</v>
      </c>
      <c r="AL1302">
        <v>-87.536445000000001</v>
      </c>
      <c r="AM1302">
        <v>100</v>
      </c>
      <c r="AN1302">
        <v>2800</v>
      </c>
      <c r="AO1302" t="s">
        <v>118</v>
      </c>
      <c r="AP1302">
        <v>-97</v>
      </c>
      <c r="AQ1302">
        <v>-128</v>
      </c>
      <c r="AR1302">
        <v>64</v>
      </c>
      <c r="AZ1302">
        <v>4552</v>
      </c>
      <c r="BA1302">
        <v>1</v>
      </c>
      <c r="BB1302" t="str">
        <f t="shared" si="104"/>
        <v xml:space="preserve">N607SR  </v>
      </c>
      <c r="BC1302">
        <v>1</v>
      </c>
      <c r="BE1302">
        <v>0</v>
      </c>
      <c r="BF1302">
        <v>0</v>
      </c>
      <c r="BG1302">
        <v>0</v>
      </c>
      <c r="BH1302">
        <v>2575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"06:15:56.821"</f>
        <v>06:15:56.821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6</v>
      </c>
      <c r="CP1302" t="s">
        <v>119</v>
      </c>
      <c r="CQ1302">
        <v>457</v>
      </c>
      <c r="CR1302">
        <v>0</v>
      </c>
      <c r="CW1302">
        <v>15516071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"08/29/2020 06:15:53.613"</f>
        <v>08/29/2020 06:15:53.613</v>
      </c>
      <c r="C1303" t="str">
        <f t="shared" si="102"/>
        <v>FFDFD3C0</v>
      </c>
      <c r="D1303" t="s">
        <v>128</v>
      </c>
      <c r="E1303">
        <v>5</v>
      </c>
      <c r="H1303">
        <v>241</v>
      </c>
      <c r="I1303" t="s">
        <v>129</v>
      </c>
      <c r="J1303" t="s">
        <v>130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"06:15:56.820"</f>
        <v>06:15:56.820</v>
      </c>
      <c r="T1303" t="str">
        <f>"06:15:56.320"</f>
        <v>06:15:56.320</v>
      </c>
      <c r="U1303" t="str">
        <f t="shared" si="103"/>
        <v>A7E2E0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969</v>
      </c>
      <c r="AJ1303">
        <v>39.036011999999999</v>
      </c>
      <c r="AK1303" t="s">
        <v>970</v>
      </c>
      <c r="AL1303">
        <v>-87.536445000000001</v>
      </c>
      <c r="AM1303">
        <v>100</v>
      </c>
      <c r="AN1303">
        <v>2800</v>
      </c>
      <c r="AO1303" t="s">
        <v>118</v>
      </c>
      <c r="AP1303">
        <v>-97</v>
      </c>
      <c r="AQ1303">
        <v>-128</v>
      </c>
      <c r="AR1303">
        <v>64</v>
      </c>
      <c r="AZ1303">
        <v>4552</v>
      </c>
      <c r="BA1303">
        <v>1</v>
      </c>
      <c r="BB1303" t="str">
        <f t="shared" si="104"/>
        <v xml:space="preserve">N607SR  </v>
      </c>
      <c r="BC1303">
        <v>1</v>
      </c>
      <c r="BE1303">
        <v>0</v>
      </c>
      <c r="BF1303">
        <v>0</v>
      </c>
      <c r="BG1303">
        <v>0</v>
      </c>
      <c r="BH1303">
        <v>2575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"06:15:56.821"</f>
        <v>06:15:56.821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6</v>
      </c>
      <c r="CP1303" t="s">
        <v>119</v>
      </c>
      <c r="CQ1303">
        <v>457</v>
      </c>
      <c r="CR1303">
        <v>0</v>
      </c>
      <c r="CW1303">
        <v>15516071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"08/29/2020 06:15:54.540"</f>
        <v>08/29/2020 06:15:54.540</v>
      </c>
      <c r="C1304" t="str">
        <f t="shared" si="102"/>
        <v>FFDFD3C0</v>
      </c>
      <c r="D1304" t="s">
        <v>113</v>
      </c>
      <c r="E1304">
        <v>5</v>
      </c>
      <c r="H1304">
        <v>163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"06:15:57.758"</f>
        <v>06:15:57.758</v>
      </c>
      <c r="T1304" t="str">
        <f>"06:15:57.258"</f>
        <v>06:15:57.258</v>
      </c>
      <c r="U1304" t="str">
        <f t="shared" si="103"/>
        <v>A7E2E0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971</v>
      </c>
      <c r="AJ1304">
        <v>39.035474999999998</v>
      </c>
      <c r="AK1304" t="s">
        <v>972</v>
      </c>
      <c r="AL1304">
        <v>-87.536980999999997</v>
      </c>
      <c r="AM1304">
        <v>100</v>
      </c>
      <c r="AN1304">
        <v>2800</v>
      </c>
      <c r="AO1304" t="s">
        <v>118</v>
      </c>
      <c r="AP1304">
        <v>-97</v>
      </c>
      <c r="AQ1304">
        <v>-128</v>
      </c>
      <c r="AR1304">
        <v>64</v>
      </c>
      <c r="AZ1304">
        <v>4552</v>
      </c>
      <c r="BA1304">
        <v>1</v>
      </c>
      <c r="BB1304" t="str">
        <f t="shared" si="104"/>
        <v xml:space="preserve">N607SR  </v>
      </c>
      <c r="BC1304">
        <v>1</v>
      </c>
      <c r="BE1304">
        <v>0</v>
      </c>
      <c r="BF1304">
        <v>0</v>
      </c>
      <c r="BG1304">
        <v>0</v>
      </c>
      <c r="BH1304">
        <v>2575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"06:15:57.763"</f>
        <v>06:15:57.763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5</v>
      </c>
      <c r="CP1304" t="s">
        <v>119</v>
      </c>
      <c r="CQ1304">
        <v>465</v>
      </c>
      <c r="CR1304">
        <v>0</v>
      </c>
      <c r="CW1304">
        <v>4720089</v>
      </c>
      <c r="CY1304">
        <v>1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"08/29/2020 06:15:54.540"</f>
        <v>08/29/2020 06:15:54.540</v>
      </c>
      <c r="C1305" t="str">
        <f t="shared" si="102"/>
        <v>FFDFD3C0</v>
      </c>
      <c r="D1305" t="s">
        <v>939</v>
      </c>
      <c r="E1305">
        <v>10</v>
      </c>
      <c r="H1305">
        <v>79</v>
      </c>
      <c r="I1305" t="s">
        <v>940</v>
      </c>
      <c r="J1305" t="s">
        <v>130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"06:15:57.758"</f>
        <v>06:15:57.758</v>
      </c>
      <c r="T1305" t="str">
        <f>"06:15:57.258"</f>
        <v>06:15:57.258</v>
      </c>
      <c r="U1305" t="str">
        <f t="shared" si="103"/>
        <v>A7E2E0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971</v>
      </c>
      <c r="AJ1305">
        <v>39.035474999999998</v>
      </c>
      <c r="AK1305" t="s">
        <v>972</v>
      </c>
      <c r="AL1305">
        <v>-87.536980999999997</v>
      </c>
      <c r="AM1305">
        <v>100</v>
      </c>
      <c r="AN1305">
        <v>2800</v>
      </c>
      <c r="AO1305" t="s">
        <v>118</v>
      </c>
      <c r="AP1305">
        <v>-97</v>
      </c>
      <c r="AQ1305">
        <v>-128</v>
      </c>
      <c r="AR1305">
        <v>64</v>
      </c>
      <c r="AZ1305">
        <v>4552</v>
      </c>
      <c r="BA1305">
        <v>1</v>
      </c>
      <c r="BB1305" t="str">
        <f t="shared" si="104"/>
        <v xml:space="preserve">N607SR  </v>
      </c>
      <c r="BC1305">
        <v>1</v>
      </c>
      <c r="BE1305">
        <v>0</v>
      </c>
      <c r="BF1305">
        <v>0</v>
      </c>
      <c r="BG1305">
        <v>0</v>
      </c>
      <c r="BH1305">
        <v>2575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"06:15:57.763"</f>
        <v>06:15:57.763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5</v>
      </c>
      <c r="CP1305" t="s">
        <v>119</v>
      </c>
      <c r="CQ1305">
        <v>465</v>
      </c>
      <c r="CR1305">
        <v>0</v>
      </c>
      <c r="CW1305">
        <v>4720089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"08/29/2020 06:15:54.540"</f>
        <v>08/29/2020 06:15:54.540</v>
      </c>
      <c r="C1306" t="str">
        <f t="shared" si="102"/>
        <v>FFDFD3C0</v>
      </c>
      <c r="D1306" t="s">
        <v>128</v>
      </c>
      <c r="E1306">
        <v>5</v>
      </c>
      <c r="H1306">
        <v>241</v>
      </c>
      <c r="I1306" t="s">
        <v>129</v>
      </c>
      <c r="J1306" t="s">
        <v>130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"06:15:57.758"</f>
        <v>06:15:57.758</v>
      </c>
      <c r="T1306" t="str">
        <f>"06:15:57.258"</f>
        <v>06:15:57.258</v>
      </c>
      <c r="U1306" t="str">
        <f t="shared" si="103"/>
        <v>A7E2E0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971</v>
      </c>
      <c r="AJ1306">
        <v>39.035474999999998</v>
      </c>
      <c r="AK1306" t="s">
        <v>972</v>
      </c>
      <c r="AL1306">
        <v>-87.536980999999997</v>
      </c>
      <c r="AM1306">
        <v>100</v>
      </c>
      <c r="AN1306">
        <v>2800</v>
      </c>
      <c r="AO1306" t="s">
        <v>118</v>
      </c>
      <c r="AP1306">
        <v>-97</v>
      </c>
      <c r="AQ1306">
        <v>-128</v>
      </c>
      <c r="AR1306">
        <v>64</v>
      </c>
      <c r="AZ1306">
        <v>4552</v>
      </c>
      <c r="BA1306">
        <v>1</v>
      </c>
      <c r="BB1306" t="str">
        <f t="shared" si="104"/>
        <v xml:space="preserve">N607SR  </v>
      </c>
      <c r="BC1306">
        <v>1</v>
      </c>
      <c r="BE1306">
        <v>0</v>
      </c>
      <c r="BF1306">
        <v>0</v>
      </c>
      <c r="BG1306">
        <v>0</v>
      </c>
      <c r="BH1306">
        <v>2575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"06:15:57.763"</f>
        <v>06:15:57.763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5</v>
      </c>
      <c r="CP1306" t="s">
        <v>119</v>
      </c>
      <c r="CQ1306">
        <v>465</v>
      </c>
      <c r="CR1306">
        <v>0</v>
      </c>
      <c r="CW1306">
        <v>4720089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"08/29/2020 06:15:54.540"</f>
        <v>08/29/2020 06:15:54.540</v>
      </c>
      <c r="C1307" t="str">
        <f t="shared" si="102"/>
        <v>FFDFD3C0</v>
      </c>
      <c r="D1307" t="s">
        <v>121</v>
      </c>
      <c r="E1307">
        <v>10</v>
      </c>
      <c r="F1307">
        <v>1010</v>
      </c>
      <c r="G1307" t="s">
        <v>114</v>
      </c>
      <c r="J1307" t="s">
        <v>123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"06:15:57.758"</f>
        <v>06:15:57.758</v>
      </c>
      <c r="T1307" t="str">
        <f>"06:15:57.258"</f>
        <v>06:15:57.258</v>
      </c>
      <c r="U1307" t="str">
        <f t="shared" si="103"/>
        <v>A7E2E0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971</v>
      </c>
      <c r="AJ1307">
        <v>39.035474999999998</v>
      </c>
      <c r="AK1307" t="s">
        <v>972</v>
      </c>
      <c r="AL1307">
        <v>-87.536980999999997</v>
      </c>
      <c r="AM1307">
        <v>100</v>
      </c>
      <c r="AN1307">
        <v>2800</v>
      </c>
      <c r="AO1307" t="s">
        <v>118</v>
      </c>
      <c r="AP1307">
        <v>-97</v>
      </c>
      <c r="AQ1307">
        <v>-128</v>
      </c>
      <c r="AR1307">
        <v>64</v>
      </c>
      <c r="AZ1307">
        <v>4552</v>
      </c>
      <c r="BA1307">
        <v>1</v>
      </c>
      <c r="BB1307" t="str">
        <f t="shared" si="104"/>
        <v xml:space="preserve">N607SR  </v>
      </c>
      <c r="BC1307">
        <v>1</v>
      </c>
      <c r="BE1307">
        <v>0</v>
      </c>
      <c r="BF1307">
        <v>0</v>
      </c>
      <c r="BG1307">
        <v>0</v>
      </c>
      <c r="BH1307">
        <v>2575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"06:15:57.763"</f>
        <v>06:15:57.763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5</v>
      </c>
      <c r="CP1307" t="s">
        <v>119</v>
      </c>
      <c r="CQ1307">
        <v>465</v>
      </c>
      <c r="CR1307">
        <v>0</v>
      </c>
      <c r="CW1307">
        <v>4720089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"08/29/2020 06:15:54.540"</f>
        <v>08/29/2020 06:15:54.540</v>
      </c>
      <c r="C1308" t="str">
        <f t="shared" si="102"/>
        <v>FFDFD3C0</v>
      </c>
      <c r="D1308" t="s">
        <v>121</v>
      </c>
      <c r="E1308">
        <v>13</v>
      </c>
      <c r="F1308">
        <v>1013</v>
      </c>
      <c r="G1308" t="s">
        <v>122</v>
      </c>
      <c r="J1308" t="s">
        <v>123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"06:15:57.758"</f>
        <v>06:15:57.758</v>
      </c>
      <c r="T1308" t="str">
        <f>"06:15:57.258"</f>
        <v>06:15:57.258</v>
      </c>
      <c r="U1308" t="str">
        <f t="shared" si="103"/>
        <v>A7E2E0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971</v>
      </c>
      <c r="AJ1308">
        <v>39.035474999999998</v>
      </c>
      <c r="AK1308" t="s">
        <v>972</v>
      </c>
      <c r="AL1308">
        <v>-87.536980999999997</v>
      </c>
      <c r="AM1308">
        <v>100</v>
      </c>
      <c r="AN1308">
        <v>2800</v>
      </c>
      <c r="AO1308" t="s">
        <v>118</v>
      </c>
      <c r="AP1308">
        <v>-97</v>
      </c>
      <c r="AQ1308">
        <v>-128</v>
      </c>
      <c r="AR1308">
        <v>64</v>
      </c>
      <c r="AZ1308">
        <v>4552</v>
      </c>
      <c r="BA1308">
        <v>1</v>
      </c>
      <c r="BB1308" t="str">
        <f t="shared" si="104"/>
        <v xml:space="preserve">N607SR  </v>
      </c>
      <c r="BC1308">
        <v>1</v>
      </c>
      <c r="BE1308">
        <v>0</v>
      </c>
      <c r="BF1308">
        <v>0</v>
      </c>
      <c r="BG1308">
        <v>0</v>
      </c>
      <c r="BH1308">
        <v>2575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"06:15:57.763"</f>
        <v>06:15:57.763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5</v>
      </c>
      <c r="CP1308" t="s">
        <v>119</v>
      </c>
      <c r="CQ1308">
        <v>465</v>
      </c>
      <c r="CR1308">
        <v>0</v>
      </c>
      <c r="CW1308">
        <v>4720089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ref="A1309:A1314" si="110">"08/29/2020 06:15:55.594"</f>
        <v>08/29/2020 06:15:55.594</v>
      </c>
      <c r="C1309" t="str">
        <f t="shared" si="102"/>
        <v>FFDFD3C0</v>
      </c>
      <c r="D1309" t="s">
        <v>121</v>
      </c>
      <c r="E1309">
        <v>13</v>
      </c>
      <c r="F1309">
        <v>1013</v>
      </c>
      <c r="G1309" t="s">
        <v>122</v>
      </c>
      <c r="J1309" t="s">
        <v>123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ref="S1309:S1314" si="111">"06:15:58.844"</f>
        <v>06:15:58.844</v>
      </c>
      <c r="T1309" t="str">
        <f t="shared" ref="T1309:T1314" si="112">"06:15:58.344"</f>
        <v>06:15:58.344</v>
      </c>
      <c r="U1309" t="str">
        <f t="shared" si="103"/>
        <v>A7E2E0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973</v>
      </c>
      <c r="AJ1309">
        <v>39.034789000000004</v>
      </c>
      <c r="AK1309" t="s">
        <v>974</v>
      </c>
      <c r="AL1309">
        <v>-87.537603000000004</v>
      </c>
      <c r="AM1309">
        <v>100</v>
      </c>
      <c r="AN1309">
        <v>2800</v>
      </c>
      <c r="AO1309" t="s">
        <v>118</v>
      </c>
      <c r="AP1309">
        <v>-96</v>
      </c>
      <c r="AQ1309">
        <v>-127</v>
      </c>
      <c r="AR1309">
        <v>64</v>
      </c>
      <c r="AZ1309">
        <v>4552</v>
      </c>
      <c r="BA1309">
        <v>1</v>
      </c>
      <c r="BB1309" t="str">
        <f t="shared" si="104"/>
        <v xml:space="preserve">N607SR  </v>
      </c>
      <c r="BC1309">
        <v>1</v>
      </c>
      <c r="BE1309">
        <v>0</v>
      </c>
      <c r="BF1309">
        <v>0</v>
      </c>
      <c r="BG1309">
        <v>0</v>
      </c>
      <c r="BH1309">
        <v>2575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 t="shared" ref="BW1309:BW1314" si="113">"06:15:58.846"</f>
        <v>06:15:58.846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6</v>
      </c>
      <c r="CP1309" t="s">
        <v>119</v>
      </c>
      <c r="CQ1309">
        <v>457</v>
      </c>
      <c r="CR1309">
        <v>0</v>
      </c>
      <c r="CW1309">
        <v>15516132</v>
      </c>
      <c r="CY1309">
        <v>1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si="110"/>
        <v>08/29/2020 06:15:55.594</v>
      </c>
      <c r="C1310" t="str">
        <f t="shared" si="102"/>
        <v>FFDFD3C0</v>
      </c>
      <c r="D1310" t="s">
        <v>939</v>
      </c>
      <c r="E1310">
        <v>10</v>
      </c>
      <c r="H1310">
        <v>79</v>
      </c>
      <c r="I1310" t="s">
        <v>940</v>
      </c>
      <c r="J1310" t="s">
        <v>130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111"/>
        <v>06:15:58.844</v>
      </c>
      <c r="T1310" t="str">
        <f t="shared" si="112"/>
        <v>06:15:58.344</v>
      </c>
      <c r="U1310" t="str">
        <f t="shared" si="103"/>
        <v>A7E2E0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973</v>
      </c>
      <c r="AJ1310">
        <v>39.034789000000004</v>
      </c>
      <c r="AK1310" t="s">
        <v>974</v>
      </c>
      <c r="AL1310">
        <v>-87.537603000000004</v>
      </c>
      <c r="AM1310">
        <v>100</v>
      </c>
      <c r="AN1310">
        <v>2800</v>
      </c>
      <c r="AO1310" t="s">
        <v>118</v>
      </c>
      <c r="AP1310">
        <v>-96</v>
      </c>
      <c r="AQ1310">
        <v>-127</v>
      </c>
      <c r="AR1310">
        <v>64</v>
      </c>
      <c r="AZ1310">
        <v>4552</v>
      </c>
      <c r="BA1310">
        <v>1</v>
      </c>
      <c r="BB1310" t="str">
        <f t="shared" si="104"/>
        <v xml:space="preserve">N607SR  </v>
      </c>
      <c r="BC1310">
        <v>1</v>
      </c>
      <c r="BE1310">
        <v>0</v>
      </c>
      <c r="BF1310">
        <v>0</v>
      </c>
      <c r="BG1310">
        <v>0</v>
      </c>
      <c r="BH1310">
        <v>2575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 t="shared" si="113"/>
        <v>06:15:58.846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6</v>
      </c>
      <c r="CP1310" t="s">
        <v>119</v>
      </c>
      <c r="CQ1310">
        <v>465</v>
      </c>
      <c r="CR1310">
        <v>0</v>
      </c>
      <c r="CW1310">
        <v>4720123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110"/>
        <v>08/29/2020 06:15:55.594</v>
      </c>
      <c r="C1311" t="str">
        <f t="shared" si="102"/>
        <v>FFDFD3C0</v>
      </c>
      <c r="D1311" t="s">
        <v>113</v>
      </c>
      <c r="E1311">
        <v>5</v>
      </c>
      <c r="H1311">
        <v>163</v>
      </c>
      <c r="I1311" t="s">
        <v>114</v>
      </c>
      <c r="J1311" t="s">
        <v>115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111"/>
        <v>06:15:58.844</v>
      </c>
      <c r="T1311" t="str">
        <f t="shared" si="112"/>
        <v>06:15:58.344</v>
      </c>
      <c r="U1311" t="str">
        <f t="shared" si="103"/>
        <v>A7E2E0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973</v>
      </c>
      <c r="AJ1311">
        <v>39.034789000000004</v>
      </c>
      <c r="AK1311" t="s">
        <v>974</v>
      </c>
      <c r="AL1311">
        <v>-87.537603000000004</v>
      </c>
      <c r="AM1311">
        <v>100</v>
      </c>
      <c r="AN1311">
        <v>2800</v>
      </c>
      <c r="AO1311" t="s">
        <v>118</v>
      </c>
      <c r="AP1311">
        <v>-96</v>
      </c>
      <c r="AQ1311">
        <v>-127</v>
      </c>
      <c r="AR1311">
        <v>64</v>
      </c>
      <c r="AZ1311">
        <v>4552</v>
      </c>
      <c r="BA1311">
        <v>1</v>
      </c>
      <c r="BB1311" t="str">
        <f t="shared" si="104"/>
        <v xml:space="preserve">N607SR  </v>
      </c>
      <c r="BC1311">
        <v>1</v>
      </c>
      <c r="BE1311">
        <v>0</v>
      </c>
      <c r="BF1311">
        <v>0</v>
      </c>
      <c r="BG1311">
        <v>0</v>
      </c>
      <c r="BH1311">
        <v>2575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 t="shared" si="113"/>
        <v>06:15:58.846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6</v>
      </c>
      <c r="CP1311" t="s">
        <v>119</v>
      </c>
      <c r="CQ1311">
        <v>457</v>
      </c>
      <c r="CR1311">
        <v>0</v>
      </c>
      <c r="CW1311">
        <v>15516132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110"/>
        <v>08/29/2020 06:15:55.594</v>
      </c>
      <c r="C1312" t="str">
        <f t="shared" si="102"/>
        <v>FFDFD3C0</v>
      </c>
      <c r="D1312" t="s">
        <v>128</v>
      </c>
      <c r="E1312">
        <v>5</v>
      </c>
      <c r="H1312">
        <v>241</v>
      </c>
      <c r="I1312" t="s">
        <v>129</v>
      </c>
      <c r="J1312" t="s">
        <v>130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111"/>
        <v>06:15:58.844</v>
      </c>
      <c r="T1312" t="str">
        <f t="shared" si="112"/>
        <v>06:15:58.344</v>
      </c>
      <c r="U1312" t="str">
        <f t="shared" si="103"/>
        <v>A7E2E0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973</v>
      </c>
      <c r="AJ1312">
        <v>39.034789000000004</v>
      </c>
      <c r="AK1312" t="s">
        <v>974</v>
      </c>
      <c r="AL1312">
        <v>-87.537603000000004</v>
      </c>
      <c r="AM1312">
        <v>100</v>
      </c>
      <c r="AN1312">
        <v>2800</v>
      </c>
      <c r="AO1312" t="s">
        <v>118</v>
      </c>
      <c r="AP1312">
        <v>-96</v>
      </c>
      <c r="AQ1312">
        <v>-127</v>
      </c>
      <c r="AR1312">
        <v>64</v>
      </c>
      <c r="AZ1312">
        <v>4552</v>
      </c>
      <c r="BA1312">
        <v>1</v>
      </c>
      <c r="BB1312" t="str">
        <f t="shared" si="104"/>
        <v xml:space="preserve">N607SR  </v>
      </c>
      <c r="BC1312">
        <v>1</v>
      </c>
      <c r="BE1312">
        <v>0</v>
      </c>
      <c r="BF1312">
        <v>0</v>
      </c>
      <c r="BG1312">
        <v>0</v>
      </c>
      <c r="BH1312">
        <v>2575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 t="shared" si="113"/>
        <v>06:15:58.846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6</v>
      </c>
      <c r="CP1312" t="s">
        <v>119</v>
      </c>
      <c r="CQ1312">
        <v>457</v>
      </c>
      <c r="CR1312">
        <v>0</v>
      </c>
      <c r="CW1312">
        <v>15516132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si="110"/>
        <v>08/29/2020 06:15:55.594</v>
      </c>
      <c r="C1313" t="str">
        <f t="shared" si="102"/>
        <v>FFDFD3C0</v>
      </c>
      <c r="D1313" t="s">
        <v>121</v>
      </c>
      <c r="E1313">
        <v>11</v>
      </c>
      <c r="F1313">
        <v>1011</v>
      </c>
      <c r="G1313" t="s">
        <v>125</v>
      </c>
      <c r="J1313" t="s">
        <v>123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111"/>
        <v>06:15:58.844</v>
      </c>
      <c r="T1313" t="str">
        <f t="shared" si="112"/>
        <v>06:15:58.344</v>
      </c>
      <c r="U1313" t="str">
        <f t="shared" si="103"/>
        <v>A7E2E0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973</v>
      </c>
      <c r="AJ1313">
        <v>39.034789000000004</v>
      </c>
      <c r="AK1313" t="s">
        <v>974</v>
      </c>
      <c r="AL1313">
        <v>-87.537603000000004</v>
      </c>
      <c r="AM1313">
        <v>100</v>
      </c>
      <c r="AN1313">
        <v>2800</v>
      </c>
      <c r="AO1313" t="s">
        <v>118</v>
      </c>
      <c r="AP1313">
        <v>-96</v>
      </c>
      <c r="AQ1313">
        <v>-127</v>
      </c>
      <c r="AR1313">
        <v>64</v>
      </c>
      <c r="AZ1313">
        <v>4552</v>
      </c>
      <c r="BA1313">
        <v>1</v>
      </c>
      <c r="BB1313" t="str">
        <f t="shared" si="104"/>
        <v xml:space="preserve">N607SR  </v>
      </c>
      <c r="BC1313">
        <v>1</v>
      </c>
      <c r="BE1313">
        <v>0</v>
      </c>
      <c r="BF1313">
        <v>0</v>
      </c>
      <c r="BG1313">
        <v>0</v>
      </c>
      <c r="BH1313">
        <v>2575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 t="shared" si="113"/>
        <v>06:15:58.846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6</v>
      </c>
      <c r="CP1313" t="s">
        <v>119</v>
      </c>
      <c r="CQ1313">
        <v>457</v>
      </c>
      <c r="CR1313">
        <v>0</v>
      </c>
      <c r="CW1313">
        <v>15516132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110"/>
        <v>08/29/2020 06:15:55.594</v>
      </c>
      <c r="C1314" t="str">
        <f t="shared" si="102"/>
        <v>FFDFD3C0</v>
      </c>
      <c r="D1314" t="s">
        <v>121</v>
      </c>
      <c r="E1314">
        <v>10</v>
      </c>
      <c r="F1314">
        <v>1010</v>
      </c>
      <c r="G1314" t="s">
        <v>114</v>
      </c>
      <c r="J1314" t="s">
        <v>123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111"/>
        <v>06:15:58.844</v>
      </c>
      <c r="T1314" t="str">
        <f t="shared" si="112"/>
        <v>06:15:58.344</v>
      </c>
      <c r="U1314" t="str">
        <f t="shared" si="103"/>
        <v>A7E2E0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973</v>
      </c>
      <c r="AJ1314">
        <v>39.034789000000004</v>
      </c>
      <c r="AK1314" t="s">
        <v>974</v>
      </c>
      <c r="AL1314">
        <v>-87.537603000000004</v>
      </c>
      <c r="AM1314">
        <v>100</v>
      </c>
      <c r="AN1314">
        <v>2800</v>
      </c>
      <c r="AO1314" t="s">
        <v>118</v>
      </c>
      <c r="AP1314">
        <v>-96</v>
      </c>
      <c r="AQ1314">
        <v>-127</v>
      </c>
      <c r="AR1314">
        <v>64</v>
      </c>
      <c r="AZ1314">
        <v>4552</v>
      </c>
      <c r="BA1314">
        <v>1</v>
      </c>
      <c r="BB1314" t="str">
        <f t="shared" si="104"/>
        <v xml:space="preserve">N607SR  </v>
      </c>
      <c r="BC1314">
        <v>1</v>
      </c>
      <c r="BE1314">
        <v>0</v>
      </c>
      <c r="BF1314">
        <v>0</v>
      </c>
      <c r="BG1314">
        <v>0</v>
      </c>
      <c r="BH1314">
        <v>2575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 t="shared" si="113"/>
        <v>06:15:58.846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6</v>
      </c>
      <c r="CP1314" t="s">
        <v>119</v>
      </c>
      <c r="CQ1314">
        <v>457</v>
      </c>
      <c r="CR1314">
        <v>0</v>
      </c>
      <c r="CW1314">
        <v>15516132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ref="A1315:A1320" si="114">"08/29/2020 06:15:56.468"</f>
        <v>08/29/2020 06:15:56.468</v>
      </c>
      <c r="C1315" t="str">
        <f t="shared" si="102"/>
        <v>FFDFD3C0</v>
      </c>
      <c r="D1315" t="s">
        <v>128</v>
      </c>
      <c r="E1315">
        <v>5</v>
      </c>
      <c r="H1315">
        <v>241</v>
      </c>
      <c r="I1315" t="s">
        <v>129</v>
      </c>
      <c r="J1315" t="s">
        <v>130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ref="S1315:S1320" si="115">"06:15:59.664"</f>
        <v>06:15:59.664</v>
      </c>
      <c r="U1315" t="str">
        <f t="shared" si="103"/>
        <v>A7E2E0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975</v>
      </c>
      <c r="AJ1315">
        <v>39.034337999999998</v>
      </c>
      <c r="AK1315" t="s">
        <v>976</v>
      </c>
      <c r="AL1315">
        <v>-87.538075000000006</v>
      </c>
      <c r="AM1315">
        <v>100</v>
      </c>
      <c r="AN1315">
        <v>2800</v>
      </c>
      <c r="AO1315" t="s">
        <v>118</v>
      </c>
      <c r="AP1315">
        <v>-96</v>
      </c>
      <c r="AQ1315">
        <v>-127</v>
      </c>
      <c r="AR1315">
        <v>64</v>
      </c>
      <c r="AZ1315">
        <v>4552</v>
      </c>
      <c r="BA1315">
        <v>1</v>
      </c>
      <c r="BB1315" t="str">
        <f t="shared" si="104"/>
        <v xml:space="preserve">N607SR  </v>
      </c>
      <c r="BC1315">
        <v>1</v>
      </c>
      <c r="BE1315">
        <v>0</v>
      </c>
      <c r="BF1315">
        <v>0</v>
      </c>
      <c r="BG1315">
        <v>0</v>
      </c>
      <c r="BH1315">
        <v>2600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 t="shared" ref="BW1315:BW1320" si="116">"06:15:59.667"</f>
        <v>06:15:59.667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6</v>
      </c>
      <c r="CP1315" t="s">
        <v>119</v>
      </c>
      <c r="CQ1315">
        <v>465</v>
      </c>
      <c r="CR1315">
        <v>0</v>
      </c>
      <c r="CW1315">
        <v>4720148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si="114"/>
        <v>08/29/2020 06:15:56.468</v>
      </c>
      <c r="C1316" t="str">
        <f t="shared" si="102"/>
        <v>FFDFD3C0</v>
      </c>
      <c r="D1316" t="s">
        <v>113</v>
      </c>
      <c r="E1316">
        <v>5</v>
      </c>
      <c r="H1316">
        <v>163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115"/>
        <v>06:15:59.664</v>
      </c>
      <c r="U1316" t="str">
        <f t="shared" si="103"/>
        <v>A7E2E0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975</v>
      </c>
      <c r="AJ1316">
        <v>39.034337999999998</v>
      </c>
      <c r="AK1316" t="s">
        <v>976</v>
      </c>
      <c r="AL1316">
        <v>-87.538075000000006</v>
      </c>
      <c r="AM1316">
        <v>100</v>
      </c>
      <c r="AN1316">
        <v>2800</v>
      </c>
      <c r="AO1316" t="s">
        <v>118</v>
      </c>
      <c r="AP1316">
        <v>-96</v>
      </c>
      <c r="AQ1316">
        <v>-127</v>
      </c>
      <c r="AR1316">
        <v>64</v>
      </c>
      <c r="AZ1316">
        <v>4552</v>
      </c>
      <c r="BA1316">
        <v>1</v>
      </c>
      <c r="BB1316" t="str">
        <f t="shared" si="104"/>
        <v xml:space="preserve">N607SR  </v>
      </c>
      <c r="BC1316">
        <v>1</v>
      </c>
      <c r="BE1316">
        <v>0</v>
      </c>
      <c r="BF1316">
        <v>0</v>
      </c>
      <c r="BG1316">
        <v>0</v>
      </c>
      <c r="BH1316">
        <v>2600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 t="shared" si="116"/>
        <v>06:15:59.667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6</v>
      </c>
      <c r="CP1316" t="s">
        <v>119</v>
      </c>
      <c r="CQ1316">
        <v>465</v>
      </c>
      <c r="CR1316">
        <v>0</v>
      </c>
      <c r="CW1316">
        <v>4720148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si="114"/>
        <v>08/29/2020 06:15:56.468</v>
      </c>
      <c r="C1317" t="str">
        <f t="shared" si="102"/>
        <v>FFDFD3C0</v>
      </c>
      <c r="D1317" t="s">
        <v>121</v>
      </c>
      <c r="E1317">
        <v>11</v>
      </c>
      <c r="F1317">
        <v>1011</v>
      </c>
      <c r="G1317" t="s">
        <v>125</v>
      </c>
      <c r="J1317" t="s">
        <v>123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115"/>
        <v>06:15:59.664</v>
      </c>
      <c r="T1317" t="str">
        <f>"06:15:59.264"</f>
        <v>06:15:59.264</v>
      </c>
      <c r="U1317" t="str">
        <f t="shared" si="103"/>
        <v>A7E2E0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975</v>
      </c>
      <c r="AJ1317">
        <v>39.034337999999998</v>
      </c>
      <c r="AK1317" t="s">
        <v>976</v>
      </c>
      <c r="AL1317">
        <v>-87.538075000000006</v>
      </c>
      <c r="AM1317">
        <v>100</v>
      </c>
      <c r="AN1317">
        <v>2800</v>
      </c>
      <c r="AO1317" t="s">
        <v>118</v>
      </c>
      <c r="AP1317">
        <v>-96</v>
      </c>
      <c r="AQ1317">
        <v>-127</v>
      </c>
      <c r="AR1317">
        <v>64</v>
      </c>
      <c r="AZ1317">
        <v>4552</v>
      </c>
      <c r="BA1317">
        <v>1</v>
      </c>
      <c r="BB1317" t="str">
        <f t="shared" si="104"/>
        <v xml:space="preserve">N607SR  </v>
      </c>
      <c r="BC1317">
        <v>1</v>
      </c>
      <c r="BE1317">
        <v>0</v>
      </c>
      <c r="BF1317">
        <v>0</v>
      </c>
      <c r="BG1317">
        <v>0</v>
      </c>
      <c r="BH1317">
        <v>2600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 t="shared" si="116"/>
        <v>06:15:59.667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6</v>
      </c>
      <c r="CP1317" t="s">
        <v>119</v>
      </c>
      <c r="CQ1317">
        <v>457</v>
      </c>
      <c r="CR1317">
        <v>0</v>
      </c>
      <c r="CW1317">
        <v>15516152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114"/>
        <v>08/29/2020 06:15:56.468</v>
      </c>
      <c r="C1318" t="str">
        <f t="shared" si="102"/>
        <v>FFDFD3C0</v>
      </c>
      <c r="D1318" t="s">
        <v>121</v>
      </c>
      <c r="E1318">
        <v>10</v>
      </c>
      <c r="F1318">
        <v>1010</v>
      </c>
      <c r="G1318" t="s">
        <v>114</v>
      </c>
      <c r="J1318" t="s">
        <v>123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115"/>
        <v>06:15:59.664</v>
      </c>
      <c r="U1318" t="str">
        <f t="shared" si="103"/>
        <v>A7E2E0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975</v>
      </c>
      <c r="AJ1318">
        <v>39.034337999999998</v>
      </c>
      <c r="AK1318" t="s">
        <v>976</v>
      </c>
      <c r="AL1318">
        <v>-87.538075000000006</v>
      </c>
      <c r="AM1318">
        <v>100</v>
      </c>
      <c r="AN1318">
        <v>2800</v>
      </c>
      <c r="AO1318" t="s">
        <v>118</v>
      </c>
      <c r="AP1318">
        <v>-96</v>
      </c>
      <c r="AQ1318">
        <v>-127</v>
      </c>
      <c r="AR1318">
        <v>64</v>
      </c>
      <c r="AZ1318">
        <v>4552</v>
      </c>
      <c r="BA1318">
        <v>1</v>
      </c>
      <c r="BB1318" t="str">
        <f t="shared" si="104"/>
        <v xml:space="preserve">N607SR  </v>
      </c>
      <c r="BC1318">
        <v>1</v>
      </c>
      <c r="BE1318">
        <v>0</v>
      </c>
      <c r="BF1318">
        <v>0</v>
      </c>
      <c r="BG1318">
        <v>0</v>
      </c>
      <c r="BH1318">
        <v>2600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 t="shared" si="116"/>
        <v>06:15:59.667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6</v>
      </c>
      <c r="CP1318" t="s">
        <v>119</v>
      </c>
      <c r="CQ1318">
        <v>465</v>
      </c>
      <c r="CR1318">
        <v>0</v>
      </c>
      <c r="CW1318">
        <v>4720148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 t="shared" si="114"/>
        <v>08/29/2020 06:15:56.468</v>
      </c>
      <c r="C1319" t="str">
        <f t="shared" si="102"/>
        <v>FFDFD3C0</v>
      </c>
      <c r="D1319" t="s">
        <v>939</v>
      </c>
      <c r="E1319">
        <v>10</v>
      </c>
      <c r="H1319">
        <v>79</v>
      </c>
      <c r="I1319" t="s">
        <v>940</v>
      </c>
      <c r="J1319" t="s">
        <v>130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115"/>
        <v>06:15:59.664</v>
      </c>
      <c r="U1319" t="str">
        <f t="shared" si="103"/>
        <v>A7E2E0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975</v>
      </c>
      <c r="AJ1319">
        <v>39.034337999999998</v>
      </c>
      <c r="AK1319" t="s">
        <v>976</v>
      </c>
      <c r="AL1319">
        <v>-87.538075000000006</v>
      </c>
      <c r="AM1319">
        <v>100</v>
      </c>
      <c r="AN1319">
        <v>2800</v>
      </c>
      <c r="AO1319" t="s">
        <v>118</v>
      </c>
      <c r="AP1319">
        <v>-96</v>
      </c>
      <c r="AQ1319">
        <v>-127</v>
      </c>
      <c r="AR1319">
        <v>64</v>
      </c>
      <c r="AZ1319">
        <v>4552</v>
      </c>
      <c r="BA1319">
        <v>1</v>
      </c>
      <c r="BB1319" t="str">
        <f t="shared" si="104"/>
        <v xml:space="preserve">N607SR  </v>
      </c>
      <c r="BC1319">
        <v>1</v>
      </c>
      <c r="BE1319">
        <v>0</v>
      </c>
      <c r="BF1319">
        <v>0</v>
      </c>
      <c r="BG1319">
        <v>0</v>
      </c>
      <c r="BH1319">
        <v>2600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 t="shared" si="116"/>
        <v>06:15:59.667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6</v>
      </c>
      <c r="CP1319" t="s">
        <v>119</v>
      </c>
      <c r="CQ1319">
        <v>465</v>
      </c>
      <c r="CR1319">
        <v>0</v>
      </c>
      <c r="CW1319">
        <v>4720148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 t="shared" si="114"/>
        <v>08/29/2020 06:15:56.468</v>
      </c>
      <c r="C1320" t="str">
        <f t="shared" si="102"/>
        <v>FFDFD3C0</v>
      </c>
      <c r="D1320" t="s">
        <v>121</v>
      </c>
      <c r="E1320">
        <v>13</v>
      </c>
      <c r="F1320">
        <v>1013</v>
      </c>
      <c r="G1320" t="s">
        <v>122</v>
      </c>
      <c r="J1320" t="s">
        <v>123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115"/>
        <v>06:15:59.664</v>
      </c>
      <c r="U1320" t="str">
        <f t="shared" si="103"/>
        <v>A7E2E0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975</v>
      </c>
      <c r="AJ1320">
        <v>39.034337999999998</v>
      </c>
      <c r="AK1320" t="s">
        <v>976</v>
      </c>
      <c r="AL1320">
        <v>-87.538075000000006</v>
      </c>
      <c r="AM1320">
        <v>100</v>
      </c>
      <c r="AN1320">
        <v>2800</v>
      </c>
      <c r="AO1320" t="s">
        <v>118</v>
      </c>
      <c r="AP1320">
        <v>-96</v>
      </c>
      <c r="AQ1320">
        <v>-127</v>
      </c>
      <c r="AR1320">
        <v>64</v>
      </c>
      <c r="AZ1320">
        <v>4552</v>
      </c>
      <c r="BA1320">
        <v>1</v>
      </c>
      <c r="BB1320" t="str">
        <f t="shared" si="104"/>
        <v xml:space="preserve">N607SR  </v>
      </c>
      <c r="BC1320">
        <v>1</v>
      </c>
      <c r="BE1320">
        <v>0</v>
      </c>
      <c r="BF1320">
        <v>0</v>
      </c>
      <c r="BG1320">
        <v>0</v>
      </c>
      <c r="BH1320">
        <v>2600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 t="shared" si="116"/>
        <v>06:15:59.667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6</v>
      </c>
      <c r="CP1320" t="s">
        <v>119</v>
      </c>
      <c r="CQ1320">
        <v>465</v>
      </c>
      <c r="CR1320">
        <v>0</v>
      </c>
      <c r="CW1320">
        <v>4720148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 t="shared" ref="A1321:A1326" si="117">"08/29/2020 06:15:57.382"</f>
        <v>08/29/2020 06:15:57.382</v>
      </c>
      <c r="C1321" t="str">
        <f t="shared" si="102"/>
        <v>FFDFD3C0</v>
      </c>
      <c r="D1321" t="s">
        <v>121</v>
      </c>
      <c r="E1321">
        <v>11</v>
      </c>
      <c r="F1321">
        <v>1011</v>
      </c>
      <c r="G1321" t="s">
        <v>125</v>
      </c>
      <c r="J1321" t="s">
        <v>123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ref="S1321:S1326" si="118">"06:16:00.586"</f>
        <v>06:16:00.586</v>
      </c>
      <c r="T1321" t="str">
        <f>"06:16:00.186"</f>
        <v>06:16:00.186</v>
      </c>
      <c r="U1321" t="str">
        <f t="shared" si="103"/>
        <v>A7E2E0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977</v>
      </c>
      <c r="AJ1321">
        <v>39.033822999999998</v>
      </c>
      <c r="AK1321" t="s">
        <v>978</v>
      </c>
      <c r="AL1321">
        <v>-87.538589999999999</v>
      </c>
      <c r="AM1321">
        <v>100</v>
      </c>
      <c r="AN1321">
        <v>2800</v>
      </c>
      <c r="AO1321" t="s">
        <v>118</v>
      </c>
      <c r="AP1321">
        <v>-96</v>
      </c>
      <c r="AQ1321">
        <v>-127</v>
      </c>
      <c r="AR1321">
        <v>64</v>
      </c>
      <c r="AZ1321">
        <v>4552</v>
      </c>
      <c r="BA1321">
        <v>1</v>
      </c>
      <c r="BB1321" t="str">
        <f t="shared" si="104"/>
        <v xml:space="preserve">N607SR  </v>
      </c>
      <c r="BC1321">
        <v>1</v>
      </c>
      <c r="BE1321">
        <v>0</v>
      </c>
      <c r="BF1321">
        <v>0</v>
      </c>
      <c r="BG1321">
        <v>0</v>
      </c>
      <c r="BH1321">
        <v>2600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 t="shared" ref="BW1321:BW1326" si="119">"06:16:00.590"</f>
        <v>06:16:00.590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6</v>
      </c>
      <c r="CP1321" t="s">
        <v>119</v>
      </c>
      <c r="CQ1321">
        <v>457</v>
      </c>
      <c r="CR1321">
        <v>0</v>
      </c>
      <c r="CW1321">
        <v>15516181</v>
      </c>
      <c r="CY1321">
        <v>1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 t="shared" si="117"/>
        <v>08/29/2020 06:15:57.382</v>
      </c>
      <c r="C1322" t="str">
        <f t="shared" si="102"/>
        <v>FFDFD3C0</v>
      </c>
      <c r="D1322" t="s">
        <v>128</v>
      </c>
      <c r="E1322">
        <v>5</v>
      </c>
      <c r="H1322">
        <v>241</v>
      </c>
      <c r="I1322" t="s">
        <v>129</v>
      </c>
      <c r="J1322" t="s">
        <v>130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118"/>
        <v>06:16:00.586</v>
      </c>
      <c r="U1322" t="str">
        <f t="shared" si="103"/>
        <v>A7E2E0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977</v>
      </c>
      <c r="AJ1322">
        <v>39.033822999999998</v>
      </c>
      <c r="AK1322" t="s">
        <v>978</v>
      </c>
      <c r="AL1322">
        <v>-87.538589999999999</v>
      </c>
      <c r="AM1322">
        <v>100</v>
      </c>
      <c r="AN1322">
        <v>2800</v>
      </c>
      <c r="AO1322" t="s">
        <v>118</v>
      </c>
      <c r="AP1322">
        <v>-96</v>
      </c>
      <c r="AQ1322">
        <v>-127</v>
      </c>
      <c r="AR1322">
        <v>64</v>
      </c>
      <c r="AZ1322">
        <v>4552</v>
      </c>
      <c r="BA1322">
        <v>1</v>
      </c>
      <c r="BB1322" t="str">
        <f t="shared" si="104"/>
        <v xml:space="preserve">N607SR  </v>
      </c>
      <c r="BC1322">
        <v>1</v>
      </c>
      <c r="BE1322">
        <v>0</v>
      </c>
      <c r="BF1322">
        <v>0</v>
      </c>
      <c r="BG1322">
        <v>0</v>
      </c>
      <c r="BH1322">
        <v>2600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 t="shared" si="119"/>
        <v>06:16:00.590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3</v>
      </c>
      <c r="CP1322" t="s">
        <v>119</v>
      </c>
      <c r="CQ1322">
        <v>465</v>
      </c>
      <c r="CR1322">
        <v>1</v>
      </c>
      <c r="CW1322">
        <v>4720176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 t="shared" si="117"/>
        <v>08/29/2020 06:15:57.382</v>
      </c>
      <c r="C1323" t="str">
        <f t="shared" si="102"/>
        <v>FFDFD3C0</v>
      </c>
      <c r="D1323" t="s">
        <v>113</v>
      </c>
      <c r="E1323">
        <v>5</v>
      </c>
      <c r="H1323">
        <v>163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118"/>
        <v>06:16:00.586</v>
      </c>
      <c r="U1323" t="str">
        <f t="shared" si="103"/>
        <v>A7E2E0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977</v>
      </c>
      <c r="AJ1323">
        <v>39.033822999999998</v>
      </c>
      <c r="AK1323" t="s">
        <v>978</v>
      </c>
      <c r="AL1323">
        <v>-87.538589999999999</v>
      </c>
      <c r="AM1323">
        <v>100</v>
      </c>
      <c r="AN1323">
        <v>2800</v>
      </c>
      <c r="AO1323" t="s">
        <v>118</v>
      </c>
      <c r="AP1323">
        <v>-96</v>
      </c>
      <c r="AQ1323">
        <v>-127</v>
      </c>
      <c r="AR1323">
        <v>64</v>
      </c>
      <c r="AZ1323">
        <v>4552</v>
      </c>
      <c r="BA1323">
        <v>1</v>
      </c>
      <c r="BB1323" t="str">
        <f t="shared" si="104"/>
        <v xml:space="preserve">N607SR  </v>
      </c>
      <c r="BC1323">
        <v>1</v>
      </c>
      <c r="BE1323">
        <v>0</v>
      </c>
      <c r="BF1323">
        <v>0</v>
      </c>
      <c r="BG1323">
        <v>0</v>
      </c>
      <c r="BH1323">
        <v>2600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 t="shared" si="119"/>
        <v>06:16:00.590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3</v>
      </c>
      <c r="CP1323" t="s">
        <v>119</v>
      </c>
      <c r="CQ1323">
        <v>465</v>
      </c>
      <c r="CR1323">
        <v>1</v>
      </c>
      <c r="CW1323">
        <v>4720176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 t="shared" si="117"/>
        <v>08/29/2020 06:15:57.382</v>
      </c>
      <c r="C1324" t="str">
        <f t="shared" si="102"/>
        <v>FFDFD3C0</v>
      </c>
      <c r="D1324" t="s">
        <v>121</v>
      </c>
      <c r="E1324">
        <v>10</v>
      </c>
      <c r="F1324">
        <v>1010</v>
      </c>
      <c r="G1324" t="s">
        <v>114</v>
      </c>
      <c r="J1324" t="s">
        <v>123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118"/>
        <v>06:16:00.586</v>
      </c>
      <c r="U1324" t="str">
        <f t="shared" si="103"/>
        <v>A7E2E0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977</v>
      </c>
      <c r="AJ1324">
        <v>39.033822999999998</v>
      </c>
      <c r="AK1324" t="s">
        <v>978</v>
      </c>
      <c r="AL1324">
        <v>-87.538589999999999</v>
      </c>
      <c r="AM1324">
        <v>100</v>
      </c>
      <c r="AN1324">
        <v>2800</v>
      </c>
      <c r="AO1324" t="s">
        <v>118</v>
      </c>
      <c r="AP1324">
        <v>-96</v>
      </c>
      <c r="AQ1324">
        <v>-127</v>
      </c>
      <c r="AR1324">
        <v>64</v>
      </c>
      <c r="AZ1324">
        <v>4552</v>
      </c>
      <c r="BA1324">
        <v>1</v>
      </c>
      <c r="BB1324" t="str">
        <f t="shared" si="104"/>
        <v xml:space="preserve">N607SR  </v>
      </c>
      <c r="BC1324">
        <v>1</v>
      </c>
      <c r="BE1324">
        <v>0</v>
      </c>
      <c r="BF1324">
        <v>0</v>
      </c>
      <c r="BG1324">
        <v>0</v>
      </c>
      <c r="BH1324">
        <v>2600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 t="shared" si="119"/>
        <v>06:16:00.590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3</v>
      </c>
      <c r="CP1324" t="s">
        <v>119</v>
      </c>
      <c r="CQ1324">
        <v>465</v>
      </c>
      <c r="CR1324">
        <v>1</v>
      </c>
      <c r="CW1324">
        <v>4720176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si="117"/>
        <v>08/29/2020 06:15:57.382</v>
      </c>
      <c r="C1325" t="str">
        <f t="shared" si="102"/>
        <v>FFDFD3C0</v>
      </c>
      <c r="D1325" t="s">
        <v>939</v>
      </c>
      <c r="E1325">
        <v>10</v>
      </c>
      <c r="H1325">
        <v>79</v>
      </c>
      <c r="I1325" t="s">
        <v>940</v>
      </c>
      <c r="J1325" t="s">
        <v>130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118"/>
        <v>06:16:00.586</v>
      </c>
      <c r="U1325" t="str">
        <f t="shared" si="103"/>
        <v>A7E2E0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977</v>
      </c>
      <c r="AJ1325">
        <v>39.033822999999998</v>
      </c>
      <c r="AK1325" t="s">
        <v>978</v>
      </c>
      <c r="AL1325">
        <v>-87.538589999999999</v>
      </c>
      <c r="AM1325">
        <v>100</v>
      </c>
      <c r="AN1325">
        <v>2800</v>
      </c>
      <c r="AO1325" t="s">
        <v>118</v>
      </c>
      <c r="AP1325">
        <v>-96</v>
      </c>
      <c r="AQ1325">
        <v>-127</v>
      </c>
      <c r="AR1325">
        <v>64</v>
      </c>
      <c r="AZ1325">
        <v>4552</v>
      </c>
      <c r="BA1325">
        <v>1</v>
      </c>
      <c r="BB1325" t="str">
        <f t="shared" si="104"/>
        <v xml:space="preserve">N607SR  </v>
      </c>
      <c r="BC1325">
        <v>1</v>
      </c>
      <c r="BE1325">
        <v>0</v>
      </c>
      <c r="BF1325">
        <v>0</v>
      </c>
      <c r="BG1325">
        <v>0</v>
      </c>
      <c r="BH1325">
        <v>2600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 t="shared" si="119"/>
        <v>06:16:00.590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3</v>
      </c>
      <c r="CP1325" t="s">
        <v>119</v>
      </c>
      <c r="CQ1325">
        <v>465</v>
      </c>
      <c r="CR1325">
        <v>1</v>
      </c>
      <c r="CW1325">
        <v>4720176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117"/>
        <v>08/29/2020 06:15:57.382</v>
      </c>
      <c r="C1326" t="str">
        <f t="shared" si="102"/>
        <v>FFDFD3C0</v>
      </c>
      <c r="D1326" t="s">
        <v>121</v>
      </c>
      <c r="E1326">
        <v>13</v>
      </c>
      <c r="F1326">
        <v>1013</v>
      </c>
      <c r="G1326" t="s">
        <v>122</v>
      </c>
      <c r="J1326" t="s">
        <v>123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118"/>
        <v>06:16:00.586</v>
      </c>
      <c r="U1326" t="str">
        <f t="shared" si="103"/>
        <v>A7E2E0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977</v>
      </c>
      <c r="AJ1326">
        <v>39.033822999999998</v>
      </c>
      <c r="AK1326" t="s">
        <v>978</v>
      </c>
      <c r="AL1326">
        <v>-87.538589999999999</v>
      </c>
      <c r="AM1326">
        <v>100</v>
      </c>
      <c r="AN1326">
        <v>2800</v>
      </c>
      <c r="AO1326" t="s">
        <v>118</v>
      </c>
      <c r="AP1326">
        <v>-96</v>
      </c>
      <c r="AQ1326">
        <v>-127</v>
      </c>
      <c r="AR1326">
        <v>64</v>
      </c>
      <c r="AZ1326">
        <v>4552</v>
      </c>
      <c r="BA1326">
        <v>1</v>
      </c>
      <c r="BB1326" t="str">
        <f t="shared" si="104"/>
        <v xml:space="preserve">N607SR  </v>
      </c>
      <c r="BC1326">
        <v>1</v>
      </c>
      <c r="BE1326">
        <v>0</v>
      </c>
      <c r="BF1326">
        <v>0</v>
      </c>
      <c r="BG1326">
        <v>0</v>
      </c>
      <c r="BH1326">
        <v>2600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 t="shared" si="119"/>
        <v>06:16:00.590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3</v>
      </c>
      <c r="CP1326" t="s">
        <v>119</v>
      </c>
      <c r="CQ1326">
        <v>465</v>
      </c>
      <c r="CR1326">
        <v>1</v>
      </c>
      <c r="CW1326">
        <v>4720176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ref="A1327:A1332" si="120">"08/29/2020 06:15:58.381"</f>
        <v>08/29/2020 06:15:58.381</v>
      </c>
      <c r="C1327" t="str">
        <f t="shared" si="102"/>
        <v>FFDFD3C0</v>
      </c>
      <c r="D1327" t="s">
        <v>121</v>
      </c>
      <c r="E1327">
        <v>13</v>
      </c>
      <c r="F1327">
        <v>1013</v>
      </c>
      <c r="G1327" t="s">
        <v>122</v>
      </c>
      <c r="J1327" t="s">
        <v>123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ref="S1327:S1332" si="121">"06:16:01.617"</f>
        <v>06:16:01.617</v>
      </c>
      <c r="T1327" t="str">
        <f t="shared" ref="T1327:T1332" si="122">"06:16:01.117"</f>
        <v>06:16:01.117</v>
      </c>
      <c r="U1327" t="str">
        <f t="shared" si="103"/>
        <v>A7E2E0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979</v>
      </c>
      <c r="AJ1327">
        <v>39.033158</v>
      </c>
      <c r="AK1327" t="s">
        <v>980</v>
      </c>
      <c r="AL1327">
        <v>-87.539191000000002</v>
      </c>
      <c r="AM1327">
        <v>100</v>
      </c>
      <c r="AN1327">
        <v>2800</v>
      </c>
      <c r="AO1327" t="s">
        <v>118</v>
      </c>
      <c r="AP1327">
        <v>-96</v>
      </c>
      <c r="AQ1327">
        <v>-127</v>
      </c>
      <c r="AR1327">
        <v>64</v>
      </c>
      <c r="AZ1327">
        <v>4552</v>
      </c>
      <c r="BA1327">
        <v>1</v>
      </c>
      <c r="BB1327" t="str">
        <f t="shared" si="104"/>
        <v xml:space="preserve">N607SR  </v>
      </c>
      <c r="BC1327">
        <v>1</v>
      </c>
      <c r="BE1327">
        <v>0</v>
      </c>
      <c r="BF1327">
        <v>0</v>
      </c>
      <c r="BG1327">
        <v>0</v>
      </c>
      <c r="BH1327">
        <v>2600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 t="shared" ref="BW1327:BW1332" si="123">"06:16:01.619"</f>
        <v>06:16:01.619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6</v>
      </c>
      <c r="CP1327" t="s">
        <v>119</v>
      </c>
      <c r="CQ1327">
        <v>465</v>
      </c>
      <c r="CR1327">
        <v>0</v>
      </c>
      <c r="CW1327">
        <v>4720204</v>
      </c>
      <c r="CY1327">
        <v>1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si="120"/>
        <v>08/29/2020 06:15:58.381</v>
      </c>
      <c r="C1328" t="str">
        <f t="shared" si="102"/>
        <v>FFDFD3C0</v>
      </c>
      <c r="D1328" t="s">
        <v>128</v>
      </c>
      <c r="E1328">
        <v>5</v>
      </c>
      <c r="H1328">
        <v>241</v>
      </c>
      <c r="I1328" t="s">
        <v>129</v>
      </c>
      <c r="J1328" t="s">
        <v>130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121"/>
        <v>06:16:01.617</v>
      </c>
      <c r="T1328" t="str">
        <f t="shared" si="122"/>
        <v>06:16:01.117</v>
      </c>
      <c r="U1328" t="str">
        <f t="shared" si="103"/>
        <v>A7E2E0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979</v>
      </c>
      <c r="AJ1328">
        <v>39.033158</v>
      </c>
      <c r="AK1328" t="s">
        <v>980</v>
      </c>
      <c r="AL1328">
        <v>-87.539191000000002</v>
      </c>
      <c r="AM1328">
        <v>100</v>
      </c>
      <c r="AN1328">
        <v>2800</v>
      </c>
      <c r="AO1328" t="s">
        <v>118</v>
      </c>
      <c r="AP1328">
        <v>-96</v>
      </c>
      <c r="AQ1328">
        <v>-127</v>
      </c>
      <c r="AR1328">
        <v>64</v>
      </c>
      <c r="AZ1328">
        <v>4552</v>
      </c>
      <c r="BA1328">
        <v>1</v>
      </c>
      <c r="BB1328" t="str">
        <f t="shared" si="104"/>
        <v xml:space="preserve">N607SR  </v>
      </c>
      <c r="BC1328">
        <v>1</v>
      </c>
      <c r="BE1328">
        <v>0</v>
      </c>
      <c r="BF1328">
        <v>0</v>
      </c>
      <c r="BG1328">
        <v>0</v>
      </c>
      <c r="BH1328">
        <v>2600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 t="shared" si="123"/>
        <v>06:16:01.619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6</v>
      </c>
      <c r="CP1328" t="s">
        <v>119</v>
      </c>
      <c r="CQ1328">
        <v>465</v>
      </c>
      <c r="CR1328">
        <v>0</v>
      </c>
      <c r="CW1328">
        <v>4720204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120"/>
        <v>08/29/2020 06:15:58.381</v>
      </c>
      <c r="C1329" t="str">
        <f t="shared" si="102"/>
        <v>FFDFD3C0</v>
      </c>
      <c r="D1329" t="s">
        <v>113</v>
      </c>
      <c r="E1329">
        <v>5</v>
      </c>
      <c r="H1329">
        <v>163</v>
      </c>
      <c r="I1329" t="s">
        <v>114</v>
      </c>
      <c r="J1329" t="s">
        <v>115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121"/>
        <v>06:16:01.617</v>
      </c>
      <c r="T1329" t="str">
        <f t="shared" si="122"/>
        <v>06:16:01.117</v>
      </c>
      <c r="U1329" t="str">
        <f t="shared" si="103"/>
        <v>A7E2E0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979</v>
      </c>
      <c r="AJ1329">
        <v>39.033158</v>
      </c>
      <c r="AK1329" t="s">
        <v>980</v>
      </c>
      <c r="AL1329">
        <v>-87.539191000000002</v>
      </c>
      <c r="AM1329">
        <v>100</v>
      </c>
      <c r="AN1329">
        <v>2800</v>
      </c>
      <c r="AO1329" t="s">
        <v>118</v>
      </c>
      <c r="AP1329">
        <v>-96</v>
      </c>
      <c r="AQ1329">
        <v>-127</v>
      </c>
      <c r="AR1329">
        <v>64</v>
      </c>
      <c r="AZ1329">
        <v>4552</v>
      </c>
      <c r="BA1329">
        <v>1</v>
      </c>
      <c r="BB1329" t="str">
        <f t="shared" si="104"/>
        <v xml:space="preserve">N607SR  </v>
      </c>
      <c r="BC1329">
        <v>1</v>
      </c>
      <c r="BE1329">
        <v>0</v>
      </c>
      <c r="BF1329">
        <v>0</v>
      </c>
      <c r="BG1329">
        <v>0</v>
      </c>
      <c r="BH1329">
        <v>2600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 t="shared" si="123"/>
        <v>06:16:01.619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6</v>
      </c>
      <c r="CP1329" t="s">
        <v>119</v>
      </c>
      <c r="CQ1329">
        <v>465</v>
      </c>
      <c r="CR1329">
        <v>0</v>
      </c>
      <c r="CW1329">
        <v>4720204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120"/>
        <v>08/29/2020 06:15:58.381</v>
      </c>
      <c r="C1330" t="str">
        <f t="shared" si="102"/>
        <v>FFDFD3C0</v>
      </c>
      <c r="D1330" t="s">
        <v>121</v>
      </c>
      <c r="E1330">
        <v>11</v>
      </c>
      <c r="F1330">
        <v>1011</v>
      </c>
      <c r="G1330" t="s">
        <v>125</v>
      </c>
      <c r="J1330" t="s">
        <v>123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121"/>
        <v>06:16:01.617</v>
      </c>
      <c r="T1330" t="str">
        <f t="shared" si="122"/>
        <v>06:16:01.117</v>
      </c>
      <c r="U1330" t="str">
        <f t="shared" si="103"/>
        <v>A7E2E0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979</v>
      </c>
      <c r="AJ1330">
        <v>39.033158</v>
      </c>
      <c r="AK1330" t="s">
        <v>980</v>
      </c>
      <c r="AL1330">
        <v>-87.539191000000002</v>
      </c>
      <c r="AM1330">
        <v>100</v>
      </c>
      <c r="AN1330">
        <v>2800</v>
      </c>
      <c r="AO1330" t="s">
        <v>118</v>
      </c>
      <c r="AP1330">
        <v>-96</v>
      </c>
      <c r="AQ1330">
        <v>-127</v>
      </c>
      <c r="AR1330">
        <v>64</v>
      </c>
      <c r="AZ1330">
        <v>4552</v>
      </c>
      <c r="BA1330">
        <v>1</v>
      </c>
      <c r="BB1330" t="str">
        <f t="shared" si="104"/>
        <v xml:space="preserve">N607SR  </v>
      </c>
      <c r="BC1330">
        <v>1</v>
      </c>
      <c r="BE1330">
        <v>0</v>
      </c>
      <c r="BF1330">
        <v>0</v>
      </c>
      <c r="BG1330">
        <v>0</v>
      </c>
      <c r="BH1330">
        <v>2600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 t="shared" si="123"/>
        <v>06:16:01.619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6</v>
      </c>
      <c r="CP1330" t="s">
        <v>119</v>
      </c>
      <c r="CQ1330">
        <v>457</v>
      </c>
      <c r="CR1330">
        <v>0</v>
      </c>
      <c r="CW1330">
        <v>15516213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 t="shared" si="120"/>
        <v>08/29/2020 06:15:58.381</v>
      </c>
      <c r="C1331" t="str">
        <f t="shared" si="102"/>
        <v>FFDFD3C0</v>
      </c>
      <c r="D1331" t="s">
        <v>121</v>
      </c>
      <c r="E1331">
        <v>10</v>
      </c>
      <c r="F1331">
        <v>1010</v>
      </c>
      <c r="G1331" t="s">
        <v>114</v>
      </c>
      <c r="J1331" t="s">
        <v>123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121"/>
        <v>06:16:01.617</v>
      </c>
      <c r="T1331" t="str">
        <f t="shared" si="122"/>
        <v>06:16:01.117</v>
      </c>
      <c r="U1331" t="str">
        <f t="shared" si="103"/>
        <v>A7E2E0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979</v>
      </c>
      <c r="AJ1331">
        <v>39.033158</v>
      </c>
      <c r="AK1331" t="s">
        <v>980</v>
      </c>
      <c r="AL1331">
        <v>-87.539191000000002</v>
      </c>
      <c r="AM1331">
        <v>100</v>
      </c>
      <c r="AN1331">
        <v>2800</v>
      </c>
      <c r="AO1331" t="s">
        <v>118</v>
      </c>
      <c r="AP1331">
        <v>-96</v>
      </c>
      <c r="AQ1331">
        <v>-127</v>
      </c>
      <c r="AR1331">
        <v>64</v>
      </c>
      <c r="AZ1331">
        <v>4552</v>
      </c>
      <c r="BA1331">
        <v>1</v>
      </c>
      <c r="BB1331" t="str">
        <f t="shared" si="104"/>
        <v xml:space="preserve">N607SR  </v>
      </c>
      <c r="BC1331">
        <v>1</v>
      </c>
      <c r="BE1331">
        <v>0</v>
      </c>
      <c r="BF1331">
        <v>0</v>
      </c>
      <c r="BG1331">
        <v>0</v>
      </c>
      <c r="BH1331">
        <v>2600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 t="shared" si="123"/>
        <v>06:16:01.619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6</v>
      </c>
      <c r="CP1331" t="s">
        <v>119</v>
      </c>
      <c r="CQ1331">
        <v>465</v>
      </c>
      <c r="CR1331">
        <v>0</v>
      </c>
      <c r="CW1331">
        <v>4720204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si="120"/>
        <v>08/29/2020 06:15:58.381</v>
      </c>
      <c r="C1332" t="str">
        <f t="shared" si="102"/>
        <v>FFDFD3C0</v>
      </c>
      <c r="D1332" t="s">
        <v>939</v>
      </c>
      <c r="E1332">
        <v>10</v>
      </c>
      <c r="H1332">
        <v>79</v>
      </c>
      <c r="I1332" t="s">
        <v>940</v>
      </c>
      <c r="J1332" t="s">
        <v>130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121"/>
        <v>06:16:01.617</v>
      </c>
      <c r="T1332" t="str">
        <f t="shared" si="122"/>
        <v>06:16:01.117</v>
      </c>
      <c r="U1332" t="str">
        <f t="shared" si="103"/>
        <v>A7E2E0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979</v>
      </c>
      <c r="AJ1332">
        <v>39.033158</v>
      </c>
      <c r="AK1332" t="s">
        <v>980</v>
      </c>
      <c r="AL1332">
        <v>-87.539191000000002</v>
      </c>
      <c r="AM1332">
        <v>100</v>
      </c>
      <c r="AN1332">
        <v>2800</v>
      </c>
      <c r="AO1332" t="s">
        <v>118</v>
      </c>
      <c r="AP1332">
        <v>-96</v>
      </c>
      <c r="AQ1332">
        <v>-127</v>
      </c>
      <c r="AR1332">
        <v>64</v>
      </c>
      <c r="AZ1332">
        <v>4552</v>
      </c>
      <c r="BA1332">
        <v>1</v>
      </c>
      <c r="BB1332" t="str">
        <f t="shared" si="104"/>
        <v xml:space="preserve">N607SR  </v>
      </c>
      <c r="BC1332">
        <v>1</v>
      </c>
      <c r="BE1332">
        <v>0</v>
      </c>
      <c r="BF1332">
        <v>0</v>
      </c>
      <c r="BG1332">
        <v>0</v>
      </c>
      <c r="BH1332">
        <v>2600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 t="shared" si="123"/>
        <v>06:16:01.619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6</v>
      </c>
      <c r="CP1332" t="s">
        <v>119</v>
      </c>
      <c r="CQ1332">
        <v>465</v>
      </c>
      <c r="CR1332">
        <v>0</v>
      </c>
      <c r="CW1332">
        <v>4720204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ref="A1333:A1338" si="124">"08/29/2020 06:15:59.455"</f>
        <v>08/29/2020 06:15:59.455</v>
      </c>
      <c r="C1333" t="str">
        <f t="shared" si="102"/>
        <v>FFDFD3C0</v>
      </c>
      <c r="D1333" t="s">
        <v>128</v>
      </c>
      <c r="E1333">
        <v>5</v>
      </c>
      <c r="H1333">
        <v>241</v>
      </c>
      <c r="I1333" t="s">
        <v>129</v>
      </c>
      <c r="J1333" t="s">
        <v>130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ref="S1333:S1338" si="125">"06:16:02.695"</f>
        <v>06:16:02.695</v>
      </c>
      <c r="T1333" t="str">
        <f t="shared" ref="T1333:T1338" si="126">"06:16:02.195"</f>
        <v>06:16:02.195</v>
      </c>
      <c r="U1333" t="str">
        <f t="shared" si="103"/>
        <v>A7E2E0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981</v>
      </c>
      <c r="AJ1333">
        <v>39.032556999999997</v>
      </c>
      <c r="AK1333" t="s">
        <v>982</v>
      </c>
      <c r="AL1333">
        <v>-87.539792000000006</v>
      </c>
      <c r="AM1333">
        <v>100</v>
      </c>
      <c r="AN1333">
        <v>2800</v>
      </c>
      <c r="AO1333" t="s">
        <v>118</v>
      </c>
      <c r="AP1333">
        <v>-96</v>
      </c>
      <c r="AQ1333">
        <v>-127</v>
      </c>
      <c r="AR1333">
        <v>64</v>
      </c>
      <c r="AZ1333">
        <v>4552</v>
      </c>
      <c r="BA1333">
        <v>1</v>
      </c>
      <c r="BB1333" t="str">
        <f t="shared" si="104"/>
        <v xml:space="preserve">N607SR  </v>
      </c>
      <c r="BC1333">
        <v>1</v>
      </c>
      <c r="BE1333">
        <v>0</v>
      </c>
      <c r="BF1333">
        <v>0</v>
      </c>
      <c r="BG1333">
        <v>0</v>
      </c>
      <c r="BH1333">
        <v>2600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 t="shared" ref="BW1333:BW1338" si="127">"06:16:02.700"</f>
        <v>06:16:02.700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6</v>
      </c>
      <c r="CP1333" t="s">
        <v>119</v>
      </c>
      <c r="CQ1333">
        <v>465</v>
      </c>
      <c r="CR1333">
        <v>0</v>
      </c>
      <c r="CW1333">
        <v>4720243</v>
      </c>
      <c r="CY1333">
        <v>1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si="124"/>
        <v>08/29/2020 06:15:59.455</v>
      </c>
      <c r="C1334" t="str">
        <f t="shared" si="102"/>
        <v>FFDFD3C0</v>
      </c>
      <c r="D1334" t="s">
        <v>113</v>
      </c>
      <c r="E1334">
        <v>5</v>
      </c>
      <c r="H1334">
        <v>163</v>
      </c>
      <c r="I1334" t="s">
        <v>114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125"/>
        <v>06:16:02.695</v>
      </c>
      <c r="T1334" t="str">
        <f t="shared" si="126"/>
        <v>06:16:02.195</v>
      </c>
      <c r="U1334" t="str">
        <f t="shared" si="103"/>
        <v>A7E2E0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981</v>
      </c>
      <c r="AJ1334">
        <v>39.032556999999997</v>
      </c>
      <c r="AK1334" t="s">
        <v>982</v>
      </c>
      <c r="AL1334">
        <v>-87.539792000000006</v>
      </c>
      <c r="AM1334">
        <v>100</v>
      </c>
      <c r="AN1334">
        <v>2800</v>
      </c>
      <c r="AO1334" t="s">
        <v>118</v>
      </c>
      <c r="AP1334">
        <v>-96</v>
      </c>
      <c r="AQ1334">
        <v>-127</v>
      </c>
      <c r="AR1334">
        <v>64</v>
      </c>
      <c r="AZ1334">
        <v>4552</v>
      </c>
      <c r="BA1334">
        <v>1</v>
      </c>
      <c r="BB1334" t="str">
        <f t="shared" si="104"/>
        <v xml:space="preserve">N607SR  </v>
      </c>
      <c r="BC1334">
        <v>1</v>
      </c>
      <c r="BE1334">
        <v>0</v>
      </c>
      <c r="BF1334">
        <v>0</v>
      </c>
      <c r="BG1334">
        <v>0</v>
      </c>
      <c r="BH1334">
        <v>2600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 t="shared" si="127"/>
        <v>06:16:02.700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6</v>
      </c>
      <c r="CP1334" t="s">
        <v>119</v>
      </c>
      <c r="CQ1334">
        <v>465</v>
      </c>
      <c r="CR1334">
        <v>0</v>
      </c>
      <c r="CW1334">
        <v>4720243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124"/>
        <v>08/29/2020 06:15:59.455</v>
      </c>
      <c r="C1335" t="str">
        <f t="shared" si="102"/>
        <v>FFDFD3C0</v>
      </c>
      <c r="D1335" t="s">
        <v>121</v>
      </c>
      <c r="E1335">
        <v>11</v>
      </c>
      <c r="F1335">
        <v>1011</v>
      </c>
      <c r="G1335" t="s">
        <v>125</v>
      </c>
      <c r="J1335" t="s">
        <v>123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125"/>
        <v>06:16:02.695</v>
      </c>
      <c r="T1335" t="str">
        <f t="shared" si="126"/>
        <v>06:16:02.195</v>
      </c>
      <c r="U1335" t="str">
        <f t="shared" si="103"/>
        <v>A7E2E0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981</v>
      </c>
      <c r="AJ1335">
        <v>39.032556999999997</v>
      </c>
      <c r="AK1335" t="s">
        <v>982</v>
      </c>
      <c r="AL1335">
        <v>-87.539792000000006</v>
      </c>
      <c r="AM1335">
        <v>100</v>
      </c>
      <c r="AN1335">
        <v>2800</v>
      </c>
      <c r="AO1335" t="s">
        <v>118</v>
      </c>
      <c r="AP1335">
        <v>-96</v>
      </c>
      <c r="AQ1335">
        <v>-127</v>
      </c>
      <c r="AR1335">
        <v>64</v>
      </c>
      <c r="AZ1335">
        <v>4552</v>
      </c>
      <c r="BA1335">
        <v>1</v>
      </c>
      <c r="BB1335" t="str">
        <f t="shared" si="104"/>
        <v xml:space="preserve">N607SR  </v>
      </c>
      <c r="BC1335">
        <v>1</v>
      </c>
      <c r="BE1335">
        <v>0</v>
      </c>
      <c r="BF1335">
        <v>0</v>
      </c>
      <c r="BG1335">
        <v>0</v>
      </c>
      <c r="BH1335">
        <v>2600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 t="shared" si="127"/>
        <v>06:16:02.700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6</v>
      </c>
      <c r="CP1335" t="s">
        <v>119</v>
      </c>
      <c r="CQ1335">
        <v>457</v>
      </c>
      <c r="CR1335">
        <v>0</v>
      </c>
      <c r="CW1335">
        <v>15516245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124"/>
        <v>08/29/2020 06:15:59.455</v>
      </c>
      <c r="C1336" t="str">
        <f t="shared" si="102"/>
        <v>FFDFD3C0</v>
      </c>
      <c r="D1336" t="s">
        <v>939</v>
      </c>
      <c r="E1336">
        <v>10</v>
      </c>
      <c r="H1336">
        <v>79</v>
      </c>
      <c r="I1336" t="s">
        <v>940</v>
      </c>
      <c r="J1336" t="s">
        <v>130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125"/>
        <v>06:16:02.695</v>
      </c>
      <c r="T1336" t="str">
        <f t="shared" si="126"/>
        <v>06:16:02.195</v>
      </c>
      <c r="U1336" t="str">
        <f t="shared" si="103"/>
        <v>A7E2E0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981</v>
      </c>
      <c r="AJ1336">
        <v>39.032556999999997</v>
      </c>
      <c r="AK1336" t="s">
        <v>982</v>
      </c>
      <c r="AL1336">
        <v>-87.539792000000006</v>
      </c>
      <c r="AM1336">
        <v>100</v>
      </c>
      <c r="AN1336">
        <v>2800</v>
      </c>
      <c r="AO1336" t="s">
        <v>118</v>
      </c>
      <c r="AP1336">
        <v>-96</v>
      </c>
      <c r="AQ1336">
        <v>-127</v>
      </c>
      <c r="AR1336">
        <v>64</v>
      </c>
      <c r="AZ1336">
        <v>4552</v>
      </c>
      <c r="BA1336">
        <v>1</v>
      </c>
      <c r="BB1336" t="str">
        <f t="shared" si="104"/>
        <v xml:space="preserve">N607SR  </v>
      </c>
      <c r="BC1336">
        <v>1</v>
      </c>
      <c r="BE1336">
        <v>0</v>
      </c>
      <c r="BF1336">
        <v>0</v>
      </c>
      <c r="BG1336">
        <v>0</v>
      </c>
      <c r="BH1336">
        <v>2600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 t="shared" si="127"/>
        <v>06:16:02.700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6</v>
      </c>
      <c r="CP1336" t="s">
        <v>119</v>
      </c>
      <c r="CQ1336">
        <v>465</v>
      </c>
      <c r="CR1336">
        <v>0</v>
      </c>
      <c r="CW1336">
        <v>4720243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si="124"/>
        <v>08/29/2020 06:15:59.455</v>
      </c>
      <c r="C1337" t="str">
        <f t="shared" si="102"/>
        <v>FFDFD3C0</v>
      </c>
      <c r="D1337" t="s">
        <v>121</v>
      </c>
      <c r="E1337">
        <v>10</v>
      </c>
      <c r="F1337">
        <v>1010</v>
      </c>
      <c r="G1337" t="s">
        <v>114</v>
      </c>
      <c r="J1337" t="s">
        <v>123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125"/>
        <v>06:16:02.695</v>
      </c>
      <c r="T1337" t="str">
        <f t="shared" si="126"/>
        <v>06:16:02.195</v>
      </c>
      <c r="U1337" t="str">
        <f t="shared" si="103"/>
        <v>A7E2E0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981</v>
      </c>
      <c r="AJ1337">
        <v>39.032556999999997</v>
      </c>
      <c r="AK1337" t="s">
        <v>982</v>
      </c>
      <c r="AL1337">
        <v>-87.539792000000006</v>
      </c>
      <c r="AM1337">
        <v>100</v>
      </c>
      <c r="AN1337">
        <v>2800</v>
      </c>
      <c r="AO1337" t="s">
        <v>118</v>
      </c>
      <c r="AP1337">
        <v>-96</v>
      </c>
      <c r="AQ1337">
        <v>-127</v>
      </c>
      <c r="AR1337">
        <v>64</v>
      </c>
      <c r="AZ1337">
        <v>4552</v>
      </c>
      <c r="BA1337">
        <v>1</v>
      </c>
      <c r="BB1337" t="str">
        <f t="shared" si="104"/>
        <v xml:space="preserve">N607SR  </v>
      </c>
      <c r="BC1337">
        <v>1</v>
      </c>
      <c r="BE1337">
        <v>0</v>
      </c>
      <c r="BF1337">
        <v>0</v>
      </c>
      <c r="BG1337">
        <v>0</v>
      </c>
      <c r="BH1337">
        <v>2600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 t="shared" si="127"/>
        <v>06:16:02.700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6</v>
      </c>
      <c r="CP1337" t="s">
        <v>119</v>
      </c>
      <c r="CQ1337">
        <v>465</v>
      </c>
      <c r="CR1337">
        <v>0</v>
      </c>
      <c r="CW1337">
        <v>4720243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 t="shared" si="124"/>
        <v>08/29/2020 06:15:59.455</v>
      </c>
      <c r="C1338" t="str">
        <f t="shared" si="102"/>
        <v>FFDFD3C0</v>
      </c>
      <c r="D1338" t="s">
        <v>121</v>
      </c>
      <c r="E1338">
        <v>13</v>
      </c>
      <c r="F1338">
        <v>1013</v>
      </c>
      <c r="G1338" t="s">
        <v>122</v>
      </c>
      <c r="J1338" t="s">
        <v>123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125"/>
        <v>06:16:02.695</v>
      </c>
      <c r="T1338" t="str">
        <f t="shared" si="126"/>
        <v>06:16:02.195</v>
      </c>
      <c r="U1338" t="str">
        <f t="shared" si="103"/>
        <v>A7E2E0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981</v>
      </c>
      <c r="AJ1338">
        <v>39.032556999999997</v>
      </c>
      <c r="AK1338" t="s">
        <v>982</v>
      </c>
      <c r="AL1338">
        <v>-87.539792000000006</v>
      </c>
      <c r="AM1338">
        <v>100</v>
      </c>
      <c r="AN1338">
        <v>2800</v>
      </c>
      <c r="AO1338" t="s">
        <v>118</v>
      </c>
      <c r="AP1338">
        <v>-96</v>
      </c>
      <c r="AQ1338">
        <v>-127</v>
      </c>
      <c r="AR1338">
        <v>64</v>
      </c>
      <c r="AZ1338">
        <v>4552</v>
      </c>
      <c r="BA1338">
        <v>1</v>
      </c>
      <c r="BB1338" t="str">
        <f t="shared" si="104"/>
        <v xml:space="preserve">N607SR  </v>
      </c>
      <c r="BC1338">
        <v>1</v>
      </c>
      <c r="BE1338">
        <v>0</v>
      </c>
      <c r="BF1338">
        <v>0</v>
      </c>
      <c r="BG1338">
        <v>0</v>
      </c>
      <c r="BH1338">
        <v>2600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 t="shared" si="127"/>
        <v>06:16:02.700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465</v>
      </c>
      <c r="CR1338">
        <v>0</v>
      </c>
      <c r="CW1338">
        <v>4720243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 t="shared" ref="A1339:A1344" si="128">"08/29/2020 06:16:00.419"</f>
        <v>08/29/2020 06:16:00.419</v>
      </c>
      <c r="C1339" t="str">
        <f t="shared" si="102"/>
        <v>FFDFD3C0</v>
      </c>
      <c r="D1339" t="s">
        <v>128</v>
      </c>
      <c r="E1339">
        <v>5</v>
      </c>
      <c r="H1339">
        <v>241</v>
      </c>
      <c r="I1339" t="s">
        <v>129</v>
      </c>
      <c r="J1339" t="s">
        <v>130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S1344" si="129">"06:16:03.672"</f>
        <v>06:16:03.672</v>
      </c>
      <c r="U1339" t="str">
        <f t="shared" si="103"/>
        <v>A7E2E0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983</v>
      </c>
      <c r="AJ1339">
        <v>39.031998999999999</v>
      </c>
      <c r="AK1339" t="s">
        <v>984</v>
      </c>
      <c r="AL1339">
        <v>-87.540350000000004</v>
      </c>
      <c r="AM1339">
        <v>100</v>
      </c>
      <c r="AN1339">
        <v>2800</v>
      </c>
      <c r="AO1339" t="s">
        <v>118</v>
      </c>
      <c r="AP1339">
        <v>-96</v>
      </c>
      <c r="AQ1339">
        <v>-127</v>
      </c>
      <c r="AR1339">
        <v>0</v>
      </c>
      <c r="AZ1339">
        <v>4552</v>
      </c>
      <c r="BA1339">
        <v>1</v>
      </c>
      <c r="BB1339" t="str">
        <f t="shared" si="104"/>
        <v xml:space="preserve">N607SR  </v>
      </c>
      <c r="BC1339">
        <v>1</v>
      </c>
      <c r="BE1339">
        <v>0</v>
      </c>
      <c r="BF1339">
        <v>0</v>
      </c>
      <c r="BG1339">
        <v>0</v>
      </c>
      <c r="BH1339">
        <v>2600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 t="shared" ref="BW1339:BW1344" si="130">"06:16:03.678"</f>
        <v>06:16:03.678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465</v>
      </c>
      <c r="CR1339">
        <v>0</v>
      </c>
      <c r="CW1339">
        <v>4720272</v>
      </c>
      <c r="CY1339">
        <v>1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 t="shared" si="128"/>
        <v>08/29/2020 06:16:00.419</v>
      </c>
      <c r="C1340" t="str">
        <f t="shared" si="102"/>
        <v>FFDFD3C0</v>
      </c>
      <c r="D1340" t="s">
        <v>113</v>
      </c>
      <c r="E1340">
        <v>5</v>
      </c>
      <c r="H1340">
        <v>163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129"/>
        <v>06:16:03.672</v>
      </c>
      <c r="U1340" t="str">
        <f t="shared" si="103"/>
        <v>A7E2E0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983</v>
      </c>
      <c r="AJ1340">
        <v>39.031998999999999</v>
      </c>
      <c r="AK1340" t="s">
        <v>984</v>
      </c>
      <c r="AL1340">
        <v>-87.540350000000004</v>
      </c>
      <c r="AM1340">
        <v>100</v>
      </c>
      <c r="AN1340">
        <v>2800</v>
      </c>
      <c r="AO1340" t="s">
        <v>118</v>
      </c>
      <c r="AP1340">
        <v>-96</v>
      </c>
      <c r="AQ1340">
        <v>-127</v>
      </c>
      <c r="AR1340">
        <v>0</v>
      </c>
      <c r="AZ1340">
        <v>4552</v>
      </c>
      <c r="BA1340">
        <v>1</v>
      </c>
      <c r="BB1340" t="str">
        <f t="shared" si="104"/>
        <v xml:space="preserve">N607SR  </v>
      </c>
      <c r="BC1340">
        <v>1</v>
      </c>
      <c r="BE1340">
        <v>0</v>
      </c>
      <c r="BF1340">
        <v>0</v>
      </c>
      <c r="BG1340">
        <v>0</v>
      </c>
      <c r="BH1340">
        <v>2600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 t="shared" si="130"/>
        <v>06:16:03.678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465</v>
      </c>
      <c r="CR1340">
        <v>0</v>
      </c>
      <c r="CW1340">
        <v>4720272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 t="shared" si="128"/>
        <v>08/29/2020 06:16:00.419</v>
      </c>
      <c r="C1341" t="str">
        <f t="shared" si="102"/>
        <v>FFDFD3C0</v>
      </c>
      <c r="D1341" t="s">
        <v>939</v>
      </c>
      <c r="E1341">
        <v>10</v>
      </c>
      <c r="H1341">
        <v>79</v>
      </c>
      <c r="I1341" t="s">
        <v>940</v>
      </c>
      <c r="J1341" t="s">
        <v>130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129"/>
        <v>06:16:03.672</v>
      </c>
      <c r="U1341" t="str">
        <f t="shared" si="103"/>
        <v>A7E2E0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983</v>
      </c>
      <c r="AJ1341">
        <v>39.031998999999999</v>
      </c>
      <c r="AK1341" t="s">
        <v>984</v>
      </c>
      <c r="AL1341">
        <v>-87.540350000000004</v>
      </c>
      <c r="AM1341">
        <v>100</v>
      </c>
      <c r="AN1341">
        <v>2800</v>
      </c>
      <c r="AO1341" t="s">
        <v>118</v>
      </c>
      <c r="AP1341">
        <v>-96</v>
      </c>
      <c r="AQ1341">
        <v>-127</v>
      </c>
      <c r="AR1341">
        <v>0</v>
      </c>
      <c r="AZ1341">
        <v>4552</v>
      </c>
      <c r="BA1341">
        <v>1</v>
      </c>
      <c r="BB1341" t="str">
        <f t="shared" si="104"/>
        <v xml:space="preserve">N607SR  </v>
      </c>
      <c r="BC1341">
        <v>1</v>
      </c>
      <c r="BE1341">
        <v>0</v>
      </c>
      <c r="BF1341">
        <v>0</v>
      </c>
      <c r="BG1341">
        <v>0</v>
      </c>
      <c r="BH1341">
        <v>2600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 t="shared" si="130"/>
        <v>06:16:03.678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465</v>
      </c>
      <c r="CR1341">
        <v>0</v>
      </c>
      <c r="CW1341">
        <v>4720272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 t="shared" si="128"/>
        <v>08/29/2020 06:16:00.419</v>
      </c>
      <c r="C1342" t="str">
        <f t="shared" si="102"/>
        <v>FFDFD3C0</v>
      </c>
      <c r="D1342" t="s">
        <v>121</v>
      </c>
      <c r="E1342">
        <v>11</v>
      </c>
      <c r="F1342">
        <v>1011</v>
      </c>
      <c r="G1342" t="s">
        <v>125</v>
      </c>
      <c r="J1342" t="s">
        <v>123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129"/>
        <v>06:16:03.672</v>
      </c>
      <c r="U1342" t="str">
        <f t="shared" si="103"/>
        <v>A7E2E0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983</v>
      </c>
      <c r="AJ1342">
        <v>39.031998999999999</v>
      </c>
      <c r="AK1342" t="s">
        <v>984</v>
      </c>
      <c r="AL1342">
        <v>-87.540350000000004</v>
      </c>
      <c r="AM1342">
        <v>100</v>
      </c>
      <c r="AN1342">
        <v>2800</v>
      </c>
      <c r="AO1342" t="s">
        <v>118</v>
      </c>
      <c r="AP1342">
        <v>-96</v>
      </c>
      <c r="AQ1342">
        <v>-127</v>
      </c>
      <c r="AR1342">
        <v>0</v>
      </c>
      <c r="AZ1342">
        <v>4552</v>
      </c>
      <c r="BA1342">
        <v>1</v>
      </c>
      <c r="BB1342" t="str">
        <f t="shared" si="104"/>
        <v xml:space="preserve">N607SR  </v>
      </c>
      <c r="BC1342">
        <v>1</v>
      </c>
      <c r="BE1342">
        <v>0</v>
      </c>
      <c r="BF1342">
        <v>0</v>
      </c>
      <c r="BG1342">
        <v>0</v>
      </c>
      <c r="BH1342">
        <v>2600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 t="shared" si="130"/>
        <v>06:16:03.678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4</v>
      </c>
      <c r="CP1342" t="s">
        <v>119</v>
      </c>
      <c r="CQ1342">
        <v>528</v>
      </c>
      <c r="CR1342">
        <v>1</v>
      </c>
      <c r="CW1342">
        <v>13097070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 t="shared" si="128"/>
        <v>08/29/2020 06:16:00.419</v>
      </c>
      <c r="C1343" t="str">
        <f t="shared" si="102"/>
        <v>FFDFD3C0</v>
      </c>
      <c r="D1343" t="s">
        <v>121</v>
      </c>
      <c r="E1343">
        <v>10</v>
      </c>
      <c r="F1343">
        <v>1010</v>
      </c>
      <c r="G1343" t="s">
        <v>114</v>
      </c>
      <c r="J1343" t="s">
        <v>123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129"/>
        <v>06:16:03.672</v>
      </c>
      <c r="U1343" t="str">
        <f t="shared" si="103"/>
        <v>A7E2E0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983</v>
      </c>
      <c r="AJ1343">
        <v>39.031998999999999</v>
      </c>
      <c r="AK1343" t="s">
        <v>984</v>
      </c>
      <c r="AL1343">
        <v>-87.540350000000004</v>
      </c>
      <c r="AM1343">
        <v>100</v>
      </c>
      <c r="AN1343">
        <v>2800</v>
      </c>
      <c r="AO1343" t="s">
        <v>118</v>
      </c>
      <c r="AP1343">
        <v>-96</v>
      </c>
      <c r="AQ1343">
        <v>-127</v>
      </c>
      <c r="AR1343">
        <v>0</v>
      </c>
      <c r="AZ1343">
        <v>4552</v>
      </c>
      <c r="BA1343">
        <v>1</v>
      </c>
      <c r="BB1343" t="str">
        <f t="shared" si="104"/>
        <v xml:space="preserve">N607SR  </v>
      </c>
      <c r="BC1343">
        <v>1</v>
      </c>
      <c r="BE1343">
        <v>0</v>
      </c>
      <c r="BF1343">
        <v>0</v>
      </c>
      <c r="BG1343">
        <v>0</v>
      </c>
      <c r="BH1343">
        <v>2600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 t="shared" si="130"/>
        <v>06:16:03.678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465</v>
      </c>
      <c r="CR1343">
        <v>0</v>
      </c>
      <c r="CW1343">
        <v>4720272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 t="shared" si="128"/>
        <v>08/29/2020 06:16:00.419</v>
      </c>
      <c r="C1344" t="str">
        <f t="shared" si="102"/>
        <v>FFDFD3C0</v>
      </c>
      <c r="D1344" t="s">
        <v>121</v>
      </c>
      <c r="E1344">
        <v>13</v>
      </c>
      <c r="F1344">
        <v>1013</v>
      </c>
      <c r="G1344" t="s">
        <v>122</v>
      </c>
      <c r="J1344" t="s">
        <v>123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129"/>
        <v>06:16:03.672</v>
      </c>
      <c r="U1344" t="str">
        <f t="shared" si="103"/>
        <v>A7E2E0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983</v>
      </c>
      <c r="AJ1344">
        <v>39.031998999999999</v>
      </c>
      <c r="AK1344" t="s">
        <v>984</v>
      </c>
      <c r="AL1344">
        <v>-87.540350000000004</v>
      </c>
      <c r="AM1344">
        <v>100</v>
      </c>
      <c r="AN1344">
        <v>2800</v>
      </c>
      <c r="AO1344" t="s">
        <v>118</v>
      </c>
      <c r="AP1344">
        <v>-96</v>
      </c>
      <c r="AQ1344">
        <v>-127</v>
      </c>
      <c r="AR1344">
        <v>0</v>
      </c>
      <c r="AZ1344">
        <v>4552</v>
      </c>
      <c r="BA1344">
        <v>1</v>
      </c>
      <c r="BB1344" t="str">
        <f t="shared" si="104"/>
        <v xml:space="preserve">N607SR  </v>
      </c>
      <c r="BC1344">
        <v>1</v>
      </c>
      <c r="BE1344">
        <v>0</v>
      </c>
      <c r="BF1344">
        <v>0</v>
      </c>
      <c r="BG1344">
        <v>0</v>
      </c>
      <c r="BH1344">
        <v>2600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 t="shared" si="130"/>
        <v>06:16:03.678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465</v>
      </c>
      <c r="CR1344">
        <v>0</v>
      </c>
      <c r="CW1344">
        <v>4720272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 t="shared" ref="A1345:A1350" si="131">"08/29/2020 06:16:01.530"</f>
        <v>08/29/2020 06:16:01.530</v>
      </c>
      <c r="C1345" t="str">
        <f t="shared" si="102"/>
        <v>FFDFD3C0</v>
      </c>
      <c r="D1345" t="s">
        <v>939</v>
      </c>
      <c r="E1345">
        <v>10</v>
      </c>
      <c r="H1345">
        <v>79</v>
      </c>
      <c r="I1345" t="s">
        <v>940</v>
      </c>
      <c r="J1345" t="s">
        <v>130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S1350" si="132">"06:16:04.781"</f>
        <v>06:16:04.781</v>
      </c>
      <c r="T1345" t="str">
        <f>"06:16:04.281"</f>
        <v>06:16:04.281</v>
      </c>
      <c r="U1345" t="str">
        <f t="shared" si="103"/>
        <v>A7E2E0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985</v>
      </c>
      <c r="AJ1345">
        <v>39.031354999999998</v>
      </c>
      <c r="AK1345" t="s">
        <v>986</v>
      </c>
      <c r="AL1345">
        <v>-87.540971999999996</v>
      </c>
      <c r="AM1345">
        <v>100</v>
      </c>
      <c r="AN1345">
        <v>2800</v>
      </c>
      <c r="AO1345" t="s">
        <v>118</v>
      </c>
      <c r="AP1345">
        <v>-95</v>
      </c>
      <c r="AQ1345">
        <v>-127</v>
      </c>
      <c r="AR1345">
        <v>0</v>
      </c>
      <c r="AZ1345">
        <v>4552</v>
      </c>
      <c r="BA1345">
        <v>1</v>
      </c>
      <c r="BB1345" t="str">
        <f t="shared" si="104"/>
        <v xml:space="preserve">N607SR  </v>
      </c>
      <c r="BC1345">
        <v>1</v>
      </c>
      <c r="BE1345">
        <v>0</v>
      </c>
      <c r="BF1345">
        <v>0</v>
      </c>
      <c r="BG1345">
        <v>0</v>
      </c>
      <c r="BH1345">
        <v>2600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 t="shared" ref="BW1345:BW1350" si="133">"06:16:04.786"</f>
        <v>06:16:04.786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6</v>
      </c>
      <c r="CP1345" t="s">
        <v>119</v>
      </c>
      <c r="CQ1345">
        <v>465</v>
      </c>
      <c r="CR1345">
        <v>0</v>
      </c>
      <c r="CW1345">
        <v>4720309</v>
      </c>
      <c r="CY1345">
        <v>1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 t="shared" si="131"/>
        <v>08/29/2020 06:16:01.530</v>
      </c>
      <c r="C1346" t="str">
        <f t="shared" ref="C1346:C1409" si="134">"FFDFD3C0"</f>
        <v>FFDFD3C0</v>
      </c>
      <c r="D1346" t="s">
        <v>128</v>
      </c>
      <c r="E1346">
        <v>5</v>
      </c>
      <c r="H1346">
        <v>241</v>
      </c>
      <c r="I1346" t="s">
        <v>129</v>
      </c>
      <c r="J1346" t="s">
        <v>130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132"/>
        <v>06:16:04.781</v>
      </c>
      <c r="U1346" t="str">
        <f t="shared" ref="U1346:U1409" si="135">"A7E2E0"</f>
        <v>A7E2E0</v>
      </c>
      <c r="V1346">
        <v>0</v>
      </c>
      <c r="W1346">
        <v>0</v>
      </c>
      <c r="X1346">
        <v>1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985</v>
      </c>
      <c r="AJ1346">
        <v>39.031354999999998</v>
      </c>
      <c r="AK1346" t="s">
        <v>986</v>
      </c>
      <c r="AL1346">
        <v>-87.540971999999996</v>
      </c>
      <c r="AM1346">
        <v>100</v>
      </c>
      <c r="AN1346">
        <v>2800</v>
      </c>
      <c r="AO1346" t="s">
        <v>118</v>
      </c>
      <c r="AP1346">
        <v>-96</v>
      </c>
      <c r="AQ1346">
        <v>-127</v>
      </c>
      <c r="AR1346">
        <v>0</v>
      </c>
      <c r="AZ1346">
        <v>4552</v>
      </c>
      <c r="BA1346">
        <v>1</v>
      </c>
      <c r="BB1346" t="str">
        <f t="shared" ref="BB1346:BB1409" si="136">"N607SR  "</f>
        <v xml:space="preserve">N607SR  </v>
      </c>
      <c r="BC1346">
        <v>1</v>
      </c>
      <c r="BE1346">
        <v>0</v>
      </c>
      <c r="BF1346">
        <v>0</v>
      </c>
      <c r="BG1346">
        <v>0</v>
      </c>
      <c r="BH1346">
        <v>2600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 t="shared" si="133"/>
        <v>06:16:04.786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4</v>
      </c>
      <c r="CP1346" t="s">
        <v>119</v>
      </c>
      <c r="CQ1346">
        <v>528</v>
      </c>
      <c r="CR1346">
        <v>0</v>
      </c>
      <c r="CW1346">
        <v>13097097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 t="shared" si="131"/>
        <v>08/29/2020 06:16:01.530</v>
      </c>
      <c r="C1347" t="str">
        <f t="shared" si="134"/>
        <v>FFDFD3C0</v>
      </c>
      <c r="D1347" t="s">
        <v>121</v>
      </c>
      <c r="E1347">
        <v>11</v>
      </c>
      <c r="F1347">
        <v>1011</v>
      </c>
      <c r="G1347" t="s">
        <v>125</v>
      </c>
      <c r="J1347" t="s">
        <v>123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132"/>
        <v>06:16:04.781</v>
      </c>
      <c r="U1347" t="str">
        <f t="shared" si="135"/>
        <v>A7E2E0</v>
      </c>
      <c r="V1347">
        <v>0</v>
      </c>
      <c r="W1347">
        <v>0</v>
      </c>
      <c r="X1347">
        <v>1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985</v>
      </c>
      <c r="AJ1347">
        <v>39.031354999999998</v>
      </c>
      <c r="AK1347" t="s">
        <v>986</v>
      </c>
      <c r="AL1347">
        <v>-87.540971999999996</v>
      </c>
      <c r="AM1347">
        <v>100</v>
      </c>
      <c r="AN1347">
        <v>2800</v>
      </c>
      <c r="AO1347" t="s">
        <v>118</v>
      </c>
      <c r="AP1347">
        <v>-96</v>
      </c>
      <c r="AQ1347">
        <v>-127</v>
      </c>
      <c r="AR1347">
        <v>0</v>
      </c>
      <c r="AZ1347">
        <v>4552</v>
      </c>
      <c r="BA1347">
        <v>1</v>
      </c>
      <c r="BB1347" t="str">
        <f t="shared" si="136"/>
        <v xml:space="preserve">N607SR  </v>
      </c>
      <c r="BC1347">
        <v>1</v>
      </c>
      <c r="BE1347">
        <v>0</v>
      </c>
      <c r="BF1347">
        <v>0</v>
      </c>
      <c r="BG1347">
        <v>0</v>
      </c>
      <c r="BH1347">
        <v>2600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 t="shared" si="133"/>
        <v>06:16:04.786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4</v>
      </c>
      <c r="CP1347" t="s">
        <v>119</v>
      </c>
      <c r="CQ1347">
        <v>528</v>
      </c>
      <c r="CR1347">
        <v>0</v>
      </c>
      <c r="CW1347">
        <v>13097097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 t="shared" si="131"/>
        <v>08/29/2020 06:16:01.530</v>
      </c>
      <c r="C1348" t="str">
        <f t="shared" si="134"/>
        <v>FFDFD3C0</v>
      </c>
      <c r="D1348" t="s">
        <v>113</v>
      </c>
      <c r="E1348">
        <v>5</v>
      </c>
      <c r="H1348">
        <v>163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132"/>
        <v>06:16:04.781</v>
      </c>
      <c r="T1348" t="str">
        <f>"06:16:04.281"</f>
        <v>06:16:04.281</v>
      </c>
      <c r="U1348" t="str">
        <f t="shared" si="135"/>
        <v>A7E2E0</v>
      </c>
      <c r="V1348">
        <v>0</v>
      </c>
      <c r="W1348">
        <v>0</v>
      </c>
      <c r="X1348">
        <v>1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985</v>
      </c>
      <c r="AJ1348">
        <v>39.031354999999998</v>
      </c>
      <c r="AK1348" t="s">
        <v>986</v>
      </c>
      <c r="AL1348">
        <v>-87.540971999999996</v>
      </c>
      <c r="AM1348">
        <v>100</v>
      </c>
      <c r="AN1348">
        <v>2800</v>
      </c>
      <c r="AO1348" t="s">
        <v>118</v>
      </c>
      <c r="AP1348">
        <v>-95</v>
      </c>
      <c r="AQ1348">
        <v>-127</v>
      </c>
      <c r="AR1348">
        <v>0</v>
      </c>
      <c r="AZ1348">
        <v>4552</v>
      </c>
      <c r="BA1348">
        <v>1</v>
      </c>
      <c r="BB1348" t="str">
        <f t="shared" si="136"/>
        <v xml:space="preserve">N607SR  </v>
      </c>
      <c r="BC1348">
        <v>1</v>
      </c>
      <c r="BE1348">
        <v>0</v>
      </c>
      <c r="BF1348">
        <v>0</v>
      </c>
      <c r="BG1348">
        <v>0</v>
      </c>
      <c r="BH1348">
        <v>2600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 t="shared" si="133"/>
        <v>06:16:04.786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6</v>
      </c>
      <c r="CP1348" t="s">
        <v>119</v>
      </c>
      <c r="CQ1348">
        <v>457</v>
      </c>
      <c r="CR1348">
        <v>0</v>
      </c>
      <c r="CW1348">
        <v>15516303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 t="shared" si="131"/>
        <v>08/29/2020 06:16:01.530</v>
      </c>
      <c r="C1349" t="str">
        <f t="shared" si="134"/>
        <v>FFDFD3C0</v>
      </c>
      <c r="D1349" t="s">
        <v>121</v>
      </c>
      <c r="E1349">
        <v>10</v>
      </c>
      <c r="F1349">
        <v>1010</v>
      </c>
      <c r="G1349" t="s">
        <v>114</v>
      </c>
      <c r="J1349" t="s">
        <v>123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132"/>
        <v>06:16:04.781</v>
      </c>
      <c r="U1349" t="str">
        <f t="shared" si="135"/>
        <v>A7E2E0</v>
      </c>
      <c r="V1349">
        <v>0</v>
      </c>
      <c r="W1349">
        <v>0</v>
      </c>
      <c r="X1349">
        <v>1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985</v>
      </c>
      <c r="AJ1349">
        <v>39.031354999999998</v>
      </c>
      <c r="AK1349" t="s">
        <v>986</v>
      </c>
      <c r="AL1349">
        <v>-87.540971999999996</v>
      </c>
      <c r="AM1349">
        <v>100</v>
      </c>
      <c r="AN1349">
        <v>2800</v>
      </c>
      <c r="AO1349" t="s">
        <v>118</v>
      </c>
      <c r="AP1349">
        <v>-96</v>
      </c>
      <c r="AQ1349">
        <v>-127</v>
      </c>
      <c r="AR1349">
        <v>0</v>
      </c>
      <c r="AZ1349">
        <v>4552</v>
      </c>
      <c r="BA1349">
        <v>1</v>
      </c>
      <c r="BB1349" t="str">
        <f t="shared" si="136"/>
        <v xml:space="preserve">N607SR  </v>
      </c>
      <c r="BC1349">
        <v>1</v>
      </c>
      <c r="BE1349">
        <v>0</v>
      </c>
      <c r="BF1349">
        <v>0</v>
      </c>
      <c r="BG1349">
        <v>0</v>
      </c>
      <c r="BH1349">
        <v>2600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 t="shared" si="133"/>
        <v>06:16:04.786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4</v>
      </c>
      <c r="CP1349" t="s">
        <v>119</v>
      </c>
      <c r="CQ1349">
        <v>528</v>
      </c>
      <c r="CR1349">
        <v>0</v>
      </c>
      <c r="CW1349">
        <v>13097097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 t="shared" si="131"/>
        <v>08/29/2020 06:16:01.530</v>
      </c>
      <c r="C1350" t="str">
        <f t="shared" si="134"/>
        <v>FFDFD3C0</v>
      </c>
      <c r="D1350" t="s">
        <v>121</v>
      </c>
      <c r="E1350">
        <v>13</v>
      </c>
      <c r="F1350">
        <v>1013</v>
      </c>
      <c r="G1350" t="s">
        <v>122</v>
      </c>
      <c r="J1350" t="s">
        <v>123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132"/>
        <v>06:16:04.781</v>
      </c>
      <c r="U1350" t="str">
        <f t="shared" si="135"/>
        <v>A7E2E0</v>
      </c>
      <c r="V1350">
        <v>0</v>
      </c>
      <c r="W1350">
        <v>0</v>
      </c>
      <c r="X1350">
        <v>1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985</v>
      </c>
      <c r="AJ1350">
        <v>39.031354999999998</v>
      </c>
      <c r="AK1350" t="s">
        <v>986</v>
      </c>
      <c r="AL1350">
        <v>-87.540971999999996</v>
      </c>
      <c r="AM1350">
        <v>100</v>
      </c>
      <c r="AN1350">
        <v>2800</v>
      </c>
      <c r="AO1350" t="s">
        <v>118</v>
      </c>
      <c r="AP1350">
        <v>-96</v>
      </c>
      <c r="AQ1350">
        <v>-127</v>
      </c>
      <c r="AR1350">
        <v>0</v>
      </c>
      <c r="AZ1350">
        <v>4552</v>
      </c>
      <c r="BA1350">
        <v>1</v>
      </c>
      <c r="BB1350" t="str">
        <f t="shared" si="136"/>
        <v xml:space="preserve">N607SR  </v>
      </c>
      <c r="BC1350">
        <v>1</v>
      </c>
      <c r="BE1350">
        <v>0</v>
      </c>
      <c r="BF1350">
        <v>0</v>
      </c>
      <c r="BG1350">
        <v>0</v>
      </c>
      <c r="BH1350">
        <v>2600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 t="shared" si="133"/>
        <v>06:16:04.786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4</v>
      </c>
      <c r="CP1350" t="s">
        <v>119</v>
      </c>
      <c r="CQ1350">
        <v>528</v>
      </c>
      <c r="CR1350">
        <v>0</v>
      </c>
      <c r="CW1350">
        <v>13097097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 t="shared" ref="A1351:A1356" si="137">"08/29/2020 06:16:02.456"</f>
        <v>08/29/2020 06:16:02.456</v>
      </c>
      <c r="C1351" t="str">
        <f t="shared" si="134"/>
        <v>FFDFD3C0</v>
      </c>
      <c r="D1351" t="s">
        <v>121</v>
      </c>
      <c r="E1351">
        <v>11</v>
      </c>
      <c r="F1351">
        <v>1011</v>
      </c>
      <c r="G1351" t="s">
        <v>125</v>
      </c>
      <c r="J1351" t="s">
        <v>123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ref="S1351:S1356" si="138">"06:16:05.680"</f>
        <v>06:16:05.680</v>
      </c>
      <c r="T1351" t="str">
        <f t="shared" ref="T1351:T1356" si="139">"06:16:05.280"</f>
        <v>06:16:05.280</v>
      </c>
      <c r="U1351" t="str">
        <f t="shared" si="135"/>
        <v>A7E2E0</v>
      </c>
      <c r="V1351">
        <v>0</v>
      </c>
      <c r="W1351">
        <v>0</v>
      </c>
      <c r="X1351">
        <v>1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987</v>
      </c>
      <c r="AJ1351">
        <v>39.030839999999998</v>
      </c>
      <c r="AK1351" t="s">
        <v>988</v>
      </c>
      <c r="AL1351">
        <v>-87.541443999999998</v>
      </c>
      <c r="AM1351">
        <v>100</v>
      </c>
      <c r="AN1351">
        <v>2800</v>
      </c>
      <c r="AO1351" t="s">
        <v>118</v>
      </c>
      <c r="AP1351">
        <v>-95</v>
      </c>
      <c r="AQ1351">
        <v>-127</v>
      </c>
      <c r="AR1351">
        <v>0</v>
      </c>
      <c r="AZ1351">
        <v>4552</v>
      </c>
      <c r="BA1351">
        <v>1</v>
      </c>
      <c r="BB1351" t="str">
        <f t="shared" si="136"/>
        <v xml:space="preserve">N607SR  </v>
      </c>
      <c r="BC1351">
        <v>1</v>
      </c>
      <c r="BE1351">
        <v>0</v>
      </c>
      <c r="BF1351">
        <v>0</v>
      </c>
      <c r="BG1351">
        <v>0</v>
      </c>
      <c r="BH1351">
        <v>2600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 t="shared" ref="BW1351:BW1356" si="140">"06:16:05.687"</f>
        <v>06:16:05.687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6</v>
      </c>
      <c r="CP1351" t="s">
        <v>119</v>
      </c>
      <c r="CQ1351">
        <v>457</v>
      </c>
      <c r="CR1351">
        <v>0</v>
      </c>
      <c r="CW1351">
        <v>15516330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 t="shared" si="137"/>
        <v>08/29/2020 06:16:02.456</v>
      </c>
      <c r="C1352" t="str">
        <f t="shared" si="134"/>
        <v>FFDFD3C0</v>
      </c>
      <c r="D1352" t="s">
        <v>121</v>
      </c>
      <c r="E1352">
        <v>10</v>
      </c>
      <c r="F1352">
        <v>1010</v>
      </c>
      <c r="G1352" t="s">
        <v>114</v>
      </c>
      <c r="J1352" t="s">
        <v>123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138"/>
        <v>06:16:05.680</v>
      </c>
      <c r="T1352" t="str">
        <f t="shared" si="139"/>
        <v>06:16:05.280</v>
      </c>
      <c r="U1352" t="str">
        <f t="shared" si="135"/>
        <v>A7E2E0</v>
      </c>
      <c r="V1352">
        <v>0</v>
      </c>
      <c r="W1352">
        <v>0</v>
      </c>
      <c r="X1352">
        <v>1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987</v>
      </c>
      <c r="AJ1352">
        <v>39.030839999999998</v>
      </c>
      <c r="AK1352" t="s">
        <v>988</v>
      </c>
      <c r="AL1352">
        <v>-87.541443999999998</v>
      </c>
      <c r="AM1352">
        <v>100</v>
      </c>
      <c r="AN1352">
        <v>2800</v>
      </c>
      <c r="AO1352" t="s">
        <v>118</v>
      </c>
      <c r="AP1352">
        <v>-95</v>
      </c>
      <c r="AQ1352">
        <v>-127</v>
      </c>
      <c r="AR1352">
        <v>0</v>
      </c>
      <c r="AZ1352">
        <v>4552</v>
      </c>
      <c r="BA1352">
        <v>1</v>
      </c>
      <c r="BB1352" t="str">
        <f t="shared" si="136"/>
        <v xml:space="preserve">N607SR  </v>
      </c>
      <c r="BC1352">
        <v>1</v>
      </c>
      <c r="BE1352">
        <v>0</v>
      </c>
      <c r="BF1352">
        <v>0</v>
      </c>
      <c r="BG1352">
        <v>0</v>
      </c>
      <c r="BH1352">
        <v>2600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 t="shared" si="140"/>
        <v>06:16:05.687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6</v>
      </c>
      <c r="CP1352" t="s">
        <v>119</v>
      </c>
      <c r="CQ1352">
        <v>465</v>
      </c>
      <c r="CR1352">
        <v>0</v>
      </c>
      <c r="CW1352">
        <v>4720338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 t="shared" si="137"/>
        <v>08/29/2020 06:16:02.456</v>
      </c>
      <c r="C1353" t="str">
        <f t="shared" si="134"/>
        <v>FFDFD3C0</v>
      </c>
      <c r="D1353" t="s">
        <v>939</v>
      </c>
      <c r="E1353">
        <v>10</v>
      </c>
      <c r="H1353">
        <v>79</v>
      </c>
      <c r="I1353" t="s">
        <v>940</v>
      </c>
      <c r="J1353" t="s">
        <v>130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138"/>
        <v>06:16:05.680</v>
      </c>
      <c r="T1353" t="str">
        <f t="shared" si="139"/>
        <v>06:16:05.280</v>
      </c>
      <c r="U1353" t="str">
        <f t="shared" si="135"/>
        <v>A7E2E0</v>
      </c>
      <c r="V1353">
        <v>0</v>
      </c>
      <c r="W1353">
        <v>0</v>
      </c>
      <c r="X1353">
        <v>1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987</v>
      </c>
      <c r="AJ1353">
        <v>39.030839999999998</v>
      </c>
      <c r="AK1353" t="s">
        <v>988</v>
      </c>
      <c r="AL1353">
        <v>-87.541443999999998</v>
      </c>
      <c r="AM1353">
        <v>100</v>
      </c>
      <c r="AN1353">
        <v>2800</v>
      </c>
      <c r="AO1353" t="s">
        <v>118</v>
      </c>
      <c r="AP1353">
        <v>-95</v>
      </c>
      <c r="AQ1353">
        <v>-127</v>
      </c>
      <c r="AR1353">
        <v>0</v>
      </c>
      <c r="AZ1353">
        <v>4552</v>
      </c>
      <c r="BA1353">
        <v>1</v>
      </c>
      <c r="BB1353" t="str">
        <f t="shared" si="136"/>
        <v xml:space="preserve">N607SR  </v>
      </c>
      <c r="BC1353">
        <v>1</v>
      </c>
      <c r="BE1353">
        <v>0</v>
      </c>
      <c r="BF1353">
        <v>0</v>
      </c>
      <c r="BG1353">
        <v>0</v>
      </c>
      <c r="BH1353">
        <v>2600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 t="shared" si="140"/>
        <v>06:16:05.687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6</v>
      </c>
      <c r="CP1353" t="s">
        <v>119</v>
      </c>
      <c r="CQ1353">
        <v>465</v>
      </c>
      <c r="CR1353">
        <v>0</v>
      </c>
      <c r="CW1353">
        <v>4720338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 t="shared" si="137"/>
        <v>08/29/2020 06:16:02.456</v>
      </c>
      <c r="C1354" t="str">
        <f t="shared" si="134"/>
        <v>FFDFD3C0</v>
      </c>
      <c r="D1354" t="s">
        <v>121</v>
      </c>
      <c r="E1354">
        <v>13</v>
      </c>
      <c r="F1354">
        <v>1013</v>
      </c>
      <c r="G1354" t="s">
        <v>122</v>
      </c>
      <c r="J1354" t="s">
        <v>123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138"/>
        <v>06:16:05.680</v>
      </c>
      <c r="T1354" t="str">
        <f t="shared" si="139"/>
        <v>06:16:05.280</v>
      </c>
      <c r="U1354" t="str">
        <f t="shared" si="135"/>
        <v>A7E2E0</v>
      </c>
      <c r="V1354">
        <v>0</v>
      </c>
      <c r="W1354">
        <v>0</v>
      </c>
      <c r="X1354">
        <v>1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987</v>
      </c>
      <c r="AJ1354">
        <v>39.030839999999998</v>
      </c>
      <c r="AK1354" t="s">
        <v>988</v>
      </c>
      <c r="AL1354">
        <v>-87.541443999999998</v>
      </c>
      <c r="AM1354">
        <v>100</v>
      </c>
      <c r="AN1354">
        <v>2800</v>
      </c>
      <c r="AO1354" t="s">
        <v>118</v>
      </c>
      <c r="AP1354">
        <v>-95</v>
      </c>
      <c r="AQ1354">
        <v>-127</v>
      </c>
      <c r="AR1354">
        <v>0</v>
      </c>
      <c r="AZ1354">
        <v>4552</v>
      </c>
      <c r="BA1354">
        <v>1</v>
      </c>
      <c r="BB1354" t="str">
        <f t="shared" si="136"/>
        <v xml:space="preserve">N607SR  </v>
      </c>
      <c r="BC1354">
        <v>1</v>
      </c>
      <c r="BE1354">
        <v>0</v>
      </c>
      <c r="BF1354">
        <v>0</v>
      </c>
      <c r="BG1354">
        <v>0</v>
      </c>
      <c r="BH1354">
        <v>2600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 t="shared" si="140"/>
        <v>06:16:05.687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6</v>
      </c>
      <c r="CP1354" t="s">
        <v>119</v>
      </c>
      <c r="CQ1354">
        <v>465</v>
      </c>
      <c r="CR1354">
        <v>0</v>
      </c>
      <c r="CW1354">
        <v>4720338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 t="shared" si="137"/>
        <v>08/29/2020 06:16:02.456</v>
      </c>
      <c r="C1355" t="str">
        <f t="shared" si="134"/>
        <v>FFDFD3C0</v>
      </c>
      <c r="D1355" t="s">
        <v>128</v>
      </c>
      <c r="E1355">
        <v>5</v>
      </c>
      <c r="H1355">
        <v>241</v>
      </c>
      <c r="I1355" t="s">
        <v>129</v>
      </c>
      <c r="J1355" t="s">
        <v>130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138"/>
        <v>06:16:05.680</v>
      </c>
      <c r="T1355" t="str">
        <f t="shared" si="139"/>
        <v>06:16:05.280</v>
      </c>
      <c r="U1355" t="str">
        <f t="shared" si="135"/>
        <v>A7E2E0</v>
      </c>
      <c r="V1355">
        <v>0</v>
      </c>
      <c r="W1355">
        <v>0</v>
      </c>
      <c r="X1355">
        <v>1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987</v>
      </c>
      <c r="AJ1355">
        <v>39.030839999999998</v>
      </c>
      <c r="AK1355" t="s">
        <v>988</v>
      </c>
      <c r="AL1355">
        <v>-87.541443999999998</v>
      </c>
      <c r="AM1355">
        <v>100</v>
      </c>
      <c r="AN1355">
        <v>2800</v>
      </c>
      <c r="AO1355" t="s">
        <v>118</v>
      </c>
      <c r="AP1355">
        <v>-95</v>
      </c>
      <c r="AQ1355">
        <v>-127</v>
      </c>
      <c r="AR1355">
        <v>0</v>
      </c>
      <c r="AZ1355">
        <v>4552</v>
      </c>
      <c r="BA1355">
        <v>1</v>
      </c>
      <c r="BB1355" t="str">
        <f t="shared" si="136"/>
        <v xml:space="preserve">N607SR  </v>
      </c>
      <c r="BC1355">
        <v>1</v>
      </c>
      <c r="BE1355">
        <v>0</v>
      </c>
      <c r="BF1355">
        <v>0</v>
      </c>
      <c r="BG1355">
        <v>0</v>
      </c>
      <c r="BH1355">
        <v>2600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 t="shared" si="140"/>
        <v>06:16:05.687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6</v>
      </c>
      <c r="CP1355" t="s">
        <v>119</v>
      </c>
      <c r="CQ1355">
        <v>465</v>
      </c>
      <c r="CR1355">
        <v>0</v>
      </c>
      <c r="CW1355">
        <v>4720338</v>
      </c>
      <c r="CY1355">
        <v>1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 t="shared" si="137"/>
        <v>08/29/2020 06:16:02.456</v>
      </c>
      <c r="C1356" t="str">
        <f t="shared" si="134"/>
        <v>FFDFD3C0</v>
      </c>
      <c r="D1356" t="s">
        <v>113</v>
      </c>
      <c r="E1356">
        <v>5</v>
      </c>
      <c r="H1356">
        <v>163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138"/>
        <v>06:16:05.680</v>
      </c>
      <c r="T1356" t="str">
        <f t="shared" si="139"/>
        <v>06:16:05.280</v>
      </c>
      <c r="U1356" t="str">
        <f t="shared" si="135"/>
        <v>A7E2E0</v>
      </c>
      <c r="V1356">
        <v>0</v>
      </c>
      <c r="W1356">
        <v>0</v>
      </c>
      <c r="X1356">
        <v>1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987</v>
      </c>
      <c r="AJ1356">
        <v>39.030839999999998</v>
      </c>
      <c r="AK1356" t="s">
        <v>988</v>
      </c>
      <c r="AL1356">
        <v>-87.541443999999998</v>
      </c>
      <c r="AM1356">
        <v>100</v>
      </c>
      <c r="AN1356">
        <v>2800</v>
      </c>
      <c r="AO1356" t="s">
        <v>118</v>
      </c>
      <c r="AP1356">
        <v>-95</v>
      </c>
      <c r="AQ1356">
        <v>-127</v>
      </c>
      <c r="AR1356">
        <v>0</v>
      </c>
      <c r="AZ1356">
        <v>4552</v>
      </c>
      <c r="BA1356">
        <v>1</v>
      </c>
      <c r="BB1356" t="str">
        <f t="shared" si="136"/>
        <v xml:space="preserve">N607SR  </v>
      </c>
      <c r="BC1356">
        <v>1</v>
      </c>
      <c r="BE1356">
        <v>0</v>
      </c>
      <c r="BF1356">
        <v>0</v>
      </c>
      <c r="BG1356">
        <v>0</v>
      </c>
      <c r="BH1356">
        <v>2600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 t="shared" si="140"/>
        <v>06:16:05.687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6</v>
      </c>
      <c r="CP1356" t="s">
        <v>119</v>
      </c>
      <c r="CQ1356">
        <v>465</v>
      </c>
      <c r="CR1356">
        <v>0</v>
      </c>
      <c r="CW1356">
        <v>4720338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 t="shared" ref="A1357:A1362" si="141">"08/29/2020 06:16:03.467"</f>
        <v>08/29/2020 06:16:03.467</v>
      </c>
      <c r="C1357" t="str">
        <f t="shared" si="134"/>
        <v>FFDFD3C0</v>
      </c>
      <c r="D1357" t="s">
        <v>121</v>
      </c>
      <c r="E1357">
        <v>11</v>
      </c>
      <c r="F1357">
        <v>1011</v>
      </c>
      <c r="G1357" t="s">
        <v>125</v>
      </c>
      <c r="J1357" t="s">
        <v>123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ref="S1357:S1362" si="142">"06:16:06.680"</f>
        <v>06:16:06.680</v>
      </c>
      <c r="T1357" t="str">
        <f>"06:16:06.280"</f>
        <v>06:16:06.280</v>
      </c>
      <c r="U1357" t="str">
        <f t="shared" si="135"/>
        <v>A7E2E0</v>
      </c>
      <c r="V1357">
        <v>0</v>
      </c>
      <c r="W1357">
        <v>0</v>
      </c>
      <c r="X1357">
        <v>1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989</v>
      </c>
      <c r="AJ1357">
        <v>39.030239999999999</v>
      </c>
      <c r="AK1357" t="s">
        <v>990</v>
      </c>
      <c r="AL1357">
        <v>-87.542045000000002</v>
      </c>
      <c r="AM1357">
        <v>100</v>
      </c>
      <c r="AN1357">
        <v>2800</v>
      </c>
      <c r="AO1357" t="s">
        <v>118</v>
      </c>
      <c r="AP1357">
        <v>-95</v>
      </c>
      <c r="AQ1357">
        <v>-127</v>
      </c>
      <c r="AR1357">
        <v>0</v>
      </c>
      <c r="AZ1357">
        <v>4552</v>
      </c>
      <c r="BA1357">
        <v>1</v>
      </c>
      <c r="BB1357" t="str">
        <f t="shared" si="136"/>
        <v xml:space="preserve">N607SR  </v>
      </c>
      <c r="BC1357">
        <v>1</v>
      </c>
      <c r="BE1357">
        <v>0</v>
      </c>
      <c r="BF1357">
        <v>0</v>
      </c>
      <c r="BG1357">
        <v>0</v>
      </c>
      <c r="BH1357">
        <v>2600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 t="shared" ref="BW1357:BW1362" si="143">"06:16:06.686"</f>
        <v>06:16:06.686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6</v>
      </c>
      <c r="CP1357" t="s">
        <v>119</v>
      </c>
      <c r="CQ1357">
        <v>457</v>
      </c>
      <c r="CR1357">
        <v>0</v>
      </c>
      <c r="CW1357">
        <v>15516360</v>
      </c>
      <c r="CY1357">
        <v>1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 t="shared" si="141"/>
        <v>08/29/2020 06:16:03.467</v>
      </c>
      <c r="C1358" t="str">
        <f t="shared" si="134"/>
        <v>FFDFD3C0</v>
      </c>
      <c r="D1358" t="s">
        <v>121</v>
      </c>
      <c r="E1358">
        <v>10</v>
      </c>
      <c r="F1358">
        <v>1010</v>
      </c>
      <c r="G1358" t="s">
        <v>114</v>
      </c>
      <c r="J1358" t="s">
        <v>123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142"/>
        <v>06:16:06.680</v>
      </c>
      <c r="U1358" t="str">
        <f t="shared" si="135"/>
        <v>A7E2E0</v>
      </c>
      <c r="V1358">
        <v>0</v>
      </c>
      <c r="W1358">
        <v>0</v>
      </c>
      <c r="X1358">
        <v>1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989</v>
      </c>
      <c r="AJ1358">
        <v>39.030239999999999</v>
      </c>
      <c r="AK1358" t="s">
        <v>990</v>
      </c>
      <c r="AL1358">
        <v>-87.542045000000002</v>
      </c>
      <c r="AM1358">
        <v>100</v>
      </c>
      <c r="AN1358">
        <v>2800</v>
      </c>
      <c r="AO1358" t="s">
        <v>118</v>
      </c>
      <c r="AP1358">
        <v>-95</v>
      </c>
      <c r="AQ1358">
        <v>-127</v>
      </c>
      <c r="AR1358">
        <v>0</v>
      </c>
      <c r="AZ1358">
        <v>4552</v>
      </c>
      <c r="BA1358">
        <v>1</v>
      </c>
      <c r="BB1358" t="str">
        <f t="shared" si="136"/>
        <v xml:space="preserve">N607SR  </v>
      </c>
      <c r="BC1358">
        <v>1</v>
      </c>
      <c r="BE1358">
        <v>0</v>
      </c>
      <c r="BF1358">
        <v>0</v>
      </c>
      <c r="BG1358">
        <v>0</v>
      </c>
      <c r="BH1358">
        <v>2600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 t="shared" si="143"/>
        <v>06:16:06.686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6</v>
      </c>
      <c r="CP1358" t="s">
        <v>119</v>
      </c>
      <c r="CQ1358">
        <v>465</v>
      </c>
      <c r="CR1358">
        <v>0</v>
      </c>
      <c r="CW1358">
        <v>4720369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 t="shared" si="141"/>
        <v>08/29/2020 06:16:03.467</v>
      </c>
      <c r="C1359" t="str">
        <f t="shared" si="134"/>
        <v>FFDFD3C0</v>
      </c>
      <c r="D1359" t="s">
        <v>939</v>
      </c>
      <c r="E1359">
        <v>10</v>
      </c>
      <c r="H1359">
        <v>79</v>
      </c>
      <c r="I1359" t="s">
        <v>940</v>
      </c>
      <c r="J1359" t="s">
        <v>130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142"/>
        <v>06:16:06.680</v>
      </c>
      <c r="U1359" t="str">
        <f t="shared" si="135"/>
        <v>A7E2E0</v>
      </c>
      <c r="V1359">
        <v>0</v>
      </c>
      <c r="W1359">
        <v>0</v>
      </c>
      <c r="X1359">
        <v>1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989</v>
      </c>
      <c r="AJ1359">
        <v>39.030239999999999</v>
      </c>
      <c r="AK1359" t="s">
        <v>990</v>
      </c>
      <c r="AL1359">
        <v>-87.542045000000002</v>
      </c>
      <c r="AM1359">
        <v>100</v>
      </c>
      <c r="AN1359">
        <v>2800</v>
      </c>
      <c r="AO1359" t="s">
        <v>118</v>
      </c>
      <c r="AP1359">
        <v>-95</v>
      </c>
      <c r="AQ1359">
        <v>-127</v>
      </c>
      <c r="AR1359">
        <v>0</v>
      </c>
      <c r="AZ1359">
        <v>4552</v>
      </c>
      <c r="BA1359">
        <v>1</v>
      </c>
      <c r="BB1359" t="str">
        <f t="shared" si="136"/>
        <v xml:space="preserve">N607SR  </v>
      </c>
      <c r="BC1359">
        <v>1</v>
      </c>
      <c r="BE1359">
        <v>0</v>
      </c>
      <c r="BF1359">
        <v>0</v>
      </c>
      <c r="BG1359">
        <v>0</v>
      </c>
      <c r="BH1359">
        <v>2600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 t="shared" si="143"/>
        <v>06:16:06.686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6</v>
      </c>
      <c r="CP1359" t="s">
        <v>119</v>
      </c>
      <c r="CQ1359">
        <v>465</v>
      </c>
      <c r="CR1359">
        <v>0</v>
      </c>
      <c r="CW1359">
        <v>4720369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 t="shared" si="141"/>
        <v>08/29/2020 06:16:03.467</v>
      </c>
      <c r="C1360" t="str">
        <f t="shared" si="134"/>
        <v>FFDFD3C0</v>
      </c>
      <c r="D1360" t="s">
        <v>121</v>
      </c>
      <c r="E1360">
        <v>13</v>
      </c>
      <c r="F1360">
        <v>1013</v>
      </c>
      <c r="G1360" t="s">
        <v>122</v>
      </c>
      <c r="J1360" t="s">
        <v>123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142"/>
        <v>06:16:06.680</v>
      </c>
      <c r="U1360" t="str">
        <f t="shared" si="135"/>
        <v>A7E2E0</v>
      </c>
      <c r="V1360">
        <v>0</v>
      </c>
      <c r="W1360">
        <v>0</v>
      </c>
      <c r="X1360">
        <v>1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989</v>
      </c>
      <c r="AJ1360">
        <v>39.030239999999999</v>
      </c>
      <c r="AK1360" t="s">
        <v>990</v>
      </c>
      <c r="AL1360">
        <v>-87.542045000000002</v>
      </c>
      <c r="AM1360">
        <v>100</v>
      </c>
      <c r="AN1360">
        <v>2800</v>
      </c>
      <c r="AO1360" t="s">
        <v>118</v>
      </c>
      <c r="AP1360">
        <v>-95</v>
      </c>
      <c r="AQ1360">
        <v>-127</v>
      </c>
      <c r="AR1360">
        <v>0</v>
      </c>
      <c r="AZ1360">
        <v>4552</v>
      </c>
      <c r="BA1360">
        <v>1</v>
      </c>
      <c r="BB1360" t="str">
        <f t="shared" si="136"/>
        <v xml:space="preserve">N607SR  </v>
      </c>
      <c r="BC1360">
        <v>1</v>
      </c>
      <c r="BE1360">
        <v>0</v>
      </c>
      <c r="BF1360">
        <v>0</v>
      </c>
      <c r="BG1360">
        <v>0</v>
      </c>
      <c r="BH1360">
        <v>2600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 t="shared" si="143"/>
        <v>06:16:06.686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6</v>
      </c>
      <c r="CP1360" t="s">
        <v>119</v>
      </c>
      <c r="CQ1360">
        <v>465</v>
      </c>
      <c r="CR1360">
        <v>0</v>
      </c>
      <c r="CW1360">
        <v>4720369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 t="shared" si="141"/>
        <v>08/29/2020 06:16:03.467</v>
      </c>
      <c r="C1361" t="str">
        <f t="shared" si="134"/>
        <v>FFDFD3C0</v>
      </c>
      <c r="D1361" t="s">
        <v>113</v>
      </c>
      <c r="E1361">
        <v>5</v>
      </c>
      <c r="H1361">
        <v>163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142"/>
        <v>06:16:06.680</v>
      </c>
      <c r="U1361" t="str">
        <f t="shared" si="135"/>
        <v>A7E2E0</v>
      </c>
      <c r="V1361">
        <v>0</v>
      </c>
      <c r="W1361">
        <v>0</v>
      </c>
      <c r="X1361">
        <v>1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989</v>
      </c>
      <c r="AJ1361">
        <v>39.030239999999999</v>
      </c>
      <c r="AK1361" t="s">
        <v>990</v>
      </c>
      <c r="AL1361">
        <v>-87.542045000000002</v>
      </c>
      <c r="AM1361">
        <v>100</v>
      </c>
      <c r="AN1361">
        <v>2800</v>
      </c>
      <c r="AO1361" t="s">
        <v>118</v>
      </c>
      <c r="AP1361">
        <v>-95</v>
      </c>
      <c r="AQ1361">
        <v>-127</v>
      </c>
      <c r="AR1361">
        <v>0</v>
      </c>
      <c r="AZ1361">
        <v>4552</v>
      </c>
      <c r="BA1361">
        <v>1</v>
      </c>
      <c r="BB1361" t="str">
        <f t="shared" si="136"/>
        <v xml:space="preserve">N607SR  </v>
      </c>
      <c r="BC1361">
        <v>1</v>
      </c>
      <c r="BE1361">
        <v>0</v>
      </c>
      <c r="BF1361">
        <v>0</v>
      </c>
      <c r="BG1361">
        <v>0</v>
      </c>
      <c r="BH1361">
        <v>2600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 t="shared" si="143"/>
        <v>06:16:06.686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465</v>
      </c>
      <c r="CR1361">
        <v>0</v>
      </c>
      <c r="CW1361">
        <v>4720369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 t="shared" si="141"/>
        <v>08/29/2020 06:16:03.467</v>
      </c>
      <c r="C1362" t="str">
        <f t="shared" si="134"/>
        <v>FFDFD3C0</v>
      </c>
      <c r="D1362" t="s">
        <v>128</v>
      </c>
      <c r="E1362">
        <v>5</v>
      </c>
      <c r="H1362">
        <v>241</v>
      </c>
      <c r="I1362" t="s">
        <v>129</v>
      </c>
      <c r="J1362" t="s">
        <v>130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142"/>
        <v>06:16:06.680</v>
      </c>
      <c r="U1362" t="str">
        <f t="shared" si="135"/>
        <v>A7E2E0</v>
      </c>
      <c r="V1362">
        <v>0</v>
      </c>
      <c r="W1362">
        <v>0</v>
      </c>
      <c r="X1362">
        <v>1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989</v>
      </c>
      <c r="AJ1362">
        <v>39.030239999999999</v>
      </c>
      <c r="AK1362" t="s">
        <v>990</v>
      </c>
      <c r="AL1362">
        <v>-87.542045000000002</v>
      </c>
      <c r="AM1362">
        <v>100</v>
      </c>
      <c r="AN1362">
        <v>2800</v>
      </c>
      <c r="AO1362" t="s">
        <v>118</v>
      </c>
      <c r="AP1362">
        <v>-95</v>
      </c>
      <c r="AQ1362">
        <v>-127</v>
      </c>
      <c r="AR1362">
        <v>0</v>
      </c>
      <c r="AZ1362">
        <v>4552</v>
      </c>
      <c r="BA1362">
        <v>1</v>
      </c>
      <c r="BB1362" t="str">
        <f t="shared" si="136"/>
        <v xml:space="preserve">N607SR  </v>
      </c>
      <c r="BC1362">
        <v>1</v>
      </c>
      <c r="BE1362">
        <v>0</v>
      </c>
      <c r="BF1362">
        <v>0</v>
      </c>
      <c r="BG1362">
        <v>0</v>
      </c>
      <c r="BH1362">
        <v>2600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 t="shared" si="143"/>
        <v>06:16:06.686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6</v>
      </c>
      <c r="CP1362" t="s">
        <v>119</v>
      </c>
      <c r="CQ1362">
        <v>465</v>
      </c>
      <c r="CR1362">
        <v>0</v>
      </c>
      <c r="CW1362">
        <v>4720369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 t="shared" ref="A1363:A1368" si="144">"08/29/2020 06:16:04.466"</f>
        <v>08/29/2020 06:16:04.466</v>
      </c>
      <c r="C1363" t="str">
        <f t="shared" si="134"/>
        <v>FFDFD3C0</v>
      </c>
      <c r="D1363" t="s">
        <v>121</v>
      </c>
      <c r="E1363">
        <v>13</v>
      </c>
      <c r="F1363">
        <v>1013</v>
      </c>
      <c r="G1363" t="s">
        <v>122</v>
      </c>
      <c r="J1363" t="s">
        <v>123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ref="S1363:S1368" si="145">"06:16:07.703"</f>
        <v>06:16:07.703</v>
      </c>
      <c r="T1363" t="str">
        <f t="shared" ref="T1363:T1368" si="146">"06:16:07.203"</f>
        <v>06:16:07.203</v>
      </c>
      <c r="U1363" t="str">
        <f t="shared" si="135"/>
        <v>A7E2E0</v>
      </c>
      <c r="V1363">
        <v>0</v>
      </c>
      <c r="W1363">
        <v>0</v>
      </c>
      <c r="X1363">
        <v>1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991</v>
      </c>
      <c r="AJ1363">
        <v>39.029573999999997</v>
      </c>
      <c r="AK1363" t="s">
        <v>992</v>
      </c>
      <c r="AL1363">
        <v>-87.542646000000005</v>
      </c>
      <c r="AM1363">
        <v>100</v>
      </c>
      <c r="AN1363">
        <v>2800</v>
      </c>
      <c r="AO1363" t="s">
        <v>118</v>
      </c>
      <c r="AP1363">
        <v>-95</v>
      </c>
      <c r="AQ1363">
        <v>-127</v>
      </c>
      <c r="AR1363">
        <v>0</v>
      </c>
      <c r="AZ1363">
        <v>4552</v>
      </c>
      <c r="BA1363">
        <v>1</v>
      </c>
      <c r="BB1363" t="str">
        <f t="shared" si="136"/>
        <v xml:space="preserve">N607SR  </v>
      </c>
      <c r="BC1363">
        <v>1</v>
      </c>
      <c r="BE1363">
        <v>0</v>
      </c>
      <c r="BF1363">
        <v>0</v>
      </c>
      <c r="BG1363">
        <v>0</v>
      </c>
      <c r="BH1363">
        <v>2600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 t="shared" ref="BW1363:BW1368" si="147">"06:16:07.704"</f>
        <v>06:16:07.704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5</v>
      </c>
      <c r="CP1363" t="s">
        <v>119</v>
      </c>
      <c r="CQ1363">
        <v>517</v>
      </c>
      <c r="CR1363">
        <v>1</v>
      </c>
      <c r="CW1363">
        <v>2481156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 t="shared" si="144"/>
        <v>08/29/2020 06:16:04.466</v>
      </c>
      <c r="C1364" t="str">
        <f t="shared" si="134"/>
        <v>FFDFD3C0</v>
      </c>
      <c r="D1364" t="s">
        <v>128</v>
      </c>
      <c r="E1364">
        <v>5</v>
      </c>
      <c r="H1364">
        <v>241</v>
      </c>
      <c r="I1364" t="s">
        <v>129</v>
      </c>
      <c r="J1364" t="s">
        <v>130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145"/>
        <v>06:16:07.703</v>
      </c>
      <c r="T1364" t="str">
        <f t="shared" si="146"/>
        <v>06:16:07.203</v>
      </c>
      <c r="U1364" t="str">
        <f t="shared" si="135"/>
        <v>A7E2E0</v>
      </c>
      <c r="V1364">
        <v>0</v>
      </c>
      <c r="W1364">
        <v>0</v>
      </c>
      <c r="X1364">
        <v>1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991</v>
      </c>
      <c r="AJ1364">
        <v>39.029573999999997</v>
      </c>
      <c r="AK1364" t="s">
        <v>992</v>
      </c>
      <c r="AL1364">
        <v>-87.542646000000005</v>
      </c>
      <c r="AM1364">
        <v>100</v>
      </c>
      <c r="AN1364">
        <v>2800</v>
      </c>
      <c r="AO1364" t="s">
        <v>118</v>
      </c>
      <c r="AP1364">
        <v>-95</v>
      </c>
      <c r="AQ1364">
        <v>-127</v>
      </c>
      <c r="AR1364">
        <v>0</v>
      </c>
      <c r="AZ1364">
        <v>4552</v>
      </c>
      <c r="BA1364">
        <v>1</v>
      </c>
      <c r="BB1364" t="str">
        <f t="shared" si="136"/>
        <v xml:space="preserve">N607SR  </v>
      </c>
      <c r="BC1364">
        <v>1</v>
      </c>
      <c r="BE1364">
        <v>0</v>
      </c>
      <c r="BF1364">
        <v>0</v>
      </c>
      <c r="BG1364">
        <v>0</v>
      </c>
      <c r="BH1364">
        <v>2600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 t="shared" si="147"/>
        <v>06:16:07.704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5</v>
      </c>
      <c r="CP1364" t="s">
        <v>119</v>
      </c>
      <c r="CQ1364">
        <v>517</v>
      </c>
      <c r="CR1364">
        <v>1</v>
      </c>
      <c r="CW1364">
        <v>2481156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 t="shared" si="144"/>
        <v>08/29/2020 06:16:04.466</v>
      </c>
      <c r="C1365" t="str">
        <f t="shared" si="134"/>
        <v>FFDFD3C0</v>
      </c>
      <c r="D1365" t="s">
        <v>113</v>
      </c>
      <c r="E1365">
        <v>5</v>
      </c>
      <c r="H1365">
        <v>163</v>
      </c>
      <c r="I1365" t="s">
        <v>114</v>
      </c>
      <c r="J1365" t="s">
        <v>115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145"/>
        <v>06:16:07.703</v>
      </c>
      <c r="T1365" t="str">
        <f t="shared" si="146"/>
        <v>06:16:07.203</v>
      </c>
      <c r="U1365" t="str">
        <f t="shared" si="135"/>
        <v>A7E2E0</v>
      </c>
      <c r="V1365">
        <v>0</v>
      </c>
      <c r="W1365">
        <v>0</v>
      </c>
      <c r="X1365">
        <v>1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991</v>
      </c>
      <c r="AJ1365">
        <v>39.029573999999997</v>
      </c>
      <c r="AK1365" t="s">
        <v>992</v>
      </c>
      <c r="AL1365">
        <v>-87.542646000000005</v>
      </c>
      <c r="AM1365">
        <v>100</v>
      </c>
      <c r="AN1365">
        <v>2800</v>
      </c>
      <c r="AO1365" t="s">
        <v>118</v>
      </c>
      <c r="AP1365">
        <v>-95</v>
      </c>
      <c r="AQ1365">
        <v>-127</v>
      </c>
      <c r="AR1365">
        <v>0</v>
      </c>
      <c r="AZ1365">
        <v>4552</v>
      </c>
      <c r="BA1365">
        <v>1</v>
      </c>
      <c r="BB1365" t="str">
        <f t="shared" si="136"/>
        <v xml:space="preserve">N607SR  </v>
      </c>
      <c r="BC1365">
        <v>1</v>
      </c>
      <c r="BE1365">
        <v>0</v>
      </c>
      <c r="BF1365">
        <v>0</v>
      </c>
      <c r="BG1365">
        <v>0</v>
      </c>
      <c r="BH1365">
        <v>2600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 t="shared" si="147"/>
        <v>06:16:07.704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5</v>
      </c>
      <c r="CP1365" t="s">
        <v>119</v>
      </c>
      <c r="CQ1365">
        <v>517</v>
      </c>
      <c r="CR1365">
        <v>1</v>
      </c>
      <c r="CW1365">
        <v>2481156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 t="shared" si="144"/>
        <v>08/29/2020 06:16:04.466</v>
      </c>
      <c r="C1366" t="str">
        <f t="shared" si="134"/>
        <v>FFDFD3C0</v>
      </c>
      <c r="D1366" t="s">
        <v>121</v>
      </c>
      <c r="E1366">
        <v>11</v>
      </c>
      <c r="F1366">
        <v>1011</v>
      </c>
      <c r="G1366" t="s">
        <v>125</v>
      </c>
      <c r="J1366" t="s">
        <v>123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145"/>
        <v>06:16:07.703</v>
      </c>
      <c r="T1366" t="str">
        <f t="shared" si="146"/>
        <v>06:16:07.203</v>
      </c>
      <c r="U1366" t="str">
        <f t="shared" si="135"/>
        <v>A7E2E0</v>
      </c>
      <c r="V1366">
        <v>0</v>
      </c>
      <c r="W1366">
        <v>0</v>
      </c>
      <c r="X1366">
        <v>1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991</v>
      </c>
      <c r="AJ1366">
        <v>39.029573999999997</v>
      </c>
      <c r="AK1366" t="s">
        <v>992</v>
      </c>
      <c r="AL1366">
        <v>-87.542646000000005</v>
      </c>
      <c r="AM1366">
        <v>100</v>
      </c>
      <c r="AN1366">
        <v>2800</v>
      </c>
      <c r="AO1366" t="s">
        <v>118</v>
      </c>
      <c r="AP1366">
        <v>-95</v>
      </c>
      <c r="AQ1366">
        <v>-127</v>
      </c>
      <c r="AR1366">
        <v>0</v>
      </c>
      <c r="AZ1366">
        <v>4552</v>
      </c>
      <c r="BA1366">
        <v>1</v>
      </c>
      <c r="BB1366" t="str">
        <f t="shared" si="136"/>
        <v xml:space="preserve">N607SR  </v>
      </c>
      <c r="BC1366">
        <v>1</v>
      </c>
      <c r="BE1366">
        <v>0</v>
      </c>
      <c r="BF1366">
        <v>0</v>
      </c>
      <c r="BG1366">
        <v>0</v>
      </c>
      <c r="BH1366">
        <v>2600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 t="shared" si="147"/>
        <v>06:16:07.704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5</v>
      </c>
      <c r="CP1366" t="s">
        <v>119</v>
      </c>
      <c r="CQ1366">
        <v>177</v>
      </c>
      <c r="CR1366">
        <v>2</v>
      </c>
      <c r="CW1366">
        <v>1642353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 t="shared" si="144"/>
        <v>08/29/2020 06:16:04.466</v>
      </c>
      <c r="C1367" t="str">
        <f t="shared" si="134"/>
        <v>FFDFD3C0</v>
      </c>
      <c r="D1367" t="s">
        <v>121</v>
      </c>
      <c r="E1367">
        <v>10</v>
      </c>
      <c r="F1367">
        <v>1010</v>
      </c>
      <c r="G1367" t="s">
        <v>114</v>
      </c>
      <c r="J1367" t="s">
        <v>123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si="145"/>
        <v>06:16:07.703</v>
      </c>
      <c r="T1367" t="str">
        <f t="shared" si="146"/>
        <v>06:16:07.203</v>
      </c>
      <c r="U1367" t="str">
        <f t="shared" si="135"/>
        <v>A7E2E0</v>
      </c>
      <c r="V1367">
        <v>0</v>
      </c>
      <c r="W1367">
        <v>0</v>
      </c>
      <c r="X1367">
        <v>1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991</v>
      </c>
      <c r="AJ1367">
        <v>39.029573999999997</v>
      </c>
      <c r="AK1367" t="s">
        <v>992</v>
      </c>
      <c r="AL1367">
        <v>-87.542646000000005</v>
      </c>
      <c r="AM1367">
        <v>100</v>
      </c>
      <c r="AN1367">
        <v>2800</v>
      </c>
      <c r="AO1367" t="s">
        <v>118</v>
      </c>
      <c r="AP1367">
        <v>-95</v>
      </c>
      <c r="AQ1367">
        <v>-127</v>
      </c>
      <c r="AR1367">
        <v>0</v>
      </c>
      <c r="AZ1367">
        <v>4552</v>
      </c>
      <c r="BA1367">
        <v>1</v>
      </c>
      <c r="BB1367" t="str">
        <f t="shared" si="136"/>
        <v xml:space="preserve">N607SR  </v>
      </c>
      <c r="BC1367">
        <v>1</v>
      </c>
      <c r="BE1367">
        <v>0</v>
      </c>
      <c r="BF1367">
        <v>0</v>
      </c>
      <c r="BG1367">
        <v>0</v>
      </c>
      <c r="BH1367">
        <v>2600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 t="shared" si="147"/>
        <v>06:16:07.704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5</v>
      </c>
      <c r="CP1367" t="s">
        <v>119</v>
      </c>
      <c r="CQ1367">
        <v>517</v>
      </c>
      <c r="CR1367">
        <v>1</v>
      </c>
      <c r="CW1367">
        <v>2481156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 t="shared" si="144"/>
        <v>08/29/2020 06:16:04.466</v>
      </c>
      <c r="C1368" t="str">
        <f t="shared" si="134"/>
        <v>FFDFD3C0</v>
      </c>
      <c r="D1368" t="s">
        <v>939</v>
      </c>
      <c r="E1368">
        <v>10</v>
      </c>
      <c r="H1368">
        <v>79</v>
      </c>
      <c r="I1368" t="s">
        <v>940</v>
      </c>
      <c r="J1368" t="s">
        <v>130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145"/>
        <v>06:16:07.703</v>
      </c>
      <c r="T1368" t="str">
        <f t="shared" si="146"/>
        <v>06:16:07.203</v>
      </c>
      <c r="U1368" t="str">
        <f t="shared" si="135"/>
        <v>A7E2E0</v>
      </c>
      <c r="V1368">
        <v>0</v>
      </c>
      <c r="W1368">
        <v>0</v>
      </c>
      <c r="X1368">
        <v>1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991</v>
      </c>
      <c r="AJ1368">
        <v>39.029573999999997</v>
      </c>
      <c r="AK1368" t="s">
        <v>992</v>
      </c>
      <c r="AL1368">
        <v>-87.542646000000005</v>
      </c>
      <c r="AM1368">
        <v>100</v>
      </c>
      <c r="AN1368">
        <v>2800</v>
      </c>
      <c r="AO1368" t="s">
        <v>118</v>
      </c>
      <c r="AP1368">
        <v>-95</v>
      </c>
      <c r="AQ1368">
        <v>-127</v>
      </c>
      <c r="AR1368">
        <v>0</v>
      </c>
      <c r="AZ1368">
        <v>4552</v>
      </c>
      <c r="BA1368">
        <v>1</v>
      </c>
      <c r="BB1368" t="str">
        <f t="shared" si="136"/>
        <v xml:space="preserve">N607SR  </v>
      </c>
      <c r="BC1368">
        <v>1</v>
      </c>
      <c r="BE1368">
        <v>0</v>
      </c>
      <c r="BF1368">
        <v>0</v>
      </c>
      <c r="BG1368">
        <v>0</v>
      </c>
      <c r="BH1368">
        <v>2600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 t="shared" si="147"/>
        <v>06:16:07.704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5</v>
      </c>
      <c r="CP1368" t="s">
        <v>119</v>
      </c>
      <c r="CQ1368">
        <v>465</v>
      </c>
      <c r="CR1368">
        <v>0</v>
      </c>
      <c r="CW1368">
        <v>4720403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 t="shared" ref="A1369:A1374" si="148">"08/29/2020 06:16:05.543"</f>
        <v>08/29/2020 06:16:05.543</v>
      </c>
      <c r="C1369" t="str">
        <f t="shared" si="134"/>
        <v>FFDFD3C0</v>
      </c>
      <c r="D1369" t="s">
        <v>121</v>
      </c>
      <c r="E1369">
        <v>10</v>
      </c>
      <c r="F1369">
        <v>1010</v>
      </c>
      <c r="G1369" t="s">
        <v>114</v>
      </c>
      <c r="J1369" t="s">
        <v>123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ref="S1369:S1374" si="149">"06:16:08.781"</f>
        <v>06:16:08.781</v>
      </c>
      <c r="U1369" t="str">
        <f t="shared" si="135"/>
        <v>A7E2E0</v>
      </c>
      <c r="V1369">
        <v>0</v>
      </c>
      <c r="W1369">
        <v>0</v>
      </c>
      <c r="X1369">
        <v>1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993</v>
      </c>
      <c r="AJ1369">
        <v>39.028973999999998</v>
      </c>
      <c r="AK1369" t="s">
        <v>994</v>
      </c>
      <c r="AL1369">
        <v>-87.543246999999994</v>
      </c>
      <c r="AM1369">
        <v>100</v>
      </c>
      <c r="AN1369">
        <v>2800</v>
      </c>
      <c r="AO1369" t="s">
        <v>118</v>
      </c>
      <c r="AP1369">
        <v>-95</v>
      </c>
      <c r="AQ1369">
        <v>-127</v>
      </c>
      <c r="AR1369">
        <v>0</v>
      </c>
      <c r="AZ1369">
        <v>4552</v>
      </c>
      <c r="BA1369">
        <v>1</v>
      </c>
      <c r="BB1369" t="str">
        <f t="shared" si="136"/>
        <v xml:space="preserve">N607SR  </v>
      </c>
      <c r="BC1369">
        <v>1</v>
      </c>
      <c r="BE1369">
        <v>0</v>
      </c>
      <c r="BF1369">
        <v>0</v>
      </c>
      <c r="BG1369">
        <v>0</v>
      </c>
      <c r="BH1369">
        <v>2600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 t="shared" ref="BW1369:BW1374" si="150">"06:16:08.787"</f>
        <v>06:16:08.787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6</v>
      </c>
      <c r="CP1369" t="s">
        <v>119</v>
      </c>
      <c r="CQ1369">
        <v>465</v>
      </c>
      <c r="CR1369">
        <v>0</v>
      </c>
      <c r="CW1369">
        <v>4720435</v>
      </c>
      <c r="CY1369">
        <v>1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 t="shared" si="148"/>
        <v>08/29/2020 06:16:05.543</v>
      </c>
      <c r="C1370" t="str">
        <f t="shared" si="134"/>
        <v>FFDFD3C0</v>
      </c>
      <c r="D1370" t="s">
        <v>939</v>
      </c>
      <c r="E1370">
        <v>10</v>
      </c>
      <c r="H1370">
        <v>79</v>
      </c>
      <c r="I1370" t="s">
        <v>940</v>
      </c>
      <c r="J1370" t="s">
        <v>130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149"/>
        <v>06:16:08.781</v>
      </c>
      <c r="U1370" t="str">
        <f t="shared" si="135"/>
        <v>A7E2E0</v>
      </c>
      <c r="V1370">
        <v>0</v>
      </c>
      <c r="W1370">
        <v>0</v>
      </c>
      <c r="X1370">
        <v>1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993</v>
      </c>
      <c r="AJ1370">
        <v>39.028973999999998</v>
      </c>
      <c r="AK1370" t="s">
        <v>994</v>
      </c>
      <c r="AL1370">
        <v>-87.543246999999994</v>
      </c>
      <c r="AM1370">
        <v>100</v>
      </c>
      <c r="AN1370">
        <v>2800</v>
      </c>
      <c r="AO1370" t="s">
        <v>118</v>
      </c>
      <c r="AP1370">
        <v>-95</v>
      </c>
      <c r="AQ1370">
        <v>-127</v>
      </c>
      <c r="AR1370">
        <v>0</v>
      </c>
      <c r="AZ1370">
        <v>4552</v>
      </c>
      <c r="BA1370">
        <v>1</v>
      </c>
      <c r="BB1370" t="str">
        <f t="shared" si="136"/>
        <v xml:space="preserve">N607SR  </v>
      </c>
      <c r="BC1370">
        <v>1</v>
      </c>
      <c r="BE1370">
        <v>0</v>
      </c>
      <c r="BF1370">
        <v>0</v>
      </c>
      <c r="BG1370">
        <v>0</v>
      </c>
      <c r="BH1370">
        <v>2600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 t="shared" si="150"/>
        <v>06:16:08.787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465</v>
      </c>
      <c r="CR1370">
        <v>0</v>
      </c>
      <c r="CW1370">
        <v>4720435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 t="shared" si="148"/>
        <v>08/29/2020 06:16:05.543</v>
      </c>
      <c r="C1371" t="str">
        <f t="shared" si="134"/>
        <v>FFDFD3C0</v>
      </c>
      <c r="D1371" t="s">
        <v>121</v>
      </c>
      <c r="E1371">
        <v>13</v>
      </c>
      <c r="F1371">
        <v>1013</v>
      </c>
      <c r="G1371" t="s">
        <v>122</v>
      </c>
      <c r="J1371" t="s">
        <v>123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149"/>
        <v>06:16:08.781</v>
      </c>
      <c r="U1371" t="str">
        <f t="shared" si="135"/>
        <v>A7E2E0</v>
      </c>
      <c r="V1371">
        <v>0</v>
      </c>
      <c r="W1371">
        <v>0</v>
      </c>
      <c r="X1371">
        <v>1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993</v>
      </c>
      <c r="AJ1371">
        <v>39.028973999999998</v>
      </c>
      <c r="AK1371" t="s">
        <v>994</v>
      </c>
      <c r="AL1371">
        <v>-87.543246999999994</v>
      </c>
      <c r="AM1371">
        <v>100</v>
      </c>
      <c r="AN1371">
        <v>2800</v>
      </c>
      <c r="AO1371" t="s">
        <v>118</v>
      </c>
      <c r="AP1371">
        <v>-95</v>
      </c>
      <c r="AQ1371">
        <v>-127</v>
      </c>
      <c r="AR1371">
        <v>0</v>
      </c>
      <c r="AZ1371">
        <v>4552</v>
      </c>
      <c r="BA1371">
        <v>1</v>
      </c>
      <c r="BB1371" t="str">
        <f t="shared" si="136"/>
        <v xml:space="preserve">N607SR  </v>
      </c>
      <c r="BC1371">
        <v>1</v>
      </c>
      <c r="BE1371">
        <v>0</v>
      </c>
      <c r="BF1371">
        <v>0</v>
      </c>
      <c r="BG1371">
        <v>0</v>
      </c>
      <c r="BH1371">
        <v>2600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 t="shared" si="150"/>
        <v>06:16:08.787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6</v>
      </c>
      <c r="CP1371" t="s">
        <v>119</v>
      </c>
      <c r="CQ1371">
        <v>465</v>
      </c>
      <c r="CR1371">
        <v>0</v>
      </c>
      <c r="CW1371">
        <v>4720435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 t="shared" si="148"/>
        <v>08/29/2020 06:16:05.543</v>
      </c>
      <c r="C1372" t="str">
        <f t="shared" si="134"/>
        <v>FFDFD3C0</v>
      </c>
      <c r="D1372" t="s">
        <v>128</v>
      </c>
      <c r="E1372">
        <v>5</v>
      </c>
      <c r="H1372">
        <v>241</v>
      </c>
      <c r="I1372" t="s">
        <v>129</v>
      </c>
      <c r="J1372" t="s">
        <v>130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149"/>
        <v>06:16:08.781</v>
      </c>
      <c r="U1372" t="str">
        <f t="shared" si="135"/>
        <v>A7E2E0</v>
      </c>
      <c r="V1372">
        <v>0</v>
      </c>
      <c r="W1372">
        <v>0</v>
      </c>
      <c r="X1372">
        <v>1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993</v>
      </c>
      <c r="AJ1372">
        <v>39.028973999999998</v>
      </c>
      <c r="AK1372" t="s">
        <v>994</v>
      </c>
      <c r="AL1372">
        <v>-87.543246999999994</v>
      </c>
      <c r="AM1372">
        <v>100</v>
      </c>
      <c r="AN1372">
        <v>2800</v>
      </c>
      <c r="AO1372" t="s">
        <v>118</v>
      </c>
      <c r="AP1372">
        <v>-95</v>
      </c>
      <c r="AQ1372">
        <v>-127</v>
      </c>
      <c r="AR1372">
        <v>0</v>
      </c>
      <c r="AZ1372">
        <v>4552</v>
      </c>
      <c r="BA1372">
        <v>1</v>
      </c>
      <c r="BB1372" t="str">
        <f t="shared" si="136"/>
        <v xml:space="preserve">N607SR  </v>
      </c>
      <c r="BC1372">
        <v>1</v>
      </c>
      <c r="BE1372">
        <v>0</v>
      </c>
      <c r="BF1372">
        <v>0</v>
      </c>
      <c r="BG1372">
        <v>0</v>
      </c>
      <c r="BH1372">
        <v>2600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 t="shared" si="150"/>
        <v>06:16:08.787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6</v>
      </c>
      <c r="CP1372" t="s">
        <v>119</v>
      </c>
      <c r="CQ1372">
        <v>465</v>
      </c>
      <c r="CR1372">
        <v>0</v>
      </c>
      <c r="CW1372">
        <v>4720435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 t="shared" si="148"/>
        <v>08/29/2020 06:16:05.543</v>
      </c>
      <c r="C1373" t="str">
        <f t="shared" si="134"/>
        <v>FFDFD3C0</v>
      </c>
      <c r="D1373" t="s">
        <v>113</v>
      </c>
      <c r="E1373">
        <v>5</v>
      </c>
      <c r="H1373">
        <v>163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149"/>
        <v>06:16:08.781</v>
      </c>
      <c r="U1373" t="str">
        <f t="shared" si="135"/>
        <v>A7E2E0</v>
      </c>
      <c r="V1373">
        <v>0</v>
      </c>
      <c r="W1373">
        <v>0</v>
      </c>
      <c r="X1373">
        <v>1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993</v>
      </c>
      <c r="AJ1373">
        <v>39.028973999999998</v>
      </c>
      <c r="AK1373" t="s">
        <v>994</v>
      </c>
      <c r="AL1373">
        <v>-87.543246999999994</v>
      </c>
      <c r="AM1373">
        <v>100</v>
      </c>
      <c r="AN1373">
        <v>2800</v>
      </c>
      <c r="AO1373" t="s">
        <v>118</v>
      </c>
      <c r="AP1373">
        <v>-95</v>
      </c>
      <c r="AQ1373">
        <v>-127</v>
      </c>
      <c r="AR1373">
        <v>0</v>
      </c>
      <c r="AZ1373">
        <v>4552</v>
      </c>
      <c r="BA1373">
        <v>1</v>
      </c>
      <c r="BB1373" t="str">
        <f t="shared" si="136"/>
        <v xml:space="preserve">N607SR  </v>
      </c>
      <c r="BC1373">
        <v>1</v>
      </c>
      <c r="BE1373">
        <v>0</v>
      </c>
      <c r="BF1373">
        <v>0</v>
      </c>
      <c r="BG1373">
        <v>0</v>
      </c>
      <c r="BH1373">
        <v>2600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 t="shared" si="150"/>
        <v>06:16:08.787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6</v>
      </c>
      <c r="CP1373" t="s">
        <v>119</v>
      </c>
      <c r="CQ1373">
        <v>465</v>
      </c>
      <c r="CR1373">
        <v>0</v>
      </c>
      <c r="CW1373">
        <v>4720435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 t="shared" si="148"/>
        <v>08/29/2020 06:16:05.543</v>
      </c>
      <c r="C1374" t="str">
        <f t="shared" si="134"/>
        <v>FFDFD3C0</v>
      </c>
      <c r="D1374" t="s">
        <v>121</v>
      </c>
      <c r="E1374">
        <v>11</v>
      </c>
      <c r="F1374">
        <v>1011</v>
      </c>
      <c r="G1374" t="s">
        <v>125</v>
      </c>
      <c r="J1374" t="s">
        <v>123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149"/>
        <v>06:16:08.781</v>
      </c>
      <c r="T1374" t="str">
        <f>"06:16:08.381"</f>
        <v>06:16:08.381</v>
      </c>
      <c r="U1374" t="str">
        <f t="shared" si="135"/>
        <v>A7E2E0</v>
      </c>
      <c r="V1374">
        <v>0</v>
      </c>
      <c r="W1374">
        <v>0</v>
      </c>
      <c r="X1374">
        <v>1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993</v>
      </c>
      <c r="AJ1374">
        <v>39.028973999999998</v>
      </c>
      <c r="AK1374" t="s">
        <v>994</v>
      </c>
      <c r="AL1374">
        <v>-87.543246999999994</v>
      </c>
      <c r="AM1374">
        <v>100</v>
      </c>
      <c r="AN1374">
        <v>2800</v>
      </c>
      <c r="AO1374" t="s">
        <v>118</v>
      </c>
      <c r="AP1374">
        <v>-95</v>
      </c>
      <c r="AQ1374">
        <v>-127</v>
      </c>
      <c r="AR1374">
        <v>0</v>
      </c>
      <c r="AZ1374">
        <v>4552</v>
      </c>
      <c r="BA1374">
        <v>1</v>
      </c>
      <c r="BB1374" t="str">
        <f t="shared" si="136"/>
        <v xml:space="preserve">N607SR  </v>
      </c>
      <c r="BC1374">
        <v>1</v>
      </c>
      <c r="BE1374">
        <v>0</v>
      </c>
      <c r="BF1374">
        <v>0</v>
      </c>
      <c r="BG1374">
        <v>0</v>
      </c>
      <c r="BH1374">
        <v>2600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 t="shared" si="150"/>
        <v>06:16:08.787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6</v>
      </c>
      <c r="CP1374" t="s">
        <v>119</v>
      </c>
      <c r="CQ1374">
        <v>177</v>
      </c>
      <c r="CR1374">
        <v>2</v>
      </c>
      <c r="CW1374">
        <v>1642527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 t="shared" ref="A1375:A1380" si="151">"08/29/2020 06:16:06.396"</f>
        <v>08/29/2020 06:16:06.396</v>
      </c>
      <c r="C1375" t="str">
        <f t="shared" si="134"/>
        <v>FFDFD3C0</v>
      </c>
      <c r="D1375" t="s">
        <v>113</v>
      </c>
      <c r="E1375">
        <v>5</v>
      </c>
      <c r="H1375">
        <v>163</v>
      </c>
      <c r="I1375" t="s">
        <v>114</v>
      </c>
      <c r="J1375" t="s">
        <v>115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ref="S1375:S1380" si="152">"06:16:09.617"</f>
        <v>06:16:09.617</v>
      </c>
      <c r="U1375" t="str">
        <f t="shared" si="135"/>
        <v>A7E2E0</v>
      </c>
      <c r="V1375">
        <v>0</v>
      </c>
      <c r="W1375">
        <v>0</v>
      </c>
      <c r="X1375">
        <v>1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995</v>
      </c>
      <c r="AJ1375">
        <v>39.028458999999998</v>
      </c>
      <c r="AK1375" t="s">
        <v>996</v>
      </c>
      <c r="AL1375">
        <v>-87.543762000000001</v>
      </c>
      <c r="AM1375">
        <v>100</v>
      </c>
      <c r="AN1375">
        <v>2800</v>
      </c>
      <c r="AO1375" t="s">
        <v>118</v>
      </c>
      <c r="AP1375">
        <v>-95</v>
      </c>
      <c r="AQ1375">
        <v>-126</v>
      </c>
      <c r="AR1375">
        <v>0</v>
      </c>
      <c r="AZ1375">
        <v>4552</v>
      </c>
      <c r="BA1375">
        <v>1</v>
      </c>
      <c r="BB1375" t="str">
        <f t="shared" si="136"/>
        <v xml:space="preserve">N607SR  </v>
      </c>
      <c r="BC1375">
        <v>1</v>
      </c>
      <c r="BE1375">
        <v>0</v>
      </c>
      <c r="BF1375">
        <v>0</v>
      </c>
      <c r="BG1375">
        <v>0</v>
      </c>
      <c r="BH1375">
        <v>2600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"06:16:09.623"</f>
        <v>06:16:09.623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6</v>
      </c>
      <c r="CP1375" t="s">
        <v>119</v>
      </c>
      <c r="CQ1375">
        <v>465</v>
      </c>
      <c r="CR1375">
        <v>0</v>
      </c>
      <c r="CW1375">
        <v>4720464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 t="shared" si="151"/>
        <v>08/29/2020 06:16:06.396</v>
      </c>
      <c r="C1376" t="str">
        <f t="shared" si="134"/>
        <v>FFDFD3C0</v>
      </c>
      <c r="D1376" t="s">
        <v>128</v>
      </c>
      <c r="E1376">
        <v>5</v>
      </c>
      <c r="H1376">
        <v>241</v>
      </c>
      <c r="I1376" t="s">
        <v>129</v>
      </c>
      <c r="J1376" t="s">
        <v>130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152"/>
        <v>06:16:09.617</v>
      </c>
      <c r="U1376" t="str">
        <f t="shared" si="135"/>
        <v>A7E2E0</v>
      </c>
      <c r="V1376">
        <v>0</v>
      </c>
      <c r="W1376">
        <v>0</v>
      </c>
      <c r="X1376">
        <v>1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995</v>
      </c>
      <c r="AJ1376">
        <v>39.028458999999998</v>
      </c>
      <c r="AK1376" t="s">
        <v>996</v>
      </c>
      <c r="AL1376">
        <v>-87.543762000000001</v>
      </c>
      <c r="AM1376">
        <v>100</v>
      </c>
      <c r="AN1376">
        <v>2800</v>
      </c>
      <c r="AO1376" t="s">
        <v>118</v>
      </c>
      <c r="AP1376">
        <v>-95</v>
      </c>
      <c r="AQ1376">
        <v>-126</v>
      </c>
      <c r="AR1376">
        <v>0</v>
      </c>
      <c r="AZ1376">
        <v>4552</v>
      </c>
      <c r="BA1376">
        <v>1</v>
      </c>
      <c r="BB1376" t="str">
        <f t="shared" si="136"/>
        <v xml:space="preserve">N607SR  </v>
      </c>
      <c r="BC1376">
        <v>1</v>
      </c>
      <c r="BE1376">
        <v>0</v>
      </c>
      <c r="BF1376">
        <v>0</v>
      </c>
      <c r="BG1376">
        <v>0</v>
      </c>
      <c r="BH1376">
        <v>2600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"06:16:09.623"</f>
        <v>06:16:09.623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6</v>
      </c>
      <c r="CP1376" t="s">
        <v>119</v>
      </c>
      <c r="CQ1376">
        <v>465</v>
      </c>
      <c r="CR1376">
        <v>0</v>
      </c>
      <c r="CW1376">
        <v>4720464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 t="shared" si="151"/>
        <v>08/29/2020 06:16:06.396</v>
      </c>
      <c r="C1377" t="str">
        <f t="shared" si="134"/>
        <v>FFDFD3C0</v>
      </c>
      <c r="D1377" t="s">
        <v>121</v>
      </c>
      <c r="E1377">
        <v>11</v>
      </c>
      <c r="F1377">
        <v>1011</v>
      </c>
      <c r="G1377" t="s">
        <v>125</v>
      </c>
      <c r="J1377" t="s">
        <v>123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152"/>
        <v>06:16:09.617</v>
      </c>
      <c r="T1377" t="str">
        <f>"06:16:09.217"</f>
        <v>06:16:09.217</v>
      </c>
      <c r="U1377" t="str">
        <f t="shared" si="135"/>
        <v>A7E2E0</v>
      </c>
      <c r="V1377">
        <v>0</v>
      </c>
      <c r="W1377">
        <v>0</v>
      </c>
      <c r="X1377">
        <v>1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995</v>
      </c>
      <c r="AJ1377">
        <v>39.028458999999998</v>
      </c>
      <c r="AK1377" t="s">
        <v>996</v>
      </c>
      <c r="AL1377">
        <v>-87.543762000000001</v>
      </c>
      <c r="AM1377">
        <v>100</v>
      </c>
      <c r="AN1377">
        <v>2800</v>
      </c>
      <c r="AO1377" t="s">
        <v>118</v>
      </c>
      <c r="AP1377">
        <v>-95</v>
      </c>
      <c r="AQ1377">
        <v>-126</v>
      </c>
      <c r="AR1377">
        <v>0</v>
      </c>
      <c r="AZ1377">
        <v>4552</v>
      </c>
      <c r="BA1377">
        <v>1</v>
      </c>
      <c r="BB1377" t="str">
        <f t="shared" si="136"/>
        <v xml:space="preserve">N607SR  </v>
      </c>
      <c r="BC1377">
        <v>1</v>
      </c>
      <c r="BE1377">
        <v>0</v>
      </c>
      <c r="BF1377">
        <v>0</v>
      </c>
      <c r="BG1377">
        <v>0</v>
      </c>
      <c r="BH1377">
        <v>2600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"06:16:09.622"</f>
        <v>06:16:09.622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6</v>
      </c>
      <c r="CP1377" t="s">
        <v>119</v>
      </c>
      <c r="CQ1377">
        <v>177</v>
      </c>
      <c r="CR1377">
        <v>2</v>
      </c>
      <c r="CW1377">
        <v>1642642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 t="shared" si="151"/>
        <v>08/29/2020 06:16:06.396</v>
      </c>
      <c r="C1378" t="str">
        <f t="shared" si="134"/>
        <v>FFDFD3C0</v>
      </c>
      <c r="D1378" t="s">
        <v>121</v>
      </c>
      <c r="E1378">
        <v>10</v>
      </c>
      <c r="F1378">
        <v>1010</v>
      </c>
      <c r="G1378" t="s">
        <v>114</v>
      </c>
      <c r="J1378" t="s">
        <v>123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152"/>
        <v>06:16:09.617</v>
      </c>
      <c r="U1378" t="str">
        <f t="shared" si="135"/>
        <v>A7E2E0</v>
      </c>
      <c r="V1378">
        <v>0</v>
      </c>
      <c r="W1378">
        <v>0</v>
      </c>
      <c r="X1378">
        <v>1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995</v>
      </c>
      <c r="AJ1378">
        <v>39.028458999999998</v>
      </c>
      <c r="AK1378" t="s">
        <v>996</v>
      </c>
      <c r="AL1378">
        <v>-87.543762000000001</v>
      </c>
      <c r="AM1378">
        <v>100</v>
      </c>
      <c r="AN1378">
        <v>2800</v>
      </c>
      <c r="AO1378" t="s">
        <v>118</v>
      </c>
      <c r="AP1378">
        <v>-95</v>
      </c>
      <c r="AQ1378">
        <v>-126</v>
      </c>
      <c r="AR1378">
        <v>0</v>
      </c>
      <c r="AZ1378">
        <v>4552</v>
      </c>
      <c r="BA1378">
        <v>1</v>
      </c>
      <c r="BB1378" t="str">
        <f t="shared" si="136"/>
        <v xml:space="preserve">N607SR  </v>
      </c>
      <c r="BC1378">
        <v>1</v>
      </c>
      <c r="BE1378">
        <v>0</v>
      </c>
      <c r="BF1378">
        <v>0</v>
      </c>
      <c r="BG1378">
        <v>0</v>
      </c>
      <c r="BH1378">
        <v>2600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"06:16:09.623"</f>
        <v>06:16:09.623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6</v>
      </c>
      <c r="CP1378" t="s">
        <v>119</v>
      </c>
      <c r="CQ1378">
        <v>465</v>
      </c>
      <c r="CR1378">
        <v>0</v>
      </c>
      <c r="CW1378">
        <v>4720464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 t="shared" si="151"/>
        <v>08/29/2020 06:16:06.396</v>
      </c>
      <c r="C1379" t="str">
        <f t="shared" si="134"/>
        <v>FFDFD3C0</v>
      </c>
      <c r="D1379" t="s">
        <v>939</v>
      </c>
      <c r="E1379">
        <v>10</v>
      </c>
      <c r="H1379">
        <v>79</v>
      </c>
      <c r="I1379" t="s">
        <v>940</v>
      </c>
      <c r="J1379" t="s">
        <v>130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152"/>
        <v>06:16:09.617</v>
      </c>
      <c r="U1379" t="str">
        <f t="shared" si="135"/>
        <v>A7E2E0</v>
      </c>
      <c r="V1379">
        <v>0</v>
      </c>
      <c r="W1379">
        <v>0</v>
      </c>
      <c r="X1379">
        <v>1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995</v>
      </c>
      <c r="AJ1379">
        <v>39.028458999999998</v>
      </c>
      <c r="AK1379" t="s">
        <v>996</v>
      </c>
      <c r="AL1379">
        <v>-87.543762000000001</v>
      </c>
      <c r="AM1379">
        <v>100</v>
      </c>
      <c r="AN1379">
        <v>2800</v>
      </c>
      <c r="AO1379" t="s">
        <v>118</v>
      </c>
      <c r="AP1379">
        <v>-95</v>
      </c>
      <c r="AQ1379">
        <v>-126</v>
      </c>
      <c r="AR1379">
        <v>0</v>
      </c>
      <c r="AZ1379">
        <v>4552</v>
      </c>
      <c r="BA1379">
        <v>1</v>
      </c>
      <c r="BB1379" t="str">
        <f t="shared" si="136"/>
        <v xml:space="preserve">N607SR  </v>
      </c>
      <c r="BC1379">
        <v>1</v>
      </c>
      <c r="BE1379">
        <v>0</v>
      </c>
      <c r="BF1379">
        <v>0</v>
      </c>
      <c r="BG1379">
        <v>0</v>
      </c>
      <c r="BH1379">
        <v>2600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"06:16:09.623"</f>
        <v>06:16:09.623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6</v>
      </c>
      <c r="CP1379" t="s">
        <v>119</v>
      </c>
      <c r="CQ1379">
        <v>465</v>
      </c>
      <c r="CR1379">
        <v>0</v>
      </c>
      <c r="CW1379">
        <v>4720464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 t="shared" si="151"/>
        <v>08/29/2020 06:16:06.396</v>
      </c>
      <c r="C1380" t="str">
        <f t="shared" si="134"/>
        <v>FFDFD3C0</v>
      </c>
      <c r="D1380" t="s">
        <v>121</v>
      </c>
      <c r="E1380">
        <v>13</v>
      </c>
      <c r="F1380">
        <v>1013</v>
      </c>
      <c r="G1380" t="s">
        <v>122</v>
      </c>
      <c r="J1380" t="s">
        <v>123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152"/>
        <v>06:16:09.617</v>
      </c>
      <c r="U1380" t="str">
        <f t="shared" si="135"/>
        <v>A7E2E0</v>
      </c>
      <c r="V1380">
        <v>0</v>
      </c>
      <c r="W1380">
        <v>0</v>
      </c>
      <c r="X1380">
        <v>1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995</v>
      </c>
      <c r="AJ1380">
        <v>39.028458999999998</v>
      </c>
      <c r="AK1380" t="s">
        <v>996</v>
      </c>
      <c r="AL1380">
        <v>-87.543762000000001</v>
      </c>
      <c r="AM1380">
        <v>100</v>
      </c>
      <c r="AN1380">
        <v>2800</v>
      </c>
      <c r="AO1380" t="s">
        <v>118</v>
      </c>
      <c r="AP1380">
        <v>-95</v>
      </c>
      <c r="AQ1380">
        <v>-126</v>
      </c>
      <c r="AR1380">
        <v>0</v>
      </c>
      <c r="AZ1380">
        <v>4552</v>
      </c>
      <c r="BA1380">
        <v>1</v>
      </c>
      <c r="BB1380" t="str">
        <f t="shared" si="136"/>
        <v xml:space="preserve">N607SR  </v>
      </c>
      <c r="BC1380">
        <v>1</v>
      </c>
      <c r="BE1380">
        <v>0</v>
      </c>
      <c r="BF1380">
        <v>0</v>
      </c>
      <c r="BG1380">
        <v>0</v>
      </c>
      <c r="BH1380">
        <v>2600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"06:16:09.623"</f>
        <v>06:16:09.623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6</v>
      </c>
      <c r="CP1380" t="s">
        <v>119</v>
      </c>
      <c r="CQ1380">
        <v>465</v>
      </c>
      <c r="CR1380">
        <v>0</v>
      </c>
      <c r="CW1380">
        <v>4720464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 t="shared" ref="A1381:A1386" si="153">"08/29/2020 06:16:07.259"</f>
        <v>08/29/2020 06:16:07.259</v>
      </c>
      <c r="C1381" t="str">
        <f t="shared" si="134"/>
        <v>FFDFD3C0</v>
      </c>
      <c r="D1381" t="s">
        <v>113</v>
      </c>
      <c r="E1381">
        <v>5</v>
      </c>
      <c r="H1381">
        <v>163</v>
      </c>
      <c r="I1381" t="s">
        <v>114</v>
      </c>
      <c r="J1381" t="s">
        <v>115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S1386" si="154">"06:16:10.516"</f>
        <v>06:16:10.516</v>
      </c>
      <c r="T1381" t="str">
        <f t="shared" ref="T1381:T1386" si="155">"06:16:10.116"</f>
        <v>06:16:10.116</v>
      </c>
      <c r="U1381" t="str">
        <f t="shared" si="135"/>
        <v>A7E2E0</v>
      </c>
      <c r="V1381">
        <v>0</v>
      </c>
      <c r="W1381">
        <v>0</v>
      </c>
      <c r="X1381">
        <v>1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997</v>
      </c>
      <c r="AJ1381">
        <v>39.027921999999997</v>
      </c>
      <c r="AK1381" t="s">
        <v>998</v>
      </c>
      <c r="AL1381">
        <v>-87.544255000000007</v>
      </c>
      <c r="AM1381">
        <v>100</v>
      </c>
      <c r="AN1381">
        <v>2800</v>
      </c>
      <c r="AO1381" t="s">
        <v>118</v>
      </c>
      <c r="AP1381">
        <v>-95</v>
      </c>
      <c r="AQ1381">
        <v>-126</v>
      </c>
      <c r="AR1381">
        <v>0</v>
      </c>
      <c r="AZ1381">
        <v>4552</v>
      </c>
      <c r="BA1381">
        <v>1</v>
      </c>
      <c r="BB1381" t="str">
        <f t="shared" si="136"/>
        <v xml:space="preserve">N607SR  </v>
      </c>
      <c r="BC1381">
        <v>1</v>
      </c>
      <c r="BE1381">
        <v>0</v>
      </c>
      <c r="BF1381">
        <v>0</v>
      </c>
      <c r="BG1381">
        <v>0</v>
      </c>
      <c r="BH1381">
        <v>2600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 t="shared" ref="BW1381:BW1386" si="156">"06:16:10.522"</f>
        <v>06:16:10.522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6</v>
      </c>
      <c r="CP1381" t="s">
        <v>119</v>
      </c>
      <c r="CQ1381">
        <v>465</v>
      </c>
      <c r="CR1381">
        <v>0</v>
      </c>
      <c r="CW1381">
        <v>4720490</v>
      </c>
      <c r="CY1381">
        <v>1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 t="shared" si="153"/>
        <v>08/29/2020 06:16:07.259</v>
      </c>
      <c r="C1382" t="str">
        <f t="shared" si="134"/>
        <v>FFDFD3C0</v>
      </c>
      <c r="D1382" t="s">
        <v>128</v>
      </c>
      <c r="E1382">
        <v>5</v>
      </c>
      <c r="H1382">
        <v>241</v>
      </c>
      <c r="I1382" t="s">
        <v>129</v>
      </c>
      <c r="J1382" t="s">
        <v>130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154"/>
        <v>06:16:10.516</v>
      </c>
      <c r="T1382" t="str">
        <f t="shared" si="155"/>
        <v>06:16:10.116</v>
      </c>
      <c r="U1382" t="str">
        <f t="shared" si="135"/>
        <v>A7E2E0</v>
      </c>
      <c r="V1382">
        <v>0</v>
      </c>
      <c r="W1382">
        <v>0</v>
      </c>
      <c r="X1382">
        <v>1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997</v>
      </c>
      <c r="AJ1382">
        <v>39.027921999999997</v>
      </c>
      <c r="AK1382" t="s">
        <v>998</v>
      </c>
      <c r="AL1382">
        <v>-87.544255000000007</v>
      </c>
      <c r="AM1382">
        <v>100</v>
      </c>
      <c r="AN1382">
        <v>2800</v>
      </c>
      <c r="AO1382" t="s">
        <v>118</v>
      </c>
      <c r="AP1382">
        <v>-95</v>
      </c>
      <c r="AQ1382">
        <v>-126</v>
      </c>
      <c r="AR1382">
        <v>0</v>
      </c>
      <c r="AZ1382">
        <v>4552</v>
      </c>
      <c r="BA1382">
        <v>1</v>
      </c>
      <c r="BB1382" t="str">
        <f t="shared" si="136"/>
        <v xml:space="preserve">N607SR  </v>
      </c>
      <c r="BC1382">
        <v>1</v>
      </c>
      <c r="BE1382">
        <v>0</v>
      </c>
      <c r="BF1382">
        <v>0</v>
      </c>
      <c r="BG1382">
        <v>0</v>
      </c>
      <c r="BH1382">
        <v>2600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 t="shared" si="156"/>
        <v>06:16:10.522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6</v>
      </c>
      <c r="CP1382" t="s">
        <v>119</v>
      </c>
      <c r="CQ1382">
        <v>465</v>
      </c>
      <c r="CR1382">
        <v>0</v>
      </c>
      <c r="CW1382">
        <v>4720490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 t="shared" si="153"/>
        <v>08/29/2020 06:16:07.259</v>
      </c>
      <c r="C1383" t="str">
        <f t="shared" si="134"/>
        <v>FFDFD3C0</v>
      </c>
      <c r="D1383" t="s">
        <v>121</v>
      </c>
      <c r="E1383">
        <v>10</v>
      </c>
      <c r="F1383">
        <v>1010</v>
      </c>
      <c r="G1383" t="s">
        <v>114</v>
      </c>
      <c r="J1383" t="s">
        <v>123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154"/>
        <v>06:16:10.516</v>
      </c>
      <c r="T1383" t="str">
        <f t="shared" si="155"/>
        <v>06:16:10.116</v>
      </c>
      <c r="U1383" t="str">
        <f t="shared" si="135"/>
        <v>A7E2E0</v>
      </c>
      <c r="V1383">
        <v>0</v>
      </c>
      <c r="W1383">
        <v>0</v>
      </c>
      <c r="X1383">
        <v>1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997</v>
      </c>
      <c r="AJ1383">
        <v>39.027921999999997</v>
      </c>
      <c r="AK1383" t="s">
        <v>998</v>
      </c>
      <c r="AL1383">
        <v>-87.544255000000007</v>
      </c>
      <c r="AM1383">
        <v>100</v>
      </c>
      <c r="AN1383">
        <v>2800</v>
      </c>
      <c r="AO1383" t="s">
        <v>118</v>
      </c>
      <c r="AP1383">
        <v>-95</v>
      </c>
      <c r="AQ1383">
        <v>-126</v>
      </c>
      <c r="AR1383">
        <v>0</v>
      </c>
      <c r="AZ1383">
        <v>4552</v>
      </c>
      <c r="BA1383">
        <v>1</v>
      </c>
      <c r="BB1383" t="str">
        <f t="shared" si="136"/>
        <v xml:space="preserve">N607SR  </v>
      </c>
      <c r="BC1383">
        <v>1</v>
      </c>
      <c r="BE1383">
        <v>0</v>
      </c>
      <c r="BF1383">
        <v>0</v>
      </c>
      <c r="BG1383">
        <v>0</v>
      </c>
      <c r="BH1383">
        <v>2600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 t="shared" si="156"/>
        <v>06:16:10.522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6</v>
      </c>
      <c r="CP1383" t="s">
        <v>119</v>
      </c>
      <c r="CQ1383">
        <v>465</v>
      </c>
      <c r="CR1383">
        <v>0</v>
      </c>
      <c r="CW1383">
        <v>4720490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 t="shared" si="153"/>
        <v>08/29/2020 06:16:07.259</v>
      </c>
      <c r="C1384" t="str">
        <f t="shared" si="134"/>
        <v>FFDFD3C0</v>
      </c>
      <c r="D1384" t="s">
        <v>121</v>
      </c>
      <c r="E1384">
        <v>11</v>
      </c>
      <c r="F1384">
        <v>1011</v>
      </c>
      <c r="G1384" t="s">
        <v>125</v>
      </c>
      <c r="J1384" t="s">
        <v>123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154"/>
        <v>06:16:10.516</v>
      </c>
      <c r="T1384" t="str">
        <f t="shared" si="155"/>
        <v>06:16:10.116</v>
      </c>
      <c r="U1384" t="str">
        <f t="shared" si="135"/>
        <v>A7E2E0</v>
      </c>
      <c r="V1384">
        <v>0</v>
      </c>
      <c r="W1384">
        <v>0</v>
      </c>
      <c r="X1384">
        <v>1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997</v>
      </c>
      <c r="AJ1384">
        <v>39.027921999999997</v>
      </c>
      <c r="AK1384" t="s">
        <v>998</v>
      </c>
      <c r="AL1384">
        <v>-87.544255000000007</v>
      </c>
      <c r="AM1384">
        <v>100</v>
      </c>
      <c r="AN1384">
        <v>2800</v>
      </c>
      <c r="AO1384" t="s">
        <v>118</v>
      </c>
      <c r="AP1384">
        <v>-95</v>
      </c>
      <c r="AQ1384">
        <v>-126</v>
      </c>
      <c r="AR1384">
        <v>0</v>
      </c>
      <c r="AZ1384">
        <v>4552</v>
      </c>
      <c r="BA1384">
        <v>1</v>
      </c>
      <c r="BB1384" t="str">
        <f t="shared" si="136"/>
        <v xml:space="preserve">N607SR  </v>
      </c>
      <c r="BC1384">
        <v>1</v>
      </c>
      <c r="BE1384">
        <v>0</v>
      </c>
      <c r="BF1384">
        <v>0</v>
      </c>
      <c r="BG1384">
        <v>0</v>
      </c>
      <c r="BH1384">
        <v>2600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 t="shared" si="156"/>
        <v>06:16:10.522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6</v>
      </c>
      <c r="CP1384" t="s">
        <v>119</v>
      </c>
      <c r="CQ1384">
        <v>177</v>
      </c>
      <c r="CR1384">
        <v>2</v>
      </c>
      <c r="CW1384">
        <v>1642778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 t="shared" si="153"/>
        <v>08/29/2020 06:16:07.259</v>
      </c>
      <c r="C1385" t="str">
        <f t="shared" si="134"/>
        <v>FFDFD3C0</v>
      </c>
      <c r="D1385" t="s">
        <v>939</v>
      </c>
      <c r="E1385">
        <v>10</v>
      </c>
      <c r="H1385">
        <v>79</v>
      </c>
      <c r="I1385" t="s">
        <v>940</v>
      </c>
      <c r="J1385" t="s">
        <v>130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154"/>
        <v>06:16:10.516</v>
      </c>
      <c r="T1385" t="str">
        <f t="shared" si="155"/>
        <v>06:16:10.116</v>
      </c>
      <c r="U1385" t="str">
        <f t="shared" si="135"/>
        <v>A7E2E0</v>
      </c>
      <c r="V1385">
        <v>0</v>
      </c>
      <c r="W1385">
        <v>0</v>
      </c>
      <c r="X1385">
        <v>1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997</v>
      </c>
      <c r="AJ1385">
        <v>39.027921999999997</v>
      </c>
      <c r="AK1385" t="s">
        <v>998</v>
      </c>
      <c r="AL1385">
        <v>-87.544255000000007</v>
      </c>
      <c r="AM1385">
        <v>100</v>
      </c>
      <c r="AN1385">
        <v>2800</v>
      </c>
      <c r="AO1385" t="s">
        <v>118</v>
      </c>
      <c r="AP1385">
        <v>-95</v>
      </c>
      <c r="AQ1385">
        <v>-126</v>
      </c>
      <c r="AR1385">
        <v>0</v>
      </c>
      <c r="AZ1385">
        <v>4552</v>
      </c>
      <c r="BA1385">
        <v>1</v>
      </c>
      <c r="BB1385" t="str">
        <f t="shared" si="136"/>
        <v xml:space="preserve">N607SR  </v>
      </c>
      <c r="BC1385">
        <v>1</v>
      </c>
      <c r="BE1385">
        <v>0</v>
      </c>
      <c r="BF1385">
        <v>0</v>
      </c>
      <c r="BG1385">
        <v>0</v>
      </c>
      <c r="BH1385">
        <v>2600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 t="shared" si="156"/>
        <v>06:16:10.522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6</v>
      </c>
      <c r="CP1385" t="s">
        <v>119</v>
      </c>
      <c r="CQ1385">
        <v>465</v>
      </c>
      <c r="CR1385">
        <v>0</v>
      </c>
      <c r="CW1385">
        <v>4720490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 t="shared" si="153"/>
        <v>08/29/2020 06:16:07.259</v>
      </c>
      <c r="C1386" t="str">
        <f t="shared" si="134"/>
        <v>FFDFD3C0</v>
      </c>
      <c r="D1386" t="s">
        <v>121</v>
      </c>
      <c r="E1386">
        <v>13</v>
      </c>
      <c r="F1386">
        <v>1013</v>
      </c>
      <c r="G1386" t="s">
        <v>122</v>
      </c>
      <c r="J1386" t="s">
        <v>123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154"/>
        <v>06:16:10.516</v>
      </c>
      <c r="T1386" t="str">
        <f t="shared" si="155"/>
        <v>06:16:10.116</v>
      </c>
      <c r="U1386" t="str">
        <f t="shared" si="135"/>
        <v>A7E2E0</v>
      </c>
      <c r="V1386">
        <v>0</v>
      </c>
      <c r="W1386">
        <v>0</v>
      </c>
      <c r="X1386">
        <v>1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997</v>
      </c>
      <c r="AJ1386">
        <v>39.027921999999997</v>
      </c>
      <c r="AK1386" t="s">
        <v>998</v>
      </c>
      <c r="AL1386">
        <v>-87.544255000000007</v>
      </c>
      <c r="AM1386">
        <v>100</v>
      </c>
      <c r="AN1386">
        <v>2800</v>
      </c>
      <c r="AO1386" t="s">
        <v>118</v>
      </c>
      <c r="AP1386">
        <v>-95</v>
      </c>
      <c r="AQ1386">
        <v>-126</v>
      </c>
      <c r="AR1386">
        <v>0</v>
      </c>
      <c r="AZ1386">
        <v>4552</v>
      </c>
      <c r="BA1386">
        <v>1</v>
      </c>
      <c r="BB1386" t="str">
        <f t="shared" si="136"/>
        <v xml:space="preserve">N607SR  </v>
      </c>
      <c r="BC1386">
        <v>1</v>
      </c>
      <c r="BE1386">
        <v>0</v>
      </c>
      <c r="BF1386">
        <v>0</v>
      </c>
      <c r="BG1386">
        <v>0</v>
      </c>
      <c r="BH1386">
        <v>2600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 t="shared" si="156"/>
        <v>06:16:10.522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6</v>
      </c>
      <c r="CP1386" t="s">
        <v>119</v>
      </c>
      <c r="CQ1386">
        <v>465</v>
      </c>
      <c r="CR1386">
        <v>0</v>
      </c>
      <c r="CW1386">
        <v>4720490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 t="shared" ref="A1387:A1392" si="157">"08/29/2020 06:16:08.329"</f>
        <v>08/29/2020 06:16:08.329</v>
      </c>
      <c r="C1387" t="str">
        <f t="shared" si="134"/>
        <v>FFDFD3C0</v>
      </c>
      <c r="D1387" t="s">
        <v>939</v>
      </c>
      <c r="E1387">
        <v>10</v>
      </c>
      <c r="H1387">
        <v>79</v>
      </c>
      <c r="I1387" t="s">
        <v>940</v>
      </c>
      <c r="J1387" t="s">
        <v>130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ref="S1387:S1392" si="158">"06:16:11.578"</f>
        <v>06:16:11.578</v>
      </c>
      <c r="T1387" t="str">
        <f>"06:16:10.578"</f>
        <v>06:16:10.578</v>
      </c>
      <c r="U1387" t="str">
        <f t="shared" si="135"/>
        <v>A7E2E0</v>
      </c>
      <c r="V1387">
        <v>0</v>
      </c>
      <c r="W1387">
        <v>0</v>
      </c>
      <c r="X1387">
        <v>1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999</v>
      </c>
      <c r="AJ1387">
        <v>39.027363999999999</v>
      </c>
      <c r="AK1387" t="s">
        <v>1000</v>
      </c>
      <c r="AL1387">
        <v>-87.544792000000001</v>
      </c>
      <c r="AM1387">
        <v>100</v>
      </c>
      <c r="AN1387">
        <v>2800</v>
      </c>
      <c r="AO1387" t="s">
        <v>118</v>
      </c>
      <c r="AP1387">
        <v>-95</v>
      </c>
      <c r="AQ1387">
        <v>-126</v>
      </c>
      <c r="AR1387">
        <v>0</v>
      </c>
      <c r="AZ1387">
        <v>4552</v>
      </c>
      <c r="BA1387">
        <v>1</v>
      </c>
      <c r="BB1387" t="str">
        <f t="shared" si="136"/>
        <v xml:space="preserve">N607SR  </v>
      </c>
      <c r="BC1387">
        <v>1</v>
      </c>
      <c r="BE1387">
        <v>0</v>
      </c>
      <c r="BF1387">
        <v>0</v>
      </c>
      <c r="BG1387">
        <v>0</v>
      </c>
      <c r="BH1387">
        <v>2600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 t="shared" ref="BW1387:BW1392" si="159">"06:16:11.582"</f>
        <v>06:16:11.582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6</v>
      </c>
      <c r="CP1387" t="s">
        <v>119</v>
      </c>
      <c r="CQ1387">
        <v>465</v>
      </c>
      <c r="CR1387">
        <v>0</v>
      </c>
      <c r="CW1387">
        <v>4720523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 t="shared" si="157"/>
        <v>08/29/2020 06:16:08.329</v>
      </c>
      <c r="C1388" t="str">
        <f t="shared" si="134"/>
        <v>FFDFD3C0</v>
      </c>
      <c r="D1388" t="s">
        <v>113</v>
      </c>
      <c r="E1388">
        <v>5</v>
      </c>
      <c r="H1388">
        <v>163</v>
      </c>
      <c r="I1388" t="s">
        <v>114</v>
      </c>
      <c r="J1388" t="s">
        <v>115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158"/>
        <v>06:16:11.578</v>
      </c>
      <c r="U1388" t="str">
        <f t="shared" si="135"/>
        <v>A7E2E0</v>
      </c>
      <c r="V1388">
        <v>0</v>
      </c>
      <c r="W1388">
        <v>0</v>
      </c>
      <c r="X1388">
        <v>1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999</v>
      </c>
      <c r="AJ1388">
        <v>39.027363999999999</v>
      </c>
      <c r="AK1388" t="s">
        <v>1000</v>
      </c>
      <c r="AL1388">
        <v>-87.544792000000001</v>
      </c>
      <c r="AM1388">
        <v>100</v>
      </c>
      <c r="AN1388">
        <v>2800</v>
      </c>
      <c r="AO1388" t="s">
        <v>118</v>
      </c>
      <c r="AP1388">
        <v>-95</v>
      </c>
      <c r="AQ1388">
        <v>-126</v>
      </c>
      <c r="AR1388">
        <v>0</v>
      </c>
      <c r="AZ1388">
        <v>4552</v>
      </c>
      <c r="BA1388">
        <v>1</v>
      </c>
      <c r="BB1388" t="str">
        <f t="shared" si="136"/>
        <v xml:space="preserve">N607SR  </v>
      </c>
      <c r="BC1388">
        <v>1</v>
      </c>
      <c r="BE1388">
        <v>0</v>
      </c>
      <c r="BF1388">
        <v>0</v>
      </c>
      <c r="BG1388">
        <v>0</v>
      </c>
      <c r="BH1388">
        <v>2600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 t="shared" si="159"/>
        <v>06:16:11.582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5</v>
      </c>
      <c r="CP1388" t="s">
        <v>119</v>
      </c>
      <c r="CQ1388">
        <v>517</v>
      </c>
      <c r="CR1388">
        <v>1</v>
      </c>
      <c r="CW1388">
        <v>2481270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 t="shared" si="157"/>
        <v>08/29/2020 06:16:08.329</v>
      </c>
      <c r="C1389" t="str">
        <f t="shared" si="134"/>
        <v>FFDFD3C0</v>
      </c>
      <c r="D1389" t="s">
        <v>128</v>
      </c>
      <c r="E1389">
        <v>5</v>
      </c>
      <c r="H1389">
        <v>241</v>
      </c>
      <c r="I1389" t="s">
        <v>129</v>
      </c>
      <c r="J1389" t="s">
        <v>130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158"/>
        <v>06:16:11.578</v>
      </c>
      <c r="U1389" t="str">
        <f t="shared" si="135"/>
        <v>A7E2E0</v>
      </c>
      <c r="V1389">
        <v>0</v>
      </c>
      <c r="W1389">
        <v>0</v>
      </c>
      <c r="X1389">
        <v>1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999</v>
      </c>
      <c r="AJ1389">
        <v>39.027363999999999</v>
      </c>
      <c r="AK1389" t="s">
        <v>1000</v>
      </c>
      <c r="AL1389">
        <v>-87.544792000000001</v>
      </c>
      <c r="AM1389">
        <v>100</v>
      </c>
      <c r="AN1389">
        <v>2800</v>
      </c>
      <c r="AO1389" t="s">
        <v>118</v>
      </c>
      <c r="AP1389">
        <v>-95</v>
      </c>
      <c r="AQ1389">
        <v>-126</v>
      </c>
      <c r="AR1389">
        <v>0</v>
      </c>
      <c r="AZ1389">
        <v>4552</v>
      </c>
      <c r="BA1389">
        <v>1</v>
      </c>
      <c r="BB1389" t="str">
        <f t="shared" si="136"/>
        <v xml:space="preserve">N607SR  </v>
      </c>
      <c r="BC1389">
        <v>1</v>
      </c>
      <c r="BE1389">
        <v>0</v>
      </c>
      <c r="BF1389">
        <v>0</v>
      </c>
      <c r="BG1389">
        <v>0</v>
      </c>
      <c r="BH1389">
        <v>2600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 t="shared" si="159"/>
        <v>06:16:11.582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5</v>
      </c>
      <c r="CP1389" t="s">
        <v>119</v>
      </c>
      <c r="CQ1389">
        <v>517</v>
      </c>
      <c r="CR1389">
        <v>1</v>
      </c>
      <c r="CW1389">
        <v>2481270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 t="shared" si="157"/>
        <v>08/29/2020 06:16:08.329</v>
      </c>
      <c r="C1390" t="str">
        <f t="shared" si="134"/>
        <v>FFDFD3C0</v>
      </c>
      <c r="D1390" t="s">
        <v>121</v>
      </c>
      <c r="E1390">
        <v>10</v>
      </c>
      <c r="F1390">
        <v>1010</v>
      </c>
      <c r="G1390" t="s">
        <v>114</v>
      </c>
      <c r="J1390" t="s">
        <v>123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158"/>
        <v>06:16:11.578</v>
      </c>
      <c r="U1390" t="str">
        <f t="shared" si="135"/>
        <v>A7E2E0</v>
      </c>
      <c r="V1390">
        <v>0</v>
      </c>
      <c r="W1390">
        <v>0</v>
      </c>
      <c r="X1390">
        <v>1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999</v>
      </c>
      <c r="AJ1390">
        <v>39.027363999999999</v>
      </c>
      <c r="AK1390" t="s">
        <v>1000</v>
      </c>
      <c r="AL1390">
        <v>-87.544792000000001</v>
      </c>
      <c r="AM1390">
        <v>100</v>
      </c>
      <c r="AN1390">
        <v>2800</v>
      </c>
      <c r="AO1390" t="s">
        <v>118</v>
      </c>
      <c r="AP1390">
        <v>-95</v>
      </c>
      <c r="AQ1390">
        <v>-126</v>
      </c>
      <c r="AR1390">
        <v>0</v>
      </c>
      <c r="AZ1390">
        <v>4552</v>
      </c>
      <c r="BA1390">
        <v>1</v>
      </c>
      <c r="BB1390" t="str">
        <f t="shared" si="136"/>
        <v xml:space="preserve">N607SR  </v>
      </c>
      <c r="BC1390">
        <v>1</v>
      </c>
      <c r="BE1390">
        <v>0</v>
      </c>
      <c r="BF1390">
        <v>0</v>
      </c>
      <c r="BG1390">
        <v>0</v>
      </c>
      <c r="BH1390">
        <v>2600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 t="shared" si="159"/>
        <v>06:16:11.582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5</v>
      </c>
      <c r="CP1390" t="s">
        <v>119</v>
      </c>
      <c r="CQ1390">
        <v>517</v>
      </c>
      <c r="CR1390">
        <v>1</v>
      </c>
      <c r="CW1390">
        <v>2481270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 t="shared" si="157"/>
        <v>08/29/2020 06:16:08.329</v>
      </c>
      <c r="C1391" t="str">
        <f t="shared" si="134"/>
        <v>FFDFD3C0</v>
      </c>
      <c r="D1391" t="s">
        <v>121</v>
      </c>
      <c r="E1391">
        <v>11</v>
      </c>
      <c r="F1391">
        <v>1011</v>
      </c>
      <c r="G1391" t="s">
        <v>125</v>
      </c>
      <c r="J1391" t="s">
        <v>123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158"/>
        <v>06:16:11.578</v>
      </c>
      <c r="T1391" t="str">
        <f>"06:16:11.078"</f>
        <v>06:16:11.078</v>
      </c>
      <c r="U1391" t="str">
        <f t="shared" si="135"/>
        <v>A7E2E0</v>
      </c>
      <c r="V1391">
        <v>0</v>
      </c>
      <c r="W1391">
        <v>0</v>
      </c>
      <c r="X1391">
        <v>1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999</v>
      </c>
      <c r="AJ1391">
        <v>39.027363999999999</v>
      </c>
      <c r="AK1391" t="s">
        <v>1000</v>
      </c>
      <c r="AL1391">
        <v>-87.544792000000001</v>
      </c>
      <c r="AM1391">
        <v>100</v>
      </c>
      <c r="AN1391">
        <v>2800</v>
      </c>
      <c r="AO1391" t="s">
        <v>118</v>
      </c>
      <c r="AP1391">
        <v>-95</v>
      </c>
      <c r="AQ1391">
        <v>-126</v>
      </c>
      <c r="AR1391">
        <v>0</v>
      </c>
      <c r="AZ1391">
        <v>4552</v>
      </c>
      <c r="BA1391">
        <v>1</v>
      </c>
      <c r="BB1391" t="str">
        <f t="shared" si="136"/>
        <v xml:space="preserve">N607SR  </v>
      </c>
      <c r="BC1391">
        <v>1</v>
      </c>
      <c r="BE1391">
        <v>0</v>
      </c>
      <c r="BF1391">
        <v>0</v>
      </c>
      <c r="BG1391">
        <v>0</v>
      </c>
      <c r="BH1391">
        <v>2600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 t="shared" si="159"/>
        <v>06:16:11.582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119</v>
      </c>
      <c r="CQ1391">
        <v>177</v>
      </c>
      <c r="CR1391">
        <v>2</v>
      </c>
      <c r="CW1391">
        <v>1642991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 t="shared" si="157"/>
        <v>08/29/2020 06:16:08.329</v>
      </c>
      <c r="C1392" t="str">
        <f t="shared" si="134"/>
        <v>FFDFD3C0</v>
      </c>
      <c r="D1392" t="s">
        <v>121</v>
      </c>
      <c r="E1392">
        <v>13</v>
      </c>
      <c r="F1392">
        <v>1013</v>
      </c>
      <c r="G1392" t="s">
        <v>122</v>
      </c>
      <c r="J1392" t="s">
        <v>123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158"/>
        <v>06:16:11.578</v>
      </c>
      <c r="U1392" t="str">
        <f t="shared" si="135"/>
        <v>A7E2E0</v>
      </c>
      <c r="V1392">
        <v>0</v>
      </c>
      <c r="W1392">
        <v>0</v>
      </c>
      <c r="X1392">
        <v>1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999</v>
      </c>
      <c r="AJ1392">
        <v>39.027363999999999</v>
      </c>
      <c r="AK1392" t="s">
        <v>1000</v>
      </c>
      <c r="AL1392">
        <v>-87.544792000000001</v>
      </c>
      <c r="AM1392">
        <v>100</v>
      </c>
      <c r="AN1392">
        <v>2800</v>
      </c>
      <c r="AO1392" t="s">
        <v>118</v>
      </c>
      <c r="AP1392">
        <v>-95</v>
      </c>
      <c r="AQ1392">
        <v>-126</v>
      </c>
      <c r="AR1392">
        <v>0</v>
      </c>
      <c r="AZ1392">
        <v>4552</v>
      </c>
      <c r="BA1392">
        <v>1</v>
      </c>
      <c r="BB1392" t="str">
        <f t="shared" si="136"/>
        <v xml:space="preserve">N607SR  </v>
      </c>
      <c r="BC1392">
        <v>1</v>
      </c>
      <c r="BE1392">
        <v>0</v>
      </c>
      <c r="BF1392">
        <v>0</v>
      </c>
      <c r="BG1392">
        <v>0</v>
      </c>
      <c r="BH1392">
        <v>2600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 t="shared" si="159"/>
        <v>06:16:11.582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5</v>
      </c>
      <c r="CP1392" t="s">
        <v>119</v>
      </c>
      <c r="CQ1392">
        <v>517</v>
      </c>
      <c r="CR1392">
        <v>1</v>
      </c>
      <c r="CW1392">
        <v>2481270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 t="shared" ref="A1393:A1398" si="160">"08/29/2020 06:16:09.345"</f>
        <v>08/29/2020 06:16:09.345</v>
      </c>
      <c r="C1393" t="str">
        <f t="shared" si="134"/>
        <v>FFDFD3C0</v>
      </c>
      <c r="D1393" t="s">
        <v>121</v>
      </c>
      <c r="E1393">
        <v>11</v>
      </c>
      <c r="F1393">
        <v>1011</v>
      </c>
      <c r="G1393" t="s">
        <v>125</v>
      </c>
      <c r="J1393" t="s">
        <v>123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ref="S1393:S1398" si="161">"06:16:12.555"</f>
        <v>06:16:12.555</v>
      </c>
      <c r="T1393" t="str">
        <f>"06:16:12.155"</f>
        <v>06:16:12.155</v>
      </c>
      <c r="U1393" t="str">
        <f t="shared" si="135"/>
        <v>A7E2E0</v>
      </c>
      <c r="V1393">
        <v>0</v>
      </c>
      <c r="W1393">
        <v>0</v>
      </c>
      <c r="X1393">
        <v>1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1001</v>
      </c>
      <c r="AJ1393">
        <v>39.026784999999997</v>
      </c>
      <c r="AK1393" t="s">
        <v>1002</v>
      </c>
      <c r="AL1393">
        <v>-87.545393000000004</v>
      </c>
      <c r="AM1393">
        <v>100</v>
      </c>
      <c r="AN1393">
        <v>2800</v>
      </c>
      <c r="AO1393" t="s">
        <v>118</v>
      </c>
      <c r="AP1393">
        <v>-95</v>
      </c>
      <c r="AQ1393">
        <v>-126</v>
      </c>
      <c r="AR1393">
        <v>0</v>
      </c>
      <c r="AZ1393">
        <v>4552</v>
      </c>
      <c r="BA1393">
        <v>1</v>
      </c>
      <c r="BB1393" t="str">
        <f t="shared" si="136"/>
        <v xml:space="preserve">N607SR  </v>
      </c>
      <c r="BC1393">
        <v>1</v>
      </c>
      <c r="BE1393">
        <v>0</v>
      </c>
      <c r="BF1393">
        <v>0</v>
      </c>
      <c r="BG1393">
        <v>0</v>
      </c>
      <c r="BH1393">
        <v>2600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 t="shared" ref="BW1393:BW1398" si="162">"06:16:12.562"</f>
        <v>06:16:12.562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5</v>
      </c>
      <c r="CP1393" t="s">
        <v>119</v>
      </c>
      <c r="CQ1393">
        <v>457</v>
      </c>
      <c r="CR1393">
        <v>0</v>
      </c>
      <c r="CW1393">
        <v>15516524</v>
      </c>
      <c r="CY1393">
        <v>1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 t="shared" si="160"/>
        <v>08/29/2020 06:16:09.345</v>
      </c>
      <c r="C1394" t="str">
        <f t="shared" si="134"/>
        <v>FFDFD3C0</v>
      </c>
      <c r="D1394" t="s">
        <v>121</v>
      </c>
      <c r="E1394">
        <v>13</v>
      </c>
      <c r="F1394">
        <v>1013</v>
      </c>
      <c r="G1394" t="s">
        <v>122</v>
      </c>
      <c r="J1394" t="s">
        <v>123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161"/>
        <v>06:16:12.555</v>
      </c>
      <c r="U1394" t="str">
        <f t="shared" si="135"/>
        <v>A7E2E0</v>
      </c>
      <c r="V1394">
        <v>0</v>
      </c>
      <c r="W1394">
        <v>0</v>
      </c>
      <c r="X1394">
        <v>1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1001</v>
      </c>
      <c r="AJ1394">
        <v>39.026784999999997</v>
      </c>
      <c r="AK1394" t="s">
        <v>1002</v>
      </c>
      <c r="AL1394">
        <v>-87.545393000000004</v>
      </c>
      <c r="AM1394">
        <v>100</v>
      </c>
      <c r="AN1394">
        <v>2800</v>
      </c>
      <c r="AO1394" t="s">
        <v>118</v>
      </c>
      <c r="AP1394">
        <v>-95</v>
      </c>
      <c r="AQ1394">
        <v>-126</v>
      </c>
      <c r="AR1394">
        <v>-64</v>
      </c>
      <c r="AZ1394">
        <v>4552</v>
      </c>
      <c r="BA1394">
        <v>1</v>
      </c>
      <c r="BB1394" t="str">
        <f t="shared" si="136"/>
        <v xml:space="preserve">N607SR  </v>
      </c>
      <c r="BC1394">
        <v>1</v>
      </c>
      <c r="BE1394">
        <v>0</v>
      </c>
      <c r="BF1394">
        <v>0</v>
      </c>
      <c r="BG1394">
        <v>0</v>
      </c>
      <c r="BH1394">
        <v>2600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 t="shared" si="162"/>
        <v>06:16:12.562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5</v>
      </c>
      <c r="CP1394" t="s">
        <v>119</v>
      </c>
      <c r="CQ1394">
        <v>517</v>
      </c>
      <c r="CR1394">
        <v>1</v>
      </c>
      <c r="CW1394">
        <v>2481298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 t="shared" si="160"/>
        <v>08/29/2020 06:16:09.345</v>
      </c>
      <c r="C1395" t="str">
        <f t="shared" si="134"/>
        <v>FFDFD3C0</v>
      </c>
      <c r="D1395" t="s">
        <v>121</v>
      </c>
      <c r="E1395">
        <v>10</v>
      </c>
      <c r="F1395">
        <v>1010</v>
      </c>
      <c r="G1395" t="s">
        <v>114</v>
      </c>
      <c r="J1395" t="s">
        <v>123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161"/>
        <v>06:16:12.555</v>
      </c>
      <c r="U1395" t="str">
        <f t="shared" si="135"/>
        <v>A7E2E0</v>
      </c>
      <c r="V1395">
        <v>0</v>
      </c>
      <c r="W1395">
        <v>0</v>
      </c>
      <c r="X1395">
        <v>1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1001</v>
      </c>
      <c r="AJ1395">
        <v>39.026784999999997</v>
      </c>
      <c r="AK1395" t="s">
        <v>1002</v>
      </c>
      <c r="AL1395">
        <v>-87.545393000000004</v>
      </c>
      <c r="AM1395">
        <v>100</v>
      </c>
      <c r="AN1395">
        <v>2800</v>
      </c>
      <c r="AO1395" t="s">
        <v>118</v>
      </c>
      <c r="AP1395">
        <v>-95</v>
      </c>
      <c r="AQ1395">
        <v>-126</v>
      </c>
      <c r="AR1395">
        <v>-64</v>
      </c>
      <c r="AZ1395">
        <v>4552</v>
      </c>
      <c r="BA1395">
        <v>1</v>
      </c>
      <c r="BB1395" t="str">
        <f t="shared" si="136"/>
        <v xml:space="preserve">N607SR  </v>
      </c>
      <c r="BC1395">
        <v>1</v>
      </c>
      <c r="BE1395">
        <v>0</v>
      </c>
      <c r="BF1395">
        <v>0</v>
      </c>
      <c r="BG1395">
        <v>0</v>
      </c>
      <c r="BH1395">
        <v>2600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 t="shared" si="162"/>
        <v>06:16:12.562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5</v>
      </c>
      <c r="CP1395" t="s">
        <v>119</v>
      </c>
      <c r="CQ1395">
        <v>517</v>
      </c>
      <c r="CR1395">
        <v>1</v>
      </c>
      <c r="CW1395">
        <v>2481298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 t="shared" si="160"/>
        <v>08/29/2020 06:16:09.345</v>
      </c>
      <c r="C1396" t="str">
        <f t="shared" si="134"/>
        <v>FFDFD3C0</v>
      </c>
      <c r="D1396" t="s">
        <v>939</v>
      </c>
      <c r="E1396">
        <v>10</v>
      </c>
      <c r="H1396">
        <v>79</v>
      </c>
      <c r="I1396" t="s">
        <v>940</v>
      </c>
      <c r="J1396" t="s">
        <v>130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161"/>
        <v>06:16:12.555</v>
      </c>
      <c r="T1396" t="str">
        <f>"06:16:12.155"</f>
        <v>06:16:12.155</v>
      </c>
      <c r="U1396" t="str">
        <f t="shared" si="135"/>
        <v>A7E2E0</v>
      </c>
      <c r="V1396">
        <v>0</v>
      </c>
      <c r="W1396">
        <v>0</v>
      </c>
      <c r="X1396">
        <v>1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1001</v>
      </c>
      <c r="AJ1396">
        <v>39.026784999999997</v>
      </c>
      <c r="AK1396" t="s">
        <v>1002</v>
      </c>
      <c r="AL1396">
        <v>-87.545393000000004</v>
      </c>
      <c r="AM1396">
        <v>100</v>
      </c>
      <c r="AN1396">
        <v>2800</v>
      </c>
      <c r="AO1396" t="s">
        <v>118</v>
      </c>
      <c r="AP1396">
        <v>-95</v>
      </c>
      <c r="AQ1396">
        <v>-126</v>
      </c>
      <c r="AR1396">
        <v>0</v>
      </c>
      <c r="AZ1396">
        <v>4552</v>
      </c>
      <c r="BA1396">
        <v>1</v>
      </c>
      <c r="BB1396" t="str">
        <f t="shared" si="136"/>
        <v xml:space="preserve">N607SR  </v>
      </c>
      <c r="BC1396">
        <v>1</v>
      </c>
      <c r="BE1396">
        <v>0</v>
      </c>
      <c r="BF1396">
        <v>0</v>
      </c>
      <c r="BG1396">
        <v>0</v>
      </c>
      <c r="BH1396">
        <v>2600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 t="shared" si="162"/>
        <v>06:16:12.562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5</v>
      </c>
      <c r="CP1396" t="s">
        <v>119</v>
      </c>
      <c r="CQ1396">
        <v>465</v>
      </c>
      <c r="CR1396">
        <v>0</v>
      </c>
      <c r="CW1396">
        <v>4720557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 t="shared" si="160"/>
        <v>08/29/2020 06:16:09.345</v>
      </c>
      <c r="C1397" t="str">
        <f t="shared" si="134"/>
        <v>FFDFD3C0</v>
      </c>
      <c r="D1397" t="s">
        <v>113</v>
      </c>
      <c r="E1397">
        <v>5</v>
      </c>
      <c r="H1397">
        <v>163</v>
      </c>
      <c r="I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161"/>
        <v>06:16:12.555</v>
      </c>
      <c r="U1397" t="str">
        <f t="shared" si="135"/>
        <v>A7E2E0</v>
      </c>
      <c r="V1397">
        <v>0</v>
      </c>
      <c r="W1397">
        <v>0</v>
      </c>
      <c r="X1397">
        <v>1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1001</v>
      </c>
      <c r="AJ1397">
        <v>39.026784999999997</v>
      </c>
      <c r="AK1397" t="s">
        <v>1002</v>
      </c>
      <c r="AL1397">
        <v>-87.545393000000004</v>
      </c>
      <c r="AM1397">
        <v>100</v>
      </c>
      <c r="AN1397">
        <v>2800</v>
      </c>
      <c r="AO1397" t="s">
        <v>118</v>
      </c>
      <c r="AP1397">
        <v>-95</v>
      </c>
      <c r="AQ1397">
        <v>-126</v>
      </c>
      <c r="AR1397">
        <v>-64</v>
      </c>
      <c r="AZ1397">
        <v>4552</v>
      </c>
      <c r="BA1397">
        <v>1</v>
      </c>
      <c r="BB1397" t="str">
        <f t="shared" si="136"/>
        <v xml:space="preserve">N607SR  </v>
      </c>
      <c r="BC1397">
        <v>1</v>
      </c>
      <c r="BE1397">
        <v>0</v>
      </c>
      <c r="BF1397">
        <v>0</v>
      </c>
      <c r="BG1397">
        <v>0</v>
      </c>
      <c r="BH1397">
        <v>2600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 t="shared" si="162"/>
        <v>06:16:12.562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5</v>
      </c>
      <c r="CP1397" t="s">
        <v>119</v>
      </c>
      <c r="CQ1397">
        <v>517</v>
      </c>
      <c r="CR1397">
        <v>1</v>
      </c>
      <c r="CW1397">
        <v>2481298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 t="shared" si="160"/>
        <v>08/29/2020 06:16:09.345</v>
      </c>
      <c r="C1398" t="str">
        <f t="shared" si="134"/>
        <v>FFDFD3C0</v>
      </c>
      <c r="D1398" t="s">
        <v>128</v>
      </c>
      <c r="E1398">
        <v>5</v>
      </c>
      <c r="H1398">
        <v>241</v>
      </c>
      <c r="I1398" t="s">
        <v>129</v>
      </c>
      <c r="J1398" t="s">
        <v>130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161"/>
        <v>06:16:12.555</v>
      </c>
      <c r="U1398" t="str">
        <f t="shared" si="135"/>
        <v>A7E2E0</v>
      </c>
      <c r="V1398">
        <v>0</v>
      </c>
      <c r="W1398">
        <v>0</v>
      </c>
      <c r="X1398">
        <v>1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1001</v>
      </c>
      <c r="AJ1398">
        <v>39.026784999999997</v>
      </c>
      <c r="AK1398" t="s">
        <v>1002</v>
      </c>
      <c r="AL1398">
        <v>-87.545393000000004</v>
      </c>
      <c r="AM1398">
        <v>100</v>
      </c>
      <c r="AN1398">
        <v>2800</v>
      </c>
      <c r="AO1398" t="s">
        <v>118</v>
      </c>
      <c r="AP1398">
        <v>-95</v>
      </c>
      <c r="AQ1398">
        <v>-126</v>
      </c>
      <c r="AR1398">
        <v>-64</v>
      </c>
      <c r="AZ1398">
        <v>4552</v>
      </c>
      <c r="BA1398">
        <v>1</v>
      </c>
      <c r="BB1398" t="str">
        <f t="shared" si="136"/>
        <v xml:space="preserve">N607SR  </v>
      </c>
      <c r="BC1398">
        <v>1</v>
      </c>
      <c r="BE1398">
        <v>0</v>
      </c>
      <c r="BF1398">
        <v>0</v>
      </c>
      <c r="BG1398">
        <v>0</v>
      </c>
      <c r="BH1398">
        <v>2600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 t="shared" si="162"/>
        <v>06:16:12.562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5</v>
      </c>
      <c r="CP1398" t="s">
        <v>119</v>
      </c>
      <c r="CQ1398">
        <v>517</v>
      </c>
      <c r="CR1398">
        <v>1</v>
      </c>
      <c r="CW1398">
        <v>2481298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 t="shared" ref="A1399:A1404" si="163">"08/29/2020 06:16:10.296"</f>
        <v>08/29/2020 06:16:10.296</v>
      </c>
      <c r="C1399" t="str">
        <f t="shared" si="134"/>
        <v>FFDFD3C0</v>
      </c>
      <c r="D1399" t="s">
        <v>939</v>
      </c>
      <c r="E1399">
        <v>10</v>
      </c>
      <c r="H1399">
        <v>79</v>
      </c>
      <c r="I1399" t="s">
        <v>940</v>
      </c>
      <c r="J1399" t="s">
        <v>130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ref="S1399:S1404" si="164">"06:16:13.508"</f>
        <v>06:16:13.508</v>
      </c>
      <c r="T1399" t="str">
        <f>"06:16:13.008"</f>
        <v>06:16:13.008</v>
      </c>
      <c r="U1399" t="str">
        <f t="shared" si="135"/>
        <v>A7E2E0</v>
      </c>
      <c r="V1399">
        <v>0</v>
      </c>
      <c r="W1399">
        <v>0</v>
      </c>
      <c r="X1399">
        <v>1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1003</v>
      </c>
      <c r="AJ1399">
        <v>39.026184000000001</v>
      </c>
      <c r="AK1399" t="s">
        <v>1004</v>
      </c>
      <c r="AL1399">
        <v>-87.545929000000001</v>
      </c>
      <c r="AM1399">
        <v>100</v>
      </c>
      <c r="AN1399">
        <v>2800</v>
      </c>
      <c r="AO1399" t="s">
        <v>118</v>
      </c>
      <c r="AP1399">
        <v>-95</v>
      </c>
      <c r="AQ1399">
        <v>-126</v>
      </c>
      <c r="AR1399">
        <v>-64</v>
      </c>
      <c r="AZ1399">
        <v>4552</v>
      </c>
      <c r="BA1399">
        <v>1</v>
      </c>
      <c r="BB1399" t="str">
        <f t="shared" si="136"/>
        <v xml:space="preserve">N607SR  </v>
      </c>
      <c r="BC1399">
        <v>1</v>
      </c>
      <c r="BE1399">
        <v>0</v>
      </c>
      <c r="BF1399">
        <v>0</v>
      </c>
      <c r="BG1399">
        <v>0</v>
      </c>
      <c r="BH1399">
        <v>2600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 t="shared" ref="BW1399:BW1404" si="165">"06:16:13.514"</f>
        <v>06:16:13.514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465</v>
      </c>
      <c r="CR1399">
        <v>0</v>
      </c>
      <c r="CW1399">
        <v>4720591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 t="shared" si="163"/>
        <v>08/29/2020 06:16:10.296</v>
      </c>
      <c r="C1400" t="str">
        <f t="shared" si="134"/>
        <v>FFDFD3C0</v>
      </c>
      <c r="D1400" t="s">
        <v>121</v>
      </c>
      <c r="E1400">
        <v>10</v>
      </c>
      <c r="F1400">
        <v>1010</v>
      </c>
      <c r="G1400" t="s">
        <v>114</v>
      </c>
      <c r="J1400" t="s">
        <v>123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164"/>
        <v>06:16:13.508</v>
      </c>
      <c r="U1400" t="str">
        <f t="shared" si="135"/>
        <v>A7E2E0</v>
      </c>
      <c r="V1400">
        <v>0</v>
      </c>
      <c r="W1400">
        <v>0</v>
      </c>
      <c r="X1400">
        <v>1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1003</v>
      </c>
      <c r="AJ1400">
        <v>39.026184000000001</v>
      </c>
      <c r="AK1400" t="s">
        <v>1004</v>
      </c>
      <c r="AL1400">
        <v>-87.545929000000001</v>
      </c>
      <c r="AM1400">
        <v>100</v>
      </c>
      <c r="AN1400">
        <v>2800</v>
      </c>
      <c r="AO1400" t="s">
        <v>118</v>
      </c>
      <c r="AP1400">
        <v>-95</v>
      </c>
      <c r="AQ1400">
        <v>-126</v>
      </c>
      <c r="AR1400">
        <v>-64</v>
      </c>
      <c r="AZ1400">
        <v>4552</v>
      </c>
      <c r="BA1400">
        <v>1</v>
      </c>
      <c r="BB1400" t="str">
        <f t="shared" si="136"/>
        <v xml:space="preserve">N607SR  </v>
      </c>
      <c r="BC1400">
        <v>1</v>
      </c>
      <c r="BE1400">
        <v>0</v>
      </c>
      <c r="BF1400">
        <v>0</v>
      </c>
      <c r="BG1400">
        <v>0</v>
      </c>
      <c r="BH1400">
        <v>2600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 t="shared" si="165"/>
        <v>06:16:13.514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5</v>
      </c>
      <c r="CP1400" t="s">
        <v>119</v>
      </c>
      <c r="CQ1400">
        <v>517</v>
      </c>
      <c r="CR1400">
        <v>1</v>
      </c>
      <c r="CW1400">
        <v>2481326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 t="shared" si="163"/>
        <v>08/29/2020 06:16:10.296</v>
      </c>
      <c r="C1401" t="str">
        <f t="shared" si="134"/>
        <v>FFDFD3C0</v>
      </c>
      <c r="D1401" t="s">
        <v>121</v>
      </c>
      <c r="E1401">
        <v>13</v>
      </c>
      <c r="F1401">
        <v>1013</v>
      </c>
      <c r="G1401" t="s">
        <v>122</v>
      </c>
      <c r="J1401" t="s">
        <v>123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164"/>
        <v>06:16:13.508</v>
      </c>
      <c r="U1401" t="str">
        <f t="shared" si="135"/>
        <v>A7E2E0</v>
      </c>
      <c r="V1401">
        <v>0</v>
      </c>
      <c r="W1401">
        <v>0</v>
      </c>
      <c r="X1401">
        <v>1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1003</v>
      </c>
      <c r="AJ1401">
        <v>39.026184000000001</v>
      </c>
      <c r="AK1401" t="s">
        <v>1004</v>
      </c>
      <c r="AL1401">
        <v>-87.545929000000001</v>
      </c>
      <c r="AM1401">
        <v>100</v>
      </c>
      <c r="AN1401">
        <v>2800</v>
      </c>
      <c r="AO1401" t="s">
        <v>118</v>
      </c>
      <c r="AP1401">
        <v>-95</v>
      </c>
      <c r="AQ1401">
        <v>-126</v>
      </c>
      <c r="AR1401">
        <v>-64</v>
      </c>
      <c r="AZ1401">
        <v>4552</v>
      </c>
      <c r="BA1401">
        <v>1</v>
      </c>
      <c r="BB1401" t="str">
        <f t="shared" si="136"/>
        <v xml:space="preserve">N607SR  </v>
      </c>
      <c r="BC1401">
        <v>1</v>
      </c>
      <c r="BE1401">
        <v>0</v>
      </c>
      <c r="BF1401">
        <v>0</v>
      </c>
      <c r="BG1401">
        <v>0</v>
      </c>
      <c r="BH1401">
        <v>2600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 t="shared" si="165"/>
        <v>06:16:13.514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5</v>
      </c>
      <c r="CP1401" t="s">
        <v>119</v>
      </c>
      <c r="CQ1401">
        <v>517</v>
      </c>
      <c r="CR1401">
        <v>1</v>
      </c>
      <c r="CW1401">
        <v>2481326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 t="shared" si="163"/>
        <v>08/29/2020 06:16:10.296</v>
      </c>
      <c r="C1402" t="str">
        <f t="shared" si="134"/>
        <v>FFDFD3C0</v>
      </c>
      <c r="D1402" t="s">
        <v>113</v>
      </c>
      <c r="E1402">
        <v>5</v>
      </c>
      <c r="H1402">
        <v>163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164"/>
        <v>06:16:13.508</v>
      </c>
      <c r="U1402" t="str">
        <f t="shared" si="135"/>
        <v>A7E2E0</v>
      </c>
      <c r="V1402">
        <v>0</v>
      </c>
      <c r="W1402">
        <v>0</v>
      </c>
      <c r="X1402">
        <v>1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1003</v>
      </c>
      <c r="AJ1402">
        <v>39.026184000000001</v>
      </c>
      <c r="AK1402" t="s">
        <v>1004</v>
      </c>
      <c r="AL1402">
        <v>-87.545929000000001</v>
      </c>
      <c r="AM1402">
        <v>100</v>
      </c>
      <c r="AN1402">
        <v>2800</v>
      </c>
      <c r="AO1402" t="s">
        <v>118</v>
      </c>
      <c r="AP1402">
        <v>-95</v>
      </c>
      <c r="AQ1402">
        <v>-126</v>
      </c>
      <c r="AR1402">
        <v>-64</v>
      </c>
      <c r="AZ1402">
        <v>4552</v>
      </c>
      <c r="BA1402">
        <v>1</v>
      </c>
      <c r="BB1402" t="str">
        <f t="shared" si="136"/>
        <v xml:space="preserve">N607SR  </v>
      </c>
      <c r="BC1402">
        <v>1</v>
      </c>
      <c r="BE1402">
        <v>0</v>
      </c>
      <c r="BF1402">
        <v>0</v>
      </c>
      <c r="BG1402">
        <v>0</v>
      </c>
      <c r="BH1402">
        <v>2600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 t="shared" si="165"/>
        <v>06:16:13.514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5</v>
      </c>
      <c r="CP1402" t="s">
        <v>119</v>
      </c>
      <c r="CQ1402">
        <v>517</v>
      </c>
      <c r="CR1402">
        <v>1</v>
      </c>
      <c r="CW1402">
        <v>2481326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 t="shared" si="163"/>
        <v>08/29/2020 06:16:10.296</v>
      </c>
      <c r="C1403" t="str">
        <f t="shared" si="134"/>
        <v>FFDFD3C0</v>
      </c>
      <c r="D1403" t="s">
        <v>128</v>
      </c>
      <c r="E1403">
        <v>5</v>
      </c>
      <c r="H1403">
        <v>241</v>
      </c>
      <c r="I1403" t="s">
        <v>129</v>
      </c>
      <c r="J1403" t="s">
        <v>130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164"/>
        <v>06:16:13.508</v>
      </c>
      <c r="U1403" t="str">
        <f t="shared" si="135"/>
        <v>A7E2E0</v>
      </c>
      <c r="V1403">
        <v>0</v>
      </c>
      <c r="W1403">
        <v>0</v>
      </c>
      <c r="X1403">
        <v>1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1003</v>
      </c>
      <c r="AJ1403">
        <v>39.026184000000001</v>
      </c>
      <c r="AK1403" t="s">
        <v>1004</v>
      </c>
      <c r="AL1403">
        <v>-87.545929000000001</v>
      </c>
      <c r="AM1403">
        <v>100</v>
      </c>
      <c r="AN1403">
        <v>2800</v>
      </c>
      <c r="AO1403" t="s">
        <v>118</v>
      </c>
      <c r="AP1403">
        <v>-95</v>
      </c>
      <c r="AQ1403">
        <v>-126</v>
      </c>
      <c r="AR1403">
        <v>-64</v>
      </c>
      <c r="AZ1403">
        <v>4552</v>
      </c>
      <c r="BA1403">
        <v>1</v>
      </c>
      <c r="BB1403" t="str">
        <f t="shared" si="136"/>
        <v xml:space="preserve">N607SR  </v>
      </c>
      <c r="BC1403">
        <v>1</v>
      </c>
      <c r="BE1403">
        <v>0</v>
      </c>
      <c r="BF1403">
        <v>0</v>
      </c>
      <c r="BG1403">
        <v>0</v>
      </c>
      <c r="BH1403">
        <v>2600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 t="shared" si="165"/>
        <v>06:16:13.514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5</v>
      </c>
      <c r="CP1403" t="s">
        <v>119</v>
      </c>
      <c r="CQ1403">
        <v>517</v>
      </c>
      <c r="CR1403">
        <v>1</v>
      </c>
      <c r="CW1403">
        <v>2481326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 t="shared" si="163"/>
        <v>08/29/2020 06:16:10.296</v>
      </c>
      <c r="C1404" t="str">
        <f t="shared" si="134"/>
        <v>FFDFD3C0</v>
      </c>
      <c r="D1404" t="s">
        <v>121</v>
      </c>
      <c r="E1404">
        <v>11</v>
      </c>
      <c r="F1404">
        <v>1011</v>
      </c>
      <c r="G1404" t="s">
        <v>125</v>
      </c>
      <c r="J1404" t="s">
        <v>123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164"/>
        <v>06:16:13.508</v>
      </c>
      <c r="T1404" t="str">
        <f>"06:16:13.008"</f>
        <v>06:16:13.008</v>
      </c>
      <c r="U1404" t="str">
        <f t="shared" si="135"/>
        <v>A7E2E0</v>
      </c>
      <c r="V1404">
        <v>0</v>
      </c>
      <c r="W1404">
        <v>0</v>
      </c>
      <c r="X1404">
        <v>1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1003</v>
      </c>
      <c r="AJ1404">
        <v>39.026184000000001</v>
      </c>
      <c r="AK1404" t="s">
        <v>1004</v>
      </c>
      <c r="AL1404">
        <v>-87.545929000000001</v>
      </c>
      <c r="AM1404">
        <v>100</v>
      </c>
      <c r="AN1404">
        <v>2800</v>
      </c>
      <c r="AO1404" t="s">
        <v>118</v>
      </c>
      <c r="AP1404">
        <v>-95</v>
      </c>
      <c r="AQ1404">
        <v>-126</v>
      </c>
      <c r="AR1404">
        <v>-64</v>
      </c>
      <c r="AZ1404">
        <v>4552</v>
      </c>
      <c r="BA1404">
        <v>1</v>
      </c>
      <c r="BB1404" t="str">
        <f t="shared" si="136"/>
        <v xml:space="preserve">N607SR  </v>
      </c>
      <c r="BC1404">
        <v>1</v>
      </c>
      <c r="BE1404">
        <v>0</v>
      </c>
      <c r="BF1404">
        <v>0</v>
      </c>
      <c r="BG1404">
        <v>0</v>
      </c>
      <c r="BH1404">
        <v>2600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 t="shared" si="165"/>
        <v>06:16:13.514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177</v>
      </c>
      <c r="CR1404">
        <v>2</v>
      </c>
      <c r="CW1404">
        <v>1643314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 t="shared" ref="A1405:A1410" si="166">"08/29/2020 06:16:11.351"</f>
        <v>08/29/2020 06:16:11.351</v>
      </c>
      <c r="C1405" t="str">
        <f t="shared" si="134"/>
        <v>FFDFD3C0</v>
      </c>
      <c r="D1405" t="s">
        <v>121</v>
      </c>
      <c r="E1405">
        <v>13</v>
      </c>
      <c r="F1405">
        <v>1013</v>
      </c>
      <c r="G1405" t="s">
        <v>122</v>
      </c>
      <c r="J1405" t="s">
        <v>123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ref="S1405:S1410" si="167">"06:16:14.570"</f>
        <v>06:16:14.570</v>
      </c>
      <c r="T1405" t="str">
        <f t="shared" ref="T1405:T1410" si="168">"06:16:14.070"</f>
        <v>06:16:14.070</v>
      </c>
      <c r="U1405" t="str">
        <f t="shared" si="135"/>
        <v>A7E2E0</v>
      </c>
      <c r="V1405">
        <v>0</v>
      </c>
      <c r="W1405">
        <v>0</v>
      </c>
      <c r="X1405">
        <v>1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1005</v>
      </c>
      <c r="AJ1405">
        <v>39.025582999999997</v>
      </c>
      <c r="AK1405" t="s">
        <v>1006</v>
      </c>
      <c r="AL1405">
        <v>-87.546530000000004</v>
      </c>
      <c r="AM1405">
        <v>100</v>
      </c>
      <c r="AN1405">
        <v>2800</v>
      </c>
      <c r="AO1405" t="s">
        <v>118</v>
      </c>
      <c r="AP1405">
        <v>-95</v>
      </c>
      <c r="AQ1405">
        <v>-126</v>
      </c>
      <c r="AR1405">
        <v>-64</v>
      </c>
      <c r="AZ1405">
        <v>4552</v>
      </c>
      <c r="BA1405">
        <v>1</v>
      </c>
      <c r="BB1405" t="str">
        <f t="shared" si="136"/>
        <v xml:space="preserve">N607SR  </v>
      </c>
      <c r="BC1405">
        <v>1</v>
      </c>
      <c r="BE1405">
        <v>0</v>
      </c>
      <c r="BF1405">
        <v>0</v>
      </c>
      <c r="BG1405">
        <v>0</v>
      </c>
      <c r="BH1405">
        <v>2600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 t="shared" ref="BW1405:BW1410" si="169">"06:16:14.574"</f>
        <v>06:16:14.574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177</v>
      </c>
      <c r="CR1405">
        <v>2</v>
      </c>
      <c r="CW1405">
        <v>1643463</v>
      </c>
      <c r="CY1405">
        <v>1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 t="shared" si="166"/>
        <v>08/29/2020 06:16:11.351</v>
      </c>
      <c r="C1406" t="str">
        <f t="shared" si="134"/>
        <v>FFDFD3C0</v>
      </c>
      <c r="D1406" t="s">
        <v>939</v>
      </c>
      <c r="E1406">
        <v>10</v>
      </c>
      <c r="H1406">
        <v>79</v>
      </c>
      <c r="I1406" t="s">
        <v>940</v>
      </c>
      <c r="J1406" t="s">
        <v>130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167"/>
        <v>06:16:14.570</v>
      </c>
      <c r="T1406" t="str">
        <f t="shared" si="168"/>
        <v>06:16:14.070</v>
      </c>
      <c r="U1406" t="str">
        <f t="shared" si="135"/>
        <v>A7E2E0</v>
      </c>
      <c r="V1406">
        <v>0</v>
      </c>
      <c r="W1406">
        <v>0</v>
      </c>
      <c r="X1406">
        <v>1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1005</v>
      </c>
      <c r="AJ1406">
        <v>39.025582999999997</v>
      </c>
      <c r="AK1406" t="s">
        <v>1006</v>
      </c>
      <c r="AL1406">
        <v>-87.546530000000004</v>
      </c>
      <c r="AM1406">
        <v>100</v>
      </c>
      <c r="AN1406">
        <v>2800</v>
      </c>
      <c r="AO1406" t="s">
        <v>118</v>
      </c>
      <c r="AP1406">
        <v>-95</v>
      </c>
      <c r="AQ1406">
        <v>-126</v>
      </c>
      <c r="AR1406">
        <v>-64</v>
      </c>
      <c r="AZ1406">
        <v>4552</v>
      </c>
      <c r="BA1406">
        <v>1</v>
      </c>
      <c r="BB1406" t="str">
        <f t="shared" si="136"/>
        <v xml:space="preserve">N607SR  </v>
      </c>
      <c r="BC1406">
        <v>1</v>
      </c>
      <c r="BE1406">
        <v>0</v>
      </c>
      <c r="BF1406">
        <v>0</v>
      </c>
      <c r="BG1406">
        <v>0</v>
      </c>
      <c r="BH1406">
        <v>2600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 t="shared" si="169"/>
        <v>06:16:14.574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4</v>
      </c>
      <c r="CP1406" t="s">
        <v>119</v>
      </c>
      <c r="CQ1406">
        <v>465</v>
      </c>
      <c r="CR1406">
        <v>1</v>
      </c>
      <c r="CW1406">
        <v>4720626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 t="shared" si="166"/>
        <v>08/29/2020 06:16:11.351</v>
      </c>
      <c r="C1407" t="str">
        <f t="shared" si="134"/>
        <v>FFDFD3C0</v>
      </c>
      <c r="D1407" t="s">
        <v>121</v>
      </c>
      <c r="E1407">
        <v>10</v>
      </c>
      <c r="F1407">
        <v>1010</v>
      </c>
      <c r="G1407" t="s">
        <v>114</v>
      </c>
      <c r="J1407" t="s">
        <v>123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167"/>
        <v>06:16:14.570</v>
      </c>
      <c r="T1407" t="str">
        <f t="shared" si="168"/>
        <v>06:16:14.070</v>
      </c>
      <c r="U1407" t="str">
        <f t="shared" si="135"/>
        <v>A7E2E0</v>
      </c>
      <c r="V1407">
        <v>0</v>
      </c>
      <c r="W1407">
        <v>0</v>
      </c>
      <c r="X1407">
        <v>1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1005</v>
      </c>
      <c r="AJ1407">
        <v>39.025582999999997</v>
      </c>
      <c r="AK1407" t="s">
        <v>1006</v>
      </c>
      <c r="AL1407">
        <v>-87.546530000000004</v>
      </c>
      <c r="AM1407">
        <v>100</v>
      </c>
      <c r="AN1407">
        <v>2800</v>
      </c>
      <c r="AO1407" t="s">
        <v>118</v>
      </c>
      <c r="AP1407">
        <v>-95</v>
      </c>
      <c r="AQ1407">
        <v>-126</v>
      </c>
      <c r="AR1407">
        <v>-64</v>
      </c>
      <c r="AZ1407">
        <v>4552</v>
      </c>
      <c r="BA1407">
        <v>1</v>
      </c>
      <c r="BB1407" t="str">
        <f t="shared" si="136"/>
        <v xml:space="preserve">N607SR  </v>
      </c>
      <c r="BC1407">
        <v>1</v>
      </c>
      <c r="BE1407">
        <v>0</v>
      </c>
      <c r="BF1407">
        <v>0</v>
      </c>
      <c r="BG1407">
        <v>0</v>
      </c>
      <c r="BH1407">
        <v>2600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 t="shared" si="169"/>
        <v>06:16:14.574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6</v>
      </c>
      <c r="CP1407" t="s">
        <v>119</v>
      </c>
      <c r="CQ1407">
        <v>177</v>
      </c>
      <c r="CR1407">
        <v>2</v>
      </c>
      <c r="CW1407">
        <v>1643463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 t="shared" si="166"/>
        <v>08/29/2020 06:16:11.351</v>
      </c>
      <c r="C1408" t="str">
        <f t="shared" si="134"/>
        <v>FFDFD3C0</v>
      </c>
      <c r="D1408" t="s">
        <v>113</v>
      </c>
      <c r="E1408">
        <v>5</v>
      </c>
      <c r="H1408">
        <v>163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167"/>
        <v>06:16:14.570</v>
      </c>
      <c r="T1408" t="str">
        <f t="shared" si="168"/>
        <v>06:16:14.070</v>
      </c>
      <c r="U1408" t="str">
        <f t="shared" si="135"/>
        <v>A7E2E0</v>
      </c>
      <c r="V1408">
        <v>0</v>
      </c>
      <c r="W1408">
        <v>0</v>
      </c>
      <c r="X1408">
        <v>1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1005</v>
      </c>
      <c r="AJ1408">
        <v>39.025582999999997</v>
      </c>
      <c r="AK1408" t="s">
        <v>1006</v>
      </c>
      <c r="AL1408">
        <v>-87.546530000000004</v>
      </c>
      <c r="AM1408">
        <v>100</v>
      </c>
      <c r="AN1408">
        <v>2800</v>
      </c>
      <c r="AO1408" t="s">
        <v>118</v>
      </c>
      <c r="AP1408">
        <v>-95</v>
      </c>
      <c r="AQ1408">
        <v>-126</v>
      </c>
      <c r="AR1408">
        <v>-64</v>
      </c>
      <c r="AZ1408">
        <v>4552</v>
      </c>
      <c r="BA1408">
        <v>1</v>
      </c>
      <c r="BB1408" t="str">
        <f t="shared" si="136"/>
        <v xml:space="preserve">N607SR  </v>
      </c>
      <c r="BC1408">
        <v>1</v>
      </c>
      <c r="BE1408">
        <v>0</v>
      </c>
      <c r="BF1408">
        <v>0</v>
      </c>
      <c r="BG1408">
        <v>0</v>
      </c>
      <c r="BH1408">
        <v>2600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 t="shared" si="169"/>
        <v>06:16:14.574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6</v>
      </c>
      <c r="CP1408" t="s">
        <v>119</v>
      </c>
      <c r="CQ1408">
        <v>177</v>
      </c>
      <c r="CR1408">
        <v>2</v>
      </c>
      <c r="CW1408">
        <v>1643463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 t="shared" si="166"/>
        <v>08/29/2020 06:16:11.351</v>
      </c>
      <c r="C1409" t="str">
        <f t="shared" si="134"/>
        <v>FFDFD3C0</v>
      </c>
      <c r="D1409" t="s">
        <v>128</v>
      </c>
      <c r="E1409">
        <v>5</v>
      </c>
      <c r="H1409">
        <v>241</v>
      </c>
      <c r="I1409" t="s">
        <v>129</v>
      </c>
      <c r="J1409" t="s">
        <v>130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si="167"/>
        <v>06:16:14.570</v>
      </c>
      <c r="T1409" t="str">
        <f t="shared" si="168"/>
        <v>06:16:14.070</v>
      </c>
      <c r="U1409" t="str">
        <f t="shared" si="135"/>
        <v>A7E2E0</v>
      </c>
      <c r="V1409">
        <v>0</v>
      </c>
      <c r="W1409">
        <v>0</v>
      </c>
      <c r="X1409">
        <v>1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1005</v>
      </c>
      <c r="AJ1409">
        <v>39.025582999999997</v>
      </c>
      <c r="AK1409" t="s">
        <v>1006</v>
      </c>
      <c r="AL1409">
        <v>-87.546530000000004</v>
      </c>
      <c r="AM1409">
        <v>100</v>
      </c>
      <c r="AN1409">
        <v>2800</v>
      </c>
      <c r="AO1409" t="s">
        <v>118</v>
      </c>
      <c r="AP1409">
        <v>-95</v>
      </c>
      <c r="AQ1409">
        <v>-126</v>
      </c>
      <c r="AR1409">
        <v>-64</v>
      </c>
      <c r="AZ1409">
        <v>4552</v>
      </c>
      <c r="BA1409">
        <v>1</v>
      </c>
      <c r="BB1409" t="str">
        <f t="shared" si="136"/>
        <v xml:space="preserve">N607SR  </v>
      </c>
      <c r="BC1409">
        <v>1</v>
      </c>
      <c r="BE1409">
        <v>0</v>
      </c>
      <c r="BF1409">
        <v>0</v>
      </c>
      <c r="BG1409">
        <v>0</v>
      </c>
      <c r="BH1409">
        <v>2600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 t="shared" si="169"/>
        <v>06:16:14.574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177</v>
      </c>
      <c r="CR1409">
        <v>2</v>
      </c>
      <c r="CW1409">
        <v>1643463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 t="shared" si="166"/>
        <v>08/29/2020 06:16:11.351</v>
      </c>
      <c r="C1410" t="str">
        <f t="shared" ref="C1410:C1473" si="170">"FFDFD3C0"</f>
        <v>FFDFD3C0</v>
      </c>
      <c r="D1410" t="s">
        <v>121</v>
      </c>
      <c r="E1410">
        <v>11</v>
      </c>
      <c r="F1410">
        <v>1011</v>
      </c>
      <c r="G1410" t="s">
        <v>125</v>
      </c>
      <c r="J1410" t="s">
        <v>123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167"/>
        <v>06:16:14.570</v>
      </c>
      <c r="T1410" t="str">
        <f t="shared" si="168"/>
        <v>06:16:14.070</v>
      </c>
      <c r="U1410" t="str">
        <f t="shared" ref="U1410:U1473" si="171">"A7E2E0"</f>
        <v>A7E2E0</v>
      </c>
      <c r="V1410">
        <v>0</v>
      </c>
      <c r="W1410">
        <v>0</v>
      </c>
      <c r="X1410">
        <v>1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1005</v>
      </c>
      <c r="AJ1410">
        <v>39.025582999999997</v>
      </c>
      <c r="AK1410" t="s">
        <v>1006</v>
      </c>
      <c r="AL1410">
        <v>-87.546530000000004</v>
      </c>
      <c r="AM1410">
        <v>100</v>
      </c>
      <c r="AN1410">
        <v>2800</v>
      </c>
      <c r="AO1410" t="s">
        <v>118</v>
      </c>
      <c r="AP1410">
        <v>-95</v>
      </c>
      <c r="AQ1410">
        <v>-126</v>
      </c>
      <c r="AR1410">
        <v>-64</v>
      </c>
      <c r="AZ1410">
        <v>4552</v>
      </c>
      <c r="BA1410">
        <v>1</v>
      </c>
      <c r="BB1410" t="str">
        <f t="shared" ref="BB1410:BB1473" si="172">"N607SR  "</f>
        <v xml:space="preserve">N607SR  </v>
      </c>
      <c r="BC1410">
        <v>1</v>
      </c>
      <c r="BE1410">
        <v>0</v>
      </c>
      <c r="BF1410">
        <v>0</v>
      </c>
      <c r="BG1410">
        <v>0</v>
      </c>
      <c r="BH1410">
        <v>2600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 t="shared" si="169"/>
        <v>06:16:14.574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177</v>
      </c>
      <c r="CR1410">
        <v>2</v>
      </c>
      <c r="CW1410">
        <v>1643463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 t="shared" ref="A1411:A1416" si="173">"08/29/2020 06:16:12.307"</f>
        <v>08/29/2020 06:16:12.307</v>
      </c>
      <c r="C1411" t="str">
        <f t="shared" si="170"/>
        <v>FFDFD3C0</v>
      </c>
      <c r="D1411" t="s">
        <v>939</v>
      </c>
      <c r="E1411">
        <v>10</v>
      </c>
      <c r="H1411">
        <v>79</v>
      </c>
      <c r="I1411" t="s">
        <v>940</v>
      </c>
      <c r="J1411" t="s">
        <v>130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ref="S1411:S1416" si="174">"06:16:15.516"</f>
        <v>06:16:15.516</v>
      </c>
      <c r="T1411" t="str">
        <f t="shared" ref="T1411:T1416" si="175">"06:16:15.116"</f>
        <v>06:16:15.116</v>
      </c>
      <c r="U1411" t="str">
        <f t="shared" si="171"/>
        <v>A7E2E0</v>
      </c>
      <c r="V1411">
        <v>0</v>
      </c>
      <c r="W1411">
        <v>0</v>
      </c>
      <c r="X1411">
        <v>1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1007</v>
      </c>
      <c r="AJ1411">
        <v>39.025047000000001</v>
      </c>
      <c r="AK1411" t="s">
        <v>1008</v>
      </c>
      <c r="AL1411">
        <v>-87.547066000000001</v>
      </c>
      <c r="AM1411">
        <v>100</v>
      </c>
      <c r="AN1411">
        <v>2800</v>
      </c>
      <c r="AO1411" t="s">
        <v>118</v>
      </c>
      <c r="AP1411">
        <v>-95</v>
      </c>
      <c r="AQ1411">
        <v>-126</v>
      </c>
      <c r="AR1411">
        <v>-64</v>
      </c>
      <c r="AZ1411">
        <v>4552</v>
      </c>
      <c r="BA1411">
        <v>1</v>
      </c>
      <c r="BB1411" t="str">
        <f t="shared" si="172"/>
        <v xml:space="preserve">N607SR  </v>
      </c>
      <c r="BC1411">
        <v>1</v>
      </c>
      <c r="BE1411">
        <v>0</v>
      </c>
      <c r="BF1411">
        <v>0</v>
      </c>
      <c r="BG1411">
        <v>0</v>
      </c>
      <c r="BH1411">
        <v>2600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 t="shared" ref="BW1411:BW1416" si="176">"06:16:15.518"</f>
        <v>06:16:15.518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465</v>
      </c>
      <c r="CR1411">
        <v>0</v>
      </c>
      <c r="CW1411">
        <v>4720661</v>
      </c>
      <c r="CY1411">
        <v>1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 t="shared" si="173"/>
        <v>08/29/2020 06:16:12.307</v>
      </c>
      <c r="C1412" t="str">
        <f t="shared" si="170"/>
        <v>FFDFD3C0</v>
      </c>
      <c r="D1412" t="s">
        <v>121</v>
      </c>
      <c r="E1412">
        <v>10</v>
      </c>
      <c r="F1412">
        <v>1010</v>
      </c>
      <c r="G1412" t="s">
        <v>114</v>
      </c>
      <c r="J1412" t="s">
        <v>123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174"/>
        <v>06:16:15.516</v>
      </c>
      <c r="T1412" t="str">
        <f t="shared" si="175"/>
        <v>06:16:15.116</v>
      </c>
      <c r="U1412" t="str">
        <f t="shared" si="171"/>
        <v>A7E2E0</v>
      </c>
      <c r="V1412">
        <v>0</v>
      </c>
      <c r="W1412">
        <v>0</v>
      </c>
      <c r="X1412">
        <v>1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1007</v>
      </c>
      <c r="AJ1412">
        <v>39.025047000000001</v>
      </c>
      <c r="AK1412" t="s">
        <v>1008</v>
      </c>
      <c r="AL1412">
        <v>-87.547066000000001</v>
      </c>
      <c r="AM1412">
        <v>100</v>
      </c>
      <c r="AN1412">
        <v>2800</v>
      </c>
      <c r="AO1412" t="s">
        <v>118</v>
      </c>
      <c r="AP1412">
        <v>-95</v>
      </c>
      <c r="AQ1412">
        <v>-126</v>
      </c>
      <c r="AR1412">
        <v>-64</v>
      </c>
      <c r="AZ1412">
        <v>4552</v>
      </c>
      <c r="BA1412">
        <v>1</v>
      </c>
      <c r="BB1412" t="str">
        <f t="shared" si="172"/>
        <v xml:space="preserve">N607SR  </v>
      </c>
      <c r="BC1412">
        <v>1</v>
      </c>
      <c r="BE1412">
        <v>0</v>
      </c>
      <c r="BF1412">
        <v>0</v>
      </c>
      <c r="BG1412">
        <v>0</v>
      </c>
      <c r="BH1412">
        <v>2600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 t="shared" si="176"/>
        <v>06:16:15.518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465</v>
      </c>
      <c r="CR1412">
        <v>0</v>
      </c>
      <c r="CW1412">
        <v>4720661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 t="shared" si="173"/>
        <v>08/29/2020 06:16:12.307</v>
      </c>
      <c r="C1413" t="str">
        <f t="shared" si="170"/>
        <v>FFDFD3C0</v>
      </c>
      <c r="D1413" t="s">
        <v>121</v>
      </c>
      <c r="E1413">
        <v>13</v>
      </c>
      <c r="F1413">
        <v>1013</v>
      </c>
      <c r="G1413" t="s">
        <v>122</v>
      </c>
      <c r="J1413" t="s">
        <v>123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174"/>
        <v>06:16:15.516</v>
      </c>
      <c r="T1413" t="str">
        <f t="shared" si="175"/>
        <v>06:16:15.116</v>
      </c>
      <c r="U1413" t="str">
        <f t="shared" si="171"/>
        <v>A7E2E0</v>
      </c>
      <c r="V1413">
        <v>0</v>
      </c>
      <c r="W1413">
        <v>0</v>
      </c>
      <c r="X1413">
        <v>1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1007</v>
      </c>
      <c r="AJ1413">
        <v>39.025047000000001</v>
      </c>
      <c r="AK1413" t="s">
        <v>1008</v>
      </c>
      <c r="AL1413">
        <v>-87.547066000000001</v>
      </c>
      <c r="AM1413">
        <v>100</v>
      </c>
      <c r="AN1413">
        <v>2800</v>
      </c>
      <c r="AO1413" t="s">
        <v>118</v>
      </c>
      <c r="AP1413">
        <v>-95</v>
      </c>
      <c r="AQ1413">
        <v>-126</v>
      </c>
      <c r="AR1413">
        <v>-64</v>
      </c>
      <c r="AZ1413">
        <v>4552</v>
      </c>
      <c r="BA1413">
        <v>1</v>
      </c>
      <c r="BB1413" t="str">
        <f t="shared" si="172"/>
        <v xml:space="preserve">N607SR  </v>
      </c>
      <c r="BC1413">
        <v>1</v>
      </c>
      <c r="BE1413">
        <v>0</v>
      </c>
      <c r="BF1413">
        <v>0</v>
      </c>
      <c r="BG1413">
        <v>0</v>
      </c>
      <c r="BH1413">
        <v>2600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 t="shared" si="176"/>
        <v>06:16:15.518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465</v>
      </c>
      <c r="CR1413">
        <v>0</v>
      </c>
      <c r="CW1413">
        <v>4720661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 t="shared" si="173"/>
        <v>08/29/2020 06:16:12.307</v>
      </c>
      <c r="C1414" t="str">
        <f t="shared" si="170"/>
        <v>FFDFD3C0</v>
      </c>
      <c r="D1414" t="s">
        <v>113</v>
      </c>
      <c r="E1414">
        <v>5</v>
      </c>
      <c r="H1414">
        <v>163</v>
      </c>
      <c r="I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174"/>
        <v>06:16:15.516</v>
      </c>
      <c r="T1414" t="str">
        <f t="shared" si="175"/>
        <v>06:16:15.116</v>
      </c>
      <c r="U1414" t="str">
        <f t="shared" si="171"/>
        <v>A7E2E0</v>
      </c>
      <c r="V1414">
        <v>0</v>
      </c>
      <c r="W1414">
        <v>0</v>
      </c>
      <c r="X1414">
        <v>1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1007</v>
      </c>
      <c r="AJ1414">
        <v>39.025047000000001</v>
      </c>
      <c r="AK1414" t="s">
        <v>1008</v>
      </c>
      <c r="AL1414">
        <v>-87.547066000000001</v>
      </c>
      <c r="AM1414">
        <v>100</v>
      </c>
      <c r="AN1414">
        <v>2800</v>
      </c>
      <c r="AO1414" t="s">
        <v>118</v>
      </c>
      <c r="AP1414">
        <v>-95</v>
      </c>
      <c r="AQ1414">
        <v>-126</v>
      </c>
      <c r="AR1414">
        <v>-64</v>
      </c>
      <c r="AZ1414">
        <v>4552</v>
      </c>
      <c r="BA1414">
        <v>1</v>
      </c>
      <c r="BB1414" t="str">
        <f t="shared" si="172"/>
        <v xml:space="preserve">N607SR  </v>
      </c>
      <c r="BC1414">
        <v>1</v>
      </c>
      <c r="BE1414">
        <v>0</v>
      </c>
      <c r="BF1414">
        <v>0</v>
      </c>
      <c r="BG1414">
        <v>0</v>
      </c>
      <c r="BH1414">
        <v>2600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 t="shared" si="176"/>
        <v>06:16:15.518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465</v>
      </c>
      <c r="CR1414">
        <v>0</v>
      </c>
      <c r="CW1414">
        <v>4720661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 t="shared" si="173"/>
        <v>08/29/2020 06:16:12.307</v>
      </c>
      <c r="C1415" t="str">
        <f t="shared" si="170"/>
        <v>FFDFD3C0</v>
      </c>
      <c r="D1415" t="s">
        <v>128</v>
      </c>
      <c r="E1415">
        <v>5</v>
      </c>
      <c r="H1415">
        <v>241</v>
      </c>
      <c r="I1415" t="s">
        <v>129</v>
      </c>
      <c r="J1415" t="s">
        <v>130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174"/>
        <v>06:16:15.516</v>
      </c>
      <c r="T1415" t="str">
        <f t="shared" si="175"/>
        <v>06:16:15.116</v>
      </c>
      <c r="U1415" t="str">
        <f t="shared" si="171"/>
        <v>A7E2E0</v>
      </c>
      <c r="V1415">
        <v>0</v>
      </c>
      <c r="W1415">
        <v>0</v>
      </c>
      <c r="X1415">
        <v>1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1007</v>
      </c>
      <c r="AJ1415">
        <v>39.025047000000001</v>
      </c>
      <c r="AK1415" t="s">
        <v>1008</v>
      </c>
      <c r="AL1415">
        <v>-87.547066000000001</v>
      </c>
      <c r="AM1415">
        <v>100</v>
      </c>
      <c r="AN1415">
        <v>2800</v>
      </c>
      <c r="AO1415" t="s">
        <v>118</v>
      </c>
      <c r="AP1415">
        <v>-95</v>
      </c>
      <c r="AQ1415">
        <v>-126</v>
      </c>
      <c r="AR1415">
        <v>-64</v>
      </c>
      <c r="AZ1415">
        <v>4552</v>
      </c>
      <c r="BA1415">
        <v>1</v>
      </c>
      <c r="BB1415" t="str">
        <f t="shared" si="172"/>
        <v xml:space="preserve">N607SR  </v>
      </c>
      <c r="BC1415">
        <v>1</v>
      </c>
      <c r="BE1415">
        <v>0</v>
      </c>
      <c r="BF1415">
        <v>0</v>
      </c>
      <c r="BG1415">
        <v>0</v>
      </c>
      <c r="BH1415">
        <v>2600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 t="shared" si="176"/>
        <v>06:16:15.518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465</v>
      </c>
      <c r="CR1415">
        <v>0</v>
      </c>
      <c r="CW1415">
        <v>4720661</v>
      </c>
      <c r="CY1415">
        <v>1</v>
      </c>
      <c r="CZ1415">
        <v>0</v>
      </c>
      <c r="DA1415">
        <v>1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 t="shared" si="173"/>
        <v>08/29/2020 06:16:12.307</v>
      </c>
      <c r="C1416" t="str">
        <f t="shared" si="170"/>
        <v>FFDFD3C0</v>
      </c>
      <c r="D1416" t="s">
        <v>121</v>
      </c>
      <c r="E1416">
        <v>11</v>
      </c>
      <c r="F1416">
        <v>1011</v>
      </c>
      <c r="G1416" t="s">
        <v>125</v>
      </c>
      <c r="J1416" t="s">
        <v>123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174"/>
        <v>06:16:15.516</v>
      </c>
      <c r="T1416" t="str">
        <f t="shared" si="175"/>
        <v>06:16:15.116</v>
      </c>
      <c r="U1416" t="str">
        <f t="shared" si="171"/>
        <v>A7E2E0</v>
      </c>
      <c r="V1416">
        <v>0</v>
      </c>
      <c r="W1416">
        <v>0</v>
      </c>
      <c r="X1416">
        <v>1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1007</v>
      </c>
      <c r="AJ1416">
        <v>39.025047000000001</v>
      </c>
      <c r="AK1416" t="s">
        <v>1008</v>
      </c>
      <c r="AL1416">
        <v>-87.547066000000001</v>
      </c>
      <c r="AM1416">
        <v>100</v>
      </c>
      <c r="AN1416">
        <v>2800</v>
      </c>
      <c r="AO1416" t="s">
        <v>118</v>
      </c>
      <c r="AP1416">
        <v>-95</v>
      </c>
      <c r="AQ1416">
        <v>-126</v>
      </c>
      <c r="AR1416">
        <v>-64</v>
      </c>
      <c r="AZ1416">
        <v>4552</v>
      </c>
      <c r="BA1416">
        <v>1</v>
      </c>
      <c r="BB1416" t="str">
        <f t="shared" si="172"/>
        <v xml:space="preserve">N607SR  </v>
      </c>
      <c r="BC1416">
        <v>1</v>
      </c>
      <c r="BE1416">
        <v>0</v>
      </c>
      <c r="BF1416">
        <v>0</v>
      </c>
      <c r="BG1416">
        <v>0</v>
      </c>
      <c r="BH1416">
        <v>2600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 t="shared" si="176"/>
        <v>06:16:15.518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177</v>
      </c>
      <c r="CR1416">
        <v>2</v>
      </c>
      <c r="CW1416">
        <v>1643620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 t="shared" ref="A1417:A1422" si="177">"08/29/2020 06:16:13.247"</f>
        <v>08/29/2020 06:16:13.247</v>
      </c>
      <c r="C1417" t="str">
        <f t="shared" si="170"/>
        <v>FFDFD3C0</v>
      </c>
      <c r="D1417" t="s">
        <v>113</v>
      </c>
      <c r="E1417">
        <v>5</v>
      </c>
      <c r="H1417">
        <v>163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ref="S1417:S1422" si="178">"06:16:16.453"</f>
        <v>06:16:16.453</v>
      </c>
      <c r="T1417" t="str">
        <f t="shared" ref="T1417:T1422" si="179">"06:16:15.953"</f>
        <v>06:16:15.953</v>
      </c>
      <c r="U1417" t="str">
        <f t="shared" si="171"/>
        <v>A7E2E0</v>
      </c>
      <c r="V1417">
        <v>0</v>
      </c>
      <c r="W1417">
        <v>0</v>
      </c>
      <c r="X1417">
        <v>1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1009</v>
      </c>
      <c r="AJ1417">
        <v>39.024509999999999</v>
      </c>
      <c r="AK1417" t="s">
        <v>1010</v>
      </c>
      <c r="AL1417">
        <v>-87.547538000000003</v>
      </c>
      <c r="AM1417">
        <v>100</v>
      </c>
      <c r="AN1417">
        <v>2800</v>
      </c>
      <c r="AO1417" t="s">
        <v>118</v>
      </c>
      <c r="AP1417">
        <v>-95</v>
      </c>
      <c r="AQ1417">
        <v>-126</v>
      </c>
      <c r="AR1417">
        <v>0</v>
      </c>
      <c r="AZ1417">
        <v>4552</v>
      </c>
      <c r="BA1417">
        <v>1</v>
      </c>
      <c r="BB1417" t="str">
        <f t="shared" si="172"/>
        <v xml:space="preserve">N607SR  </v>
      </c>
      <c r="BC1417">
        <v>1</v>
      </c>
      <c r="BE1417">
        <v>0</v>
      </c>
      <c r="BF1417">
        <v>0</v>
      </c>
      <c r="BG1417">
        <v>0</v>
      </c>
      <c r="BH1417">
        <v>2600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 t="shared" ref="BW1417:BW1422" si="180">"06:16:16.455"</f>
        <v>06:16:16.455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465</v>
      </c>
      <c r="CR1417">
        <v>0</v>
      </c>
      <c r="CW1417">
        <v>4720693</v>
      </c>
      <c r="CY1417">
        <v>1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 t="shared" si="177"/>
        <v>08/29/2020 06:16:13.247</v>
      </c>
      <c r="C1418" t="str">
        <f t="shared" si="170"/>
        <v>FFDFD3C0</v>
      </c>
      <c r="D1418" t="s">
        <v>128</v>
      </c>
      <c r="E1418">
        <v>5</v>
      </c>
      <c r="H1418">
        <v>241</v>
      </c>
      <c r="I1418" t="s">
        <v>129</v>
      </c>
      <c r="J1418" t="s">
        <v>130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178"/>
        <v>06:16:16.453</v>
      </c>
      <c r="T1418" t="str">
        <f t="shared" si="179"/>
        <v>06:16:15.953</v>
      </c>
      <c r="U1418" t="str">
        <f t="shared" si="171"/>
        <v>A7E2E0</v>
      </c>
      <c r="V1418">
        <v>0</v>
      </c>
      <c r="W1418">
        <v>0</v>
      </c>
      <c r="X1418">
        <v>1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1009</v>
      </c>
      <c r="AJ1418">
        <v>39.024509999999999</v>
      </c>
      <c r="AK1418" t="s">
        <v>1010</v>
      </c>
      <c r="AL1418">
        <v>-87.547538000000003</v>
      </c>
      <c r="AM1418">
        <v>100</v>
      </c>
      <c r="AN1418">
        <v>2800</v>
      </c>
      <c r="AO1418" t="s">
        <v>118</v>
      </c>
      <c r="AP1418">
        <v>-95</v>
      </c>
      <c r="AQ1418">
        <v>-126</v>
      </c>
      <c r="AR1418">
        <v>0</v>
      </c>
      <c r="AZ1418">
        <v>4552</v>
      </c>
      <c r="BA1418">
        <v>1</v>
      </c>
      <c r="BB1418" t="str">
        <f t="shared" si="172"/>
        <v xml:space="preserve">N607SR  </v>
      </c>
      <c r="BC1418">
        <v>1</v>
      </c>
      <c r="BE1418">
        <v>0</v>
      </c>
      <c r="BF1418">
        <v>0</v>
      </c>
      <c r="BG1418">
        <v>0</v>
      </c>
      <c r="BH1418">
        <v>2600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 t="shared" si="180"/>
        <v>06:16:16.455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465</v>
      </c>
      <c r="CR1418">
        <v>0</v>
      </c>
      <c r="CW1418">
        <v>4720693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 t="shared" si="177"/>
        <v>08/29/2020 06:16:13.247</v>
      </c>
      <c r="C1419" t="str">
        <f t="shared" si="170"/>
        <v>FFDFD3C0</v>
      </c>
      <c r="D1419" t="s">
        <v>121</v>
      </c>
      <c r="E1419">
        <v>11</v>
      </c>
      <c r="F1419">
        <v>1011</v>
      </c>
      <c r="G1419" t="s">
        <v>125</v>
      </c>
      <c r="J1419" t="s">
        <v>123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178"/>
        <v>06:16:16.453</v>
      </c>
      <c r="T1419" t="str">
        <f t="shared" si="179"/>
        <v>06:16:15.953</v>
      </c>
      <c r="U1419" t="str">
        <f t="shared" si="171"/>
        <v>A7E2E0</v>
      </c>
      <c r="V1419">
        <v>0</v>
      </c>
      <c r="W1419">
        <v>0</v>
      </c>
      <c r="X1419">
        <v>1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1009</v>
      </c>
      <c r="AJ1419">
        <v>39.024509999999999</v>
      </c>
      <c r="AK1419" t="s">
        <v>1010</v>
      </c>
      <c r="AL1419">
        <v>-87.547538000000003</v>
      </c>
      <c r="AM1419">
        <v>100</v>
      </c>
      <c r="AN1419">
        <v>2800</v>
      </c>
      <c r="AO1419" t="s">
        <v>118</v>
      </c>
      <c r="AP1419">
        <v>-95</v>
      </c>
      <c r="AQ1419">
        <v>-126</v>
      </c>
      <c r="AR1419">
        <v>0</v>
      </c>
      <c r="AZ1419">
        <v>4552</v>
      </c>
      <c r="BA1419">
        <v>1</v>
      </c>
      <c r="BB1419" t="str">
        <f t="shared" si="172"/>
        <v xml:space="preserve">N607SR  </v>
      </c>
      <c r="BC1419">
        <v>1</v>
      </c>
      <c r="BE1419">
        <v>0</v>
      </c>
      <c r="BF1419">
        <v>0</v>
      </c>
      <c r="BG1419">
        <v>0</v>
      </c>
      <c r="BH1419">
        <v>2600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 t="shared" si="180"/>
        <v>06:16:16.455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457</v>
      </c>
      <c r="CR1419">
        <v>0</v>
      </c>
      <c r="CW1419">
        <v>15516629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 t="shared" si="177"/>
        <v>08/29/2020 06:16:13.247</v>
      </c>
      <c r="C1420" t="str">
        <f t="shared" si="170"/>
        <v>FFDFD3C0</v>
      </c>
      <c r="D1420" t="s">
        <v>939</v>
      </c>
      <c r="E1420">
        <v>10</v>
      </c>
      <c r="H1420">
        <v>79</v>
      </c>
      <c r="I1420" t="s">
        <v>940</v>
      </c>
      <c r="J1420" t="s">
        <v>130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178"/>
        <v>06:16:16.453</v>
      </c>
      <c r="T1420" t="str">
        <f t="shared" si="179"/>
        <v>06:16:15.953</v>
      </c>
      <c r="U1420" t="str">
        <f t="shared" si="171"/>
        <v>A7E2E0</v>
      </c>
      <c r="V1420">
        <v>0</v>
      </c>
      <c r="W1420">
        <v>0</v>
      </c>
      <c r="X1420">
        <v>1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1009</v>
      </c>
      <c r="AJ1420">
        <v>39.024509999999999</v>
      </c>
      <c r="AK1420" t="s">
        <v>1010</v>
      </c>
      <c r="AL1420">
        <v>-87.547538000000003</v>
      </c>
      <c r="AM1420">
        <v>100</v>
      </c>
      <c r="AN1420">
        <v>2800</v>
      </c>
      <c r="AO1420" t="s">
        <v>118</v>
      </c>
      <c r="AP1420">
        <v>-95</v>
      </c>
      <c r="AQ1420">
        <v>-126</v>
      </c>
      <c r="AR1420">
        <v>0</v>
      </c>
      <c r="AZ1420">
        <v>4552</v>
      </c>
      <c r="BA1420">
        <v>1</v>
      </c>
      <c r="BB1420" t="str">
        <f t="shared" si="172"/>
        <v xml:space="preserve">N607SR  </v>
      </c>
      <c r="BC1420">
        <v>1</v>
      </c>
      <c r="BE1420">
        <v>0</v>
      </c>
      <c r="BF1420">
        <v>0</v>
      </c>
      <c r="BG1420">
        <v>0</v>
      </c>
      <c r="BH1420">
        <v>2600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 t="shared" si="180"/>
        <v>06:16:16.455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465</v>
      </c>
      <c r="CR1420">
        <v>0</v>
      </c>
      <c r="CW1420">
        <v>4720693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 t="shared" si="177"/>
        <v>08/29/2020 06:16:13.247</v>
      </c>
      <c r="C1421" t="str">
        <f t="shared" si="170"/>
        <v>FFDFD3C0</v>
      </c>
      <c r="D1421" t="s">
        <v>121</v>
      </c>
      <c r="E1421">
        <v>10</v>
      </c>
      <c r="F1421">
        <v>1010</v>
      </c>
      <c r="G1421" t="s">
        <v>114</v>
      </c>
      <c r="J1421" t="s">
        <v>123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178"/>
        <v>06:16:16.453</v>
      </c>
      <c r="T1421" t="str">
        <f t="shared" si="179"/>
        <v>06:16:15.953</v>
      </c>
      <c r="U1421" t="str">
        <f t="shared" si="171"/>
        <v>A7E2E0</v>
      </c>
      <c r="V1421">
        <v>0</v>
      </c>
      <c r="W1421">
        <v>0</v>
      </c>
      <c r="X1421">
        <v>1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1009</v>
      </c>
      <c r="AJ1421">
        <v>39.024509999999999</v>
      </c>
      <c r="AK1421" t="s">
        <v>1010</v>
      </c>
      <c r="AL1421">
        <v>-87.547538000000003</v>
      </c>
      <c r="AM1421">
        <v>100</v>
      </c>
      <c r="AN1421">
        <v>2800</v>
      </c>
      <c r="AO1421" t="s">
        <v>118</v>
      </c>
      <c r="AP1421">
        <v>-95</v>
      </c>
      <c r="AQ1421">
        <v>-126</v>
      </c>
      <c r="AR1421">
        <v>0</v>
      </c>
      <c r="AZ1421">
        <v>4552</v>
      </c>
      <c r="BA1421">
        <v>1</v>
      </c>
      <c r="BB1421" t="str">
        <f t="shared" si="172"/>
        <v xml:space="preserve">N607SR  </v>
      </c>
      <c r="BC1421">
        <v>1</v>
      </c>
      <c r="BE1421">
        <v>0</v>
      </c>
      <c r="BF1421">
        <v>0</v>
      </c>
      <c r="BG1421">
        <v>0</v>
      </c>
      <c r="BH1421">
        <v>2600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 t="shared" si="180"/>
        <v>06:16:16.455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465</v>
      </c>
      <c r="CR1421">
        <v>0</v>
      </c>
      <c r="CW1421">
        <v>4720693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 t="shared" si="177"/>
        <v>08/29/2020 06:16:13.247</v>
      </c>
      <c r="C1422" t="str">
        <f t="shared" si="170"/>
        <v>FFDFD3C0</v>
      </c>
      <c r="D1422" t="s">
        <v>121</v>
      </c>
      <c r="E1422">
        <v>13</v>
      </c>
      <c r="F1422">
        <v>1013</v>
      </c>
      <c r="G1422" t="s">
        <v>122</v>
      </c>
      <c r="J1422" t="s">
        <v>123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178"/>
        <v>06:16:16.453</v>
      </c>
      <c r="T1422" t="str">
        <f t="shared" si="179"/>
        <v>06:16:15.953</v>
      </c>
      <c r="U1422" t="str">
        <f t="shared" si="171"/>
        <v>A7E2E0</v>
      </c>
      <c r="V1422">
        <v>0</v>
      </c>
      <c r="W1422">
        <v>0</v>
      </c>
      <c r="X1422">
        <v>1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1009</v>
      </c>
      <c r="AJ1422">
        <v>39.024509999999999</v>
      </c>
      <c r="AK1422" t="s">
        <v>1010</v>
      </c>
      <c r="AL1422">
        <v>-87.547538000000003</v>
      </c>
      <c r="AM1422">
        <v>100</v>
      </c>
      <c r="AN1422">
        <v>2800</v>
      </c>
      <c r="AO1422" t="s">
        <v>118</v>
      </c>
      <c r="AP1422">
        <v>-95</v>
      </c>
      <c r="AQ1422">
        <v>-126</v>
      </c>
      <c r="AR1422">
        <v>0</v>
      </c>
      <c r="AZ1422">
        <v>4552</v>
      </c>
      <c r="BA1422">
        <v>1</v>
      </c>
      <c r="BB1422" t="str">
        <f t="shared" si="172"/>
        <v xml:space="preserve">N607SR  </v>
      </c>
      <c r="BC1422">
        <v>1</v>
      </c>
      <c r="BE1422">
        <v>0</v>
      </c>
      <c r="BF1422">
        <v>0</v>
      </c>
      <c r="BG1422">
        <v>0</v>
      </c>
      <c r="BH1422">
        <v>2600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 t="shared" si="180"/>
        <v>06:16:16.455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6</v>
      </c>
      <c r="CP1422" t="s">
        <v>119</v>
      </c>
      <c r="CQ1422">
        <v>465</v>
      </c>
      <c r="CR1422">
        <v>0</v>
      </c>
      <c r="CW1422">
        <v>4720693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 t="shared" ref="A1423:A1428" si="181">"08/29/2020 06:16:14.263"</f>
        <v>08/29/2020 06:16:14.263</v>
      </c>
      <c r="C1423" t="str">
        <f t="shared" si="170"/>
        <v>FFDFD3C0</v>
      </c>
      <c r="D1423" t="s">
        <v>113</v>
      </c>
      <c r="E1423">
        <v>5</v>
      </c>
      <c r="H1423">
        <v>163</v>
      </c>
      <c r="I1423" t="s">
        <v>114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ref="S1423:S1428" si="182">"06:16:17.477"</f>
        <v>06:16:17.477</v>
      </c>
      <c r="T1423" t="str">
        <f t="shared" ref="T1423:T1428" si="183">"06:16:17.077"</f>
        <v>06:16:17.077</v>
      </c>
      <c r="U1423" t="str">
        <f t="shared" si="171"/>
        <v>A7E2E0</v>
      </c>
      <c r="V1423">
        <v>0</v>
      </c>
      <c r="W1423">
        <v>0</v>
      </c>
      <c r="X1423">
        <v>1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1011</v>
      </c>
      <c r="AJ1423">
        <v>39.023910000000001</v>
      </c>
      <c r="AK1423" t="s">
        <v>1012</v>
      </c>
      <c r="AL1423">
        <v>-87.548160999999993</v>
      </c>
      <c r="AM1423">
        <v>100</v>
      </c>
      <c r="AN1423">
        <v>2800</v>
      </c>
      <c r="AO1423" t="s">
        <v>118</v>
      </c>
      <c r="AP1423">
        <v>-95</v>
      </c>
      <c r="AQ1423">
        <v>-126</v>
      </c>
      <c r="AR1423">
        <v>0</v>
      </c>
      <c r="AZ1423">
        <v>4552</v>
      </c>
      <c r="BA1423">
        <v>1</v>
      </c>
      <c r="BB1423" t="str">
        <f t="shared" si="172"/>
        <v xml:space="preserve">N607SR  </v>
      </c>
      <c r="BC1423">
        <v>1</v>
      </c>
      <c r="BE1423">
        <v>0</v>
      </c>
      <c r="BF1423">
        <v>0</v>
      </c>
      <c r="BG1423">
        <v>0</v>
      </c>
      <c r="BH1423">
        <v>2600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 t="shared" ref="BW1423:BW1428" si="184">"06:16:17.477"</f>
        <v>06:16:17.477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465</v>
      </c>
      <c r="CR1423">
        <v>0</v>
      </c>
      <c r="CW1423">
        <v>4720728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 t="shared" si="181"/>
        <v>08/29/2020 06:16:14.263</v>
      </c>
      <c r="C1424" t="str">
        <f t="shared" si="170"/>
        <v>FFDFD3C0</v>
      </c>
      <c r="D1424" t="s">
        <v>128</v>
      </c>
      <c r="E1424">
        <v>5</v>
      </c>
      <c r="H1424">
        <v>241</v>
      </c>
      <c r="I1424" t="s">
        <v>129</v>
      </c>
      <c r="J1424" t="s">
        <v>130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182"/>
        <v>06:16:17.477</v>
      </c>
      <c r="T1424" t="str">
        <f t="shared" si="183"/>
        <v>06:16:17.077</v>
      </c>
      <c r="U1424" t="str">
        <f t="shared" si="171"/>
        <v>A7E2E0</v>
      </c>
      <c r="V1424">
        <v>0</v>
      </c>
      <c r="W1424">
        <v>0</v>
      </c>
      <c r="X1424">
        <v>1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1011</v>
      </c>
      <c r="AJ1424">
        <v>39.023910000000001</v>
      </c>
      <c r="AK1424" t="s">
        <v>1012</v>
      </c>
      <c r="AL1424">
        <v>-87.548160999999993</v>
      </c>
      <c r="AM1424">
        <v>100</v>
      </c>
      <c r="AN1424">
        <v>2800</v>
      </c>
      <c r="AO1424" t="s">
        <v>118</v>
      </c>
      <c r="AP1424">
        <v>-95</v>
      </c>
      <c r="AQ1424">
        <v>-126</v>
      </c>
      <c r="AR1424">
        <v>0</v>
      </c>
      <c r="AZ1424">
        <v>4552</v>
      </c>
      <c r="BA1424">
        <v>1</v>
      </c>
      <c r="BB1424" t="str">
        <f t="shared" si="172"/>
        <v xml:space="preserve">N607SR  </v>
      </c>
      <c r="BC1424">
        <v>1</v>
      </c>
      <c r="BE1424">
        <v>0</v>
      </c>
      <c r="BF1424">
        <v>0</v>
      </c>
      <c r="BG1424">
        <v>0</v>
      </c>
      <c r="BH1424">
        <v>2600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 t="shared" si="184"/>
        <v>06:16:17.477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6</v>
      </c>
      <c r="CP1424" t="s">
        <v>119</v>
      </c>
      <c r="CQ1424">
        <v>465</v>
      </c>
      <c r="CR1424">
        <v>0</v>
      </c>
      <c r="CW1424">
        <v>4720728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 t="shared" si="181"/>
        <v>08/29/2020 06:16:14.263</v>
      </c>
      <c r="C1425" t="str">
        <f t="shared" si="170"/>
        <v>FFDFD3C0</v>
      </c>
      <c r="D1425" t="s">
        <v>939</v>
      </c>
      <c r="E1425">
        <v>10</v>
      </c>
      <c r="H1425">
        <v>79</v>
      </c>
      <c r="I1425" t="s">
        <v>940</v>
      </c>
      <c r="J1425" t="s">
        <v>130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182"/>
        <v>06:16:17.477</v>
      </c>
      <c r="T1425" t="str">
        <f t="shared" si="183"/>
        <v>06:16:17.077</v>
      </c>
      <c r="U1425" t="str">
        <f t="shared" si="171"/>
        <v>A7E2E0</v>
      </c>
      <c r="V1425">
        <v>0</v>
      </c>
      <c r="W1425">
        <v>0</v>
      </c>
      <c r="X1425">
        <v>1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1011</v>
      </c>
      <c r="AJ1425">
        <v>39.023910000000001</v>
      </c>
      <c r="AK1425" t="s">
        <v>1012</v>
      </c>
      <c r="AL1425">
        <v>-87.548160999999993</v>
      </c>
      <c r="AM1425">
        <v>100</v>
      </c>
      <c r="AN1425">
        <v>2800</v>
      </c>
      <c r="AO1425" t="s">
        <v>118</v>
      </c>
      <c r="AP1425">
        <v>-95</v>
      </c>
      <c r="AQ1425">
        <v>-126</v>
      </c>
      <c r="AR1425">
        <v>0</v>
      </c>
      <c r="AZ1425">
        <v>4552</v>
      </c>
      <c r="BA1425">
        <v>1</v>
      </c>
      <c r="BB1425" t="str">
        <f t="shared" si="172"/>
        <v xml:space="preserve">N607SR  </v>
      </c>
      <c r="BC1425">
        <v>1</v>
      </c>
      <c r="BE1425">
        <v>0</v>
      </c>
      <c r="BF1425">
        <v>0</v>
      </c>
      <c r="BG1425">
        <v>0</v>
      </c>
      <c r="BH1425">
        <v>2600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 t="shared" si="184"/>
        <v>06:16:17.477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6</v>
      </c>
      <c r="CP1425" t="s">
        <v>119</v>
      </c>
      <c r="CQ1425">
        <v>465</v>
      </c>
      <c r="CR1425">
        <v>0</v>
      </c>
      <c r="CW1425">
        <v>4720728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 t="shared" si="181"/>
        <v>08/29/2020 06:16:14.263</v>
      </c>
      <c r="C1426" t="str">
        <f t="shared" si="170"/>
        <v>FFDFD3C0</v>
      </c>
      <c r="D1426" t="s">
        <v>121</v>
      </c>
      <c r="E1426">
        <v>11</v>
      </c>
      <c r="F1426">
        <v>1011</v>
      </c>
      <c r="G1426" t="s">
        <v>125</v>
      </c>
      <c r="J1426" t="s">
        <v>123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182"/>
        <v>06:16:17.477</v>
      </c>
      <c r="T1426" t="str">
        <f t="shared" si="183"/>
        <v>06:16:17.077</v>
      </c>
      <c r="U1426" t="str">
        <f t="shared" si="171"/>
        <v>A7E2E0</v>
      </c>
      <c r="V1426">
        <v>0</v>
      </c>
      <c r="W1426">
        <v>0</v>
      </c>
      <c r="X1426">
        <v>1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1011</v>
      </c>
      <c r="AJ1426">
        <v>39.023910000000001</v>
      </c>
      <c r="AK1426" t="s">
        <v>1012</v>
      </c>
      <c r="AL1426">
        <v>-87.548160999999993</v>
      </c>
      <c r="AM1426">
        <v>100</v>
      </c>
      <c r="AN1426">
        <v>2800</v>
      </c>
      <c r="AO1426" t="s">
        <v>118</v>
      </c>
      <c r="AP1426">
        <v>-95</v>
      </c>
      <c r="AQ1426">
        <v>-126</v>
      </c>
      <c r="AR1426">
        <v>0</v>
      </c>
      <c r="AZ1426">
        <v>4552</v>
      </c>
      <c r="BA1426">
        <v>1</v>
      </c>
      <c r="BB1426" t="str">
        <f t="shared" si="172"/>
        <v xml:space="preserve">N607SR  </v>
      </c>
      <c r="BC1426">
        <v>1</v>
      </c>
      <c r="BE1426">
        <v>0</v>
      </c>
      <c r="BF1426">
        <v>0</v>
      </c>
      <c r="BG1426">
        <v>0</v>
      </c>
      <c r="BH1426">
        <v>2600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 t="shared" si="184"/>
        <v>06:16:17.477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177</v>
      </c>
      <c r="CR1426">
        <v>2</v>
      </c>
      <c r="CW1426">
        <v>1643959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 t="shared" si="181"/>
        <v>08/29/2020 06:16:14.263</v>
      </c>
      <c r="C1427" t="str">
        <f t="shared" si="170"/>
        <v>FFDFD3C0</v>
      </c>
      <c r="D1427" t="s">
        <v>121</v>
      </c>
      <c r="E1427">
        <v>10</v>
      </c>
      <c r="F1427">
        <v>1010</v>
      </c>
      <c r="G1427" t="s">
        <v>114</v>
      </c>
      <c r="J1427" t="s">
        <v>123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182"/>
        <v>06:16:17.477</v>
      </c>
      <c r="T1427" t="str">
        <f t="shared" si="183"/>
        <v>06:16:17.077</v>
      </c>
      <c r="U1427" t="str">
        <f t="shared" si="171"/>
        <v>A7E2E0</v>
      </c>
      <c r="V1427">
        <v>0</v>
      </c>
      <c r="W1427">
        <v>0</v>
      </c>
      <c r="X1427">
        <v>1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1011</v>
      </c>
      <c r="AJ1427">
        <v>39.023910000000001</v>
      </c>
      <c r="AK1427" t="s">
        <v>1012</v>
      </c>
      <c r="AL1427">
        <v>-87.548160999999993</v>
      </c>
      <c r="AM1427">
        <v>100</v>
      </c>
      <c r="AN1427">
        <v>2800</v>
      </c>
      <c r="AO1427" t="s">
        <v>118</v>
      </c>
      <c r="AP1427">
        <v>-95</v>
      </c>
      <c r="AQ1427">
        <v>-126</v>
      </c>
      <c r="AR1427">
        <v>0</v>
      </c>
      <c r="AZ1427">
        <v>4552</v>
      </c>
      <c r="BA1427">
        <v>1</v>
      </c>
      <c r="BB1427" t="str">
        <f t="shared" si="172"/>
        <v xml:space="preserve">N607SR  </v>
      </c>
      <c r="BC1427">
        <v>1</v>
      </c>
      <c r="BE1427">
        <v>0</v>
      </c>
      <c r="BF1427">
        <v>0</v>
      </c>
      <c r="BG1427">
        <v>0</v>
      </c>
      <c r="BH1427">
        <v>2600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 t="shared" si="184"/>
        <v>06:16:17.477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465</v>
      </c>
      <c r="CR1427">
        <v>0</v>
      </c>
      <c r="CW1427">
        <v>4720728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 t="shared" si="181"/>
        <v>08/29/2020 06:16:14.263</v>
      </c>
      <c r="C1428" t="str">
        <f t="shared" si="170"/>
        <v>FFDFD3C0</v>
      </c>
      <c r="D1428" t="s">
        <v>121</v>
      </c>
      <c r="E1428">
        <v>13</v>
      </c>
      <c r="F1428">
        <v>1013</v>
      </c>
      <c r="G1428" t="s">
        <v>122</v>
      </c>
      <c r="J1428" t="s">
        <v>123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182"/>
        <v>06:16:17.477</v>
      </c>
      <c r="T1428" t="str">
        <f t="shared" si="183"/>
        <v>06:16:17.077</v>
      </c>
      <c r="U1428" t="str">
        <f t="shared" si="171"/>
        <v>A7E2E0</v>
      </c>
      <c r="V1428">
        <v>0</v>
      </c>
      <c r="W1428">
        <v>0</v>
      </c>
      <c r="X1428">
        <v>1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1011</v>
      </c>
      <c r="AJ1428">
        <v>39.023910000000001</v>
      </c>
      <c r="AK1428" t="s">
        <v>1012</v>
      </c>
      <c r="AL1428">
        <v>-87.548160999999993</v>
      </c>
      <c r="AM1428">
        <v>100</v>
      </c>
      <c r="AN1428">
        <v>2800</v>
      </c>
      <c r="AO1428" t="s">
        <v>118</v>
      </c>
      <c r="AP1428">
        <v>-95</v>
      </c>
      <c r="AQ1428">
        <v>-126</v>
      </c>
      <c r="AR1428">
        <v>0</v>
      </c>
      <c r="AZ1428">
        <v>4552</v>
      </c>
      <c r="BA1428">
        <v>1</v>
      </c>
      <c r="BB1428" t="str">
        <f t="shared" si="172"/>
        <v xml:space="preserve">N607SR  </v>
      </c>
      <c r="BC1428">
        <v>1</v>
      </c>
      <c r="BE1428">
        <v>0</v>
      </c>
      <c r="BF1428">
        <v>0</v>
      </c>
      <c r="BG1428">
        <v>0</v>
      </c>
      <c r="BH1428">
        <v>2600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 t="shared" si="184"/>
        <v>06:16:17.477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465</v>
      </c>
      <c r="CR1428">
        <v>0</v>
      </c>
      <c r="CW1428">
        <v>4720728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 t="shared" ref="A1429:A1434" si="185">"08/29/2020 06:16:15.277"</f>
        <v>08/29/2020 06:16:15.277</v>
      </c>
      <c r="C1429" t="str">
        <f t="shared" si="170"/>
        <v>FFDFD3C0</v>
      </c>
      <c r="D1429" t="s">
        <v>939</v>
      </c>
      <c r="E1429">
        <v>10</v>
      </c>
      <c r="H1429">
        <v>79</v>
      </c>
      <c r="I1429" t="s">
        <v>940</v>
      </c>
      <c r="J1429" t="s">
        <v>130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ref="S1429:S1434" si="186">"06:16:18.484"</f>
        <v>06:16:18.484</v>
      </c>
      <c r="U1429" t="str">
        <f t="shared" si="171"/>
        <v>A7E2E0</v>
      </c>
      <c r="V1429">
        <v>0</v>
      </c>
      <c r="W1429">
        <v>0</v>
      </c>
      <c r="X1429">
        <v>1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1013</v>
      </c>
      <c r="AJ1429">
        <v>39.023352000000003</v>
      </c>
      <c r="AK1429" t="s">
        <v>1014</v>
      </c>
      <c r="AL1429">
        <v>-87.548697000000004</v>
      </c>
      <c r="AM1429">
        <v>100</v>
      </c>
      <c r="AN1429">
        <v>2800</v>
      </c>
      <c r="AO1429" t="s">
        <v>118</v>
      </c>
      <c r="AP1429">
        <v>-95</v>
      </c>
      <c r="AQ1429">
        <v>-126</v>
      </c>
      <c r="AR1429">
        <v>0</v>
      </c>
      <c r="AZ1429">
        <v>4552</v>
      </c>
      <c r="BA1429">
        <v>1</v>
      </c>
      <c r="BB1429" t="str">
        <f t="shared" si="172"/>
        <v xml:space="preserve">N607SR  </v>
      </c>
      <c r="BC1429">
        <v>1</v>
      </c>
      <c r="BE1429">
        <v>0</v>
      </c>
      <c r="BF1429">
        <v>0</v>
      </c>
      <c r="BG1429">
        <v>0</v>
      </c>
      <c r="BH1429">
        <v>2600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 t="shared" ref="BW1429:BW1434" si="187">"06:16:18.490"</f>
        <v>06:16:18.490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465</v>
      </c>
      <c r="CR1429">
        <v>0</v>
      </c>
      <c r="CW1429">
        <v>4720763</v>
      </c>
      <c r="CY1429">
        <v>1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 t="shared" si="185"/>
        <v>08/29/2020 06:16:15.277</v>
      </c>
      <c r="C1430" t="str">
        <f t="shared" si="170"/>
        <v>FFDFD3C0</v>
      </c>
      <c r="D1430" t="s">
        <v>113</v>
      </c>
      <c r="E1430">
        <v>5</v>
      </c>
      <c r="H1430">
        <v>163</v>
      </c>
      <c r="I1430" t="s">
        <v>114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186"/>
        <v>06:16:18.484</v>
      </c>
      <c r="U1430" t="str">
        <f t="shared" si="171"/>
        <v>A7E2E0</v>
      </c>
      <c r="V1430">
        <v>0</v>
      </c>
      <c r="W1430">
        <v>0</v>
      </c>
      <c r="X1430">
        <v>1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1013</v>
      </c>
      <c r="AJ1430">
        <v>39.023352000000003</v>
      </c>
      <c r="AK1430" t="s">
        <v>1014</v>
      </c>
      <c r="AL1430">
        <v>-87.548697000000004</v>
      </c>
      <c r="AM1430">
        <v>100</v>
      </c>
      <c r="AN1430">
        <v>2800</v>
      </c>
      <c r="AO1430" t="s">
        <v>118</v>
      </c>
      <c r="AP1430">
        <v>-95</v>
      </c>
      <c r="AQ1430">
        <v>-126</v>
      </c>
      <c r="AR1430">
        <v>0</v>
      </c>
      <c r="AZ1430">
        <v>4552</v>
      </c>
      <c r="BA1430">
        <v>1</v>
      </c>
      <c r="BB1430" t="str">
        <f t="shared" si="172"/>
        <v xml:space="preserve">N607SR  </v>
      </c>
      <c r="BC1430">
        <v>1</v>
      </c>
      <c r="BE1430">
        <v>0</v>
      </c>
      <c r="BF1430">
        <v>0</v>
      </c>
      <c r="BG1430">
        <v>0</v>
      </c>
      <c r="BH1430">
        <v>2600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 t="shared" si="187"/>
        <v>06:16:18.490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465</v>
      </c>
      <c r="CR1430">
        <v>0</v>
      </c>
      <c r="CW1430">
        <v>4720763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 t="shared" si="185"/>
        <v>08/29/2020 06:16:15.277</v>
      </c>
      <c r="C1431" t="str">
        <f t="shared" si="170"/>
        <v>FFDFD3C0</v>
      </c>
      <c r="D1431" t="s">
        <v>128</v>
      </c>
      <c r="E1431">
        <v>5</v>
      </c>
      <c r="H1431">
        <v>241</v>
      </c>
      <c r="I1431" t="s">
        <v>129</v>
      </c>
      <c r="J1431" t="s">
        <v>130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186"/>
        <v>06:16:18.484</v>
      </c>
      <c r="U1431" t="str">
        <f t="shared" si="171"/>
        <v>A7E2E0</v>
      </c>
      <c r="V1431">
        <v>0</v>
      </c>
      <c r="W1431">
        <v>0</v>
      </c>
      <c r="X1431">
        <v>1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1013</v>
      </c>
      <c r="AJ1431">
        <v>39.023352000000003</v>
      </c>
      <c r="AK1431" t="s">
        <v>1014</v>
      </c>
      <c r="AL1431">
        <v>-87.548697000000004</v>
      </c>
      <c r="AM1431">
        <v>100</v>
      </c>
      <c r="AN1431">
        <v>2800</v>
      </c>
      <c r="AO1431" t="s">
        <v>118</v>
      </c>
      <c r="AP1431">
        <v>-95</v>
      </c>
      <c r="AQ1431">
        <v>-126</v>
      </c>
      <c r="AR1431">
        <v>0</v>
      </c>
      <c r="AZ1431">
        <v>4552</v>
      </c>
      <c r="BA1431">
        <v>1</v>
      </c>
      <c r="BB1431" t="str">
        <f t="shared" si="172"/>
        <v xml:space="preserve">N607SR  </v>
      </c>
      <c r="BC1431">
        <v>1</v>
      </c>
      <c r="BE1431">
        <v>0</v>
      </c>
      <c r="BF1431">
        <v>0</v>
      </c>
      <c r="BG1431">
        <v>0</v>
      </c>
      <c r="BH1431">
        <v>2600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 t="shared" si="187"/>
        <v>06:16:18.490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465</v>
      </c>
      <c r="CR1431">
        <v>0</v>
      </c>
      <c r="CW1431">
        <v>4720763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 t="shared" si="185"/>
        <v>08/29/2020 06:16:15.277</v>
      </c>
      <c r="C1432" t="str">
        <f t="shared" si="170"/>
        <v>FFDFD3C0</v>
      </c>
      <c r="D1432" t="s">
        <v>121</v>
      </c>
      <c r="E1432">
        <v>11</v>
      </c>
      <c r="F1432">
        <v>1011</v>
      </c>
      <c r="G1432" t="s">
        <v>125</v>
      </c>
      <c r="J1432" t="s">
        <v>123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186"/>
        <v>06:16:18.484</v>
      </c>
      <c r="U1432" t="str">
        <f t="shared" si="171"/>
        <v>A7E2E0</v>
      </c>
      <c r="V1432">
        <v>0</v>
      </c>
      <c r="W1432">
        <v>0</v>
      </c>
      <c r="X1432">
        <v>1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1013</v>
      </c>
      <c r="AJ1432">
        <v>39.023352000000003</v>
      </c>
      <c r="AK1432" t="s">
        <v>1014</v>
      </c>
      <c r="AL1432">
        <v>-87.548697000000004</v>
      </c>
      <c r="AM1432">
        <v>100</v>
      </c>
      <c r="AN1432">
        <v>2800</v>
      </c>
      <c r="AO1432" t="s">
        <v>118</v>
      </c>
      <c r="AP1432">
        <v>-95</v>
      </c>
      <c r="AQ1432">
        <v>-126</v>
      </c>
      <c r="AR1432">
        <v>0</v>
      </c>
      <c r="AZ1432">
        <v>4552</v>
      </c>
      <c r="BA1432">
        <v>1</v>
      </c>
      <c r="BB1432" t="str">
        <f t="shared" si="172"/>
        <v xml:space="preserve">N607SR  </v>
      </c>
      <c r="BC1432">
        <v>1</v>
      </c>
      <c r="BE1432">
        <v>0</v>
      </c>
      <c r="BF1432">
        <v>0</v>
      </c>
      <c r="BG1432">
        <v>0</v>
      </c>
      <c r="BH1432">
        <v>2600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 t="shared" si="187"/>
        <v>06:16:18.490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4</v>
      </c>
      <c r="CP1432" t="s">
        <v>119</v>
      </c>
      <c r="CQ1432">
        <v>528</v>
      </c>
      <c r="CR1432">
        <v>1</v>
      </c>
      <c r="CW1432">
        <v>13097456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 t="shared" si="185"/>
        <v>08/29/2020 06:16:15.277</v>
      </c>
      <c r="C1433" t="str">
        <f t="shared" si="170"/>
        <v>FFDFD3C0</v>
      </c>
      <c r="D1433" t="s">
        <v>121</v>
      </c>
      <c r="E1433">
        <v>10</v>
      </c>
      <c r="F1433">
        <v>1010</v>
      </c>
      <c r="G1433" t="s">
        <v>114</v>
      </c>
      <c r="J1433" t="s">
        <v>123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186"/>
        <v>06:16:18.484</v>
      </c>
      <c r="U1433" t="str">
        <f t="shared" si="171"/>
        <v>A7E2E0</v>
      </c>
      <c r="V1433">
        <v>0</v>
      </c>
      <c r="W1433">
        <v>0</v>
      </c>
      <c r="X1433">
        <v>1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1013</v>
      </c>
      <c r="AJ1433">
        <v>39.023352000000003</v>
      </c>
      <c r="AK1433" t="s">
        <v>1014</v>
      </c>
      <c r="AL1433">
        <v>-87.548697000000004</v>
      </c>
      <c r="AM1433">
        <v>100</v>
      </c>
      <c r="AN1433">
        <v>2800</v>
      </c>
      <c r="AO1433" t="s">
        <v>118</v>
      </c>
      <c r="AP1433">
        <v>-95</v>
      </c>
      <c r="AQ1433">
        <v>-126</v>
      </c>
      <c r="AR1433">
        <v>0</v>
      </c>
      <c r="AZ1433">
        <v>4552</v>
      </c>
      <c r="BA1433">
        <v>1</v>
      </c>
      <c r="BB1433" t="str">
        <f t="shared" si="172"/>
        <v xml:space="preserve">N607SR  </v>
      </c>
      <c r="BC1433">
        <v>1</v>
      </c>
      <c r="BE1433">
        <v>0</v>
      </c>
      <c r="BF1433">
        <v>0</v>
      </c>
      <c r="BG1433">
        <v>0</v>
      </c>
      <c r="BH1433">
        <v>2600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 t="shared" si="187"/>
        <v>06:16:18.490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465</v>
      </c>
      <c r="CR1433">
        <v>0</v>
      </c>
      <c r="CW1433">
        <v>4720763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 t="shared" si="185"/>
        <v>08/29/2020 06:16:15.277</v>
      </c>
      <c r="C1434" t="str">
        <f t="shared" si="170"/>
        <v>FFDFD3C0</v>
      </c>
      <c r="D1434" t="s">
        <v>121</v>
      </c>
      <c r="E1434">
        <v>13</v>
      </c>
      <c r="F1434">
        <v>1013</v>
      </c>
      <c r="G1434" t="s">
        <v>122</v>
      </c>
      <c r="J1434" t="s">
        <v>123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186"/>
        <v>06:16:18.484</v>
      </c>
      <c r="U1434" t="str">
        <f t="shared" si="171"/>
        <v>A7E2E0</v>
      </c>
      <c r="V1434">
        <v>0</v>
      </c>
      <c r="W1434">
        <v>0</v>
      </c>
      <c r="X1434">
        <v>1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1013</v>
      </c>
      <c r="AJ1434">
        <v>39.023352000000003</v>
      </c>
      <c r="AK1434" t="s">
        <v>1014</v>
      </c>
      <c r="AL1434">
        <v>-87.548697000000004</v>
      </c>
      <c r="AM1434">
        <v>100</v>
      </c>
      <c r="AN1434">
        <v>2800</v>
      </c>
      <c r="AO1434" t="s">
        <v>118</v>
      </c>
      <c r="AP1434">
        <v>-95</v>
      </c>
      <c r="AQ1434">
        <v>-126</v>
      </c>
      <c r="AR1434">
        <v>0</v>
      </c>
      <c r="AZ1434">
        <v>4552</v>
      </c>
      <c r="BA1434">
        <v>1</v>
      </c>
      <c r="BB1434" t="str">
        <f t="shared" si="172"/>
        <v xml:space="preserve">N607SR  </v>
      </c>
      <c r="BC1434">
        <v>1</v>
      </c>
      <c r="BE1434">
        <v>0</v>
      </c>
      <c r="BF1434">
        <v>0</v>
      </c>
      <c r="BG1434">
        <v>0</v>
      </c>
      <c r="BH1434">
        <v>2600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 t="shared" si="187"/>
        <v>06:16:18.490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6</v>
      </c>
      <c r="CP1434" t="s">
        <v>119</v>
      </c>
      <c r="CQ1434">
        <v>465</v>
      </c>
      <c r="CR1434">
        <v>0</v>
      </c>
      <c r="CW1434">
        <v>4720763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 t="shared" ref="A1435:A1440" si="188">"08/29/2020 06:16:16.333"</f>
        <v>08/29/2020 06:16:16.333</v>
      </c>
      <c r="C1435" t="str">
        <f t="shared" si="170"/>
        <v>FFDFD3C0</v>
      </c>
      <c r="D1435" t="s">
        <v>939</v>
      </c>
      <c r="E1435">
        <v>10</v>
      </c>
      <c r="H1435">
        <v>79</v>
      </c>
      <c r="I1435" t="s">
        <v>940</v>
      </c>
      <c r="J1435" t="s">
        <v>130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ref="S1435:S1440" si="189">"06:16:19.547"</f>
        <v>06:16:19.547</v>
      </c>
      <c r="T1435" t="str">
        <f t="shared" ref="T1435:T1440" si="190">"06:16:19.147"</f>
        <v>06:16:19.147</v>
      </c>
      <c r="U1435" t="str">
        <f t="shared" si="171"/>
        <v>A7E2E0</v>
      </c>
      <c r="V1435">
        <v>0</v>
      </c>
      <c r="W1435">
        <v>0</v>
      </c>
      <c r="X1435">
        <v>1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1015</v>
      </c>
      <c r="AJ1435">
        <v>39.022665000000003</v>
      </c>
      <c r="AK1435" t="s">
        <v>1016</v>
      </c>
      <c r="AL1435">
        <v>-87.549340999999998</v>
      </c>
      <c r="AM1435">
        <v>100</v>
      </c>
      <c r="AN1435">
        <v>2800</v>
      </c>
      <c r="AO1435" t="s">
        <v>118</v>
      </c>
      <c r="AP1435">
        <v>-95</v>
      </c>
      <c r="AQ1435">
        <v>-126</v>
      </c>
      <c r="AR1435">
        <v>0</v>
      </c>
      <c r="AZ1435">
        <v>4552</v>
      </c>
      <c r="BA1435">
        <v>1</v>
      </c>
      <c r="BB1435" t="str">
        <f t="shared" si="172"/>
        <v xml:space="preserve">N607SR  </v>
      </c>
      <c r="BC1435">
        <v>1</v>
      </c>
      <c r="BE1435">
        <v>0</v>
      </c>
      <c r="BF1435">
        <v>0</v>
      </c>
      <c r="BG1435">
        <v>0</v>
      </c>
      <c r="BH1435">
        <v>2600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"06:16:19.552"</f>
        <v>06:16:19.552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6</v>
      </c>
      <c r="CP1435" t="s">
        <v>119</v>
      </c>
      <c r="CQ1435">
        <v>465</v>
      </c>
      <c r="CR1435">
        <v>0</v>
      </c>
      <c r="CW1435">
        <v>4720793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 t="shared" si="188"/>
        <v>08/29/2020 06:16:16.333</v>
      </c>
      <c r="C1436" t="str">
        <f t="shared" si="170"/>
        <v>FFDFD3C0</v>
      </c>
      <c r="D1436" t="s">
        <v>128</v>
      </c>
      <c r="E1436">
        <v>5</v>
      </c>
      <c r="H1436">
        <v>241</v>
      </c>
      <c r="I1436" t="s">
        <v>129</v>
      </c>
      <c r="J1436" t="s">
        <v>130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189"/>
        <v>06:16:19.547</v>
      </c>
      <c r="T1436" t="str">
        <f t="shared" si="190"/>
        <v>06:16:19.147</v>
      </c>
      <c r="U1436" t="str">
        <f t="shared" si="171"/>
        <v>A7E2E0</v>
      </c>
      <c r="V1436">
        <v>0</v>
      </c>
      <c r="W1436">
        <v>0</v>
      </c>
      <c r="X1436">
        <v>1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1015</v>
      </c>
      <c r="AJ1436">
        <v>39.022665000000003</v>
      </c>
      <c r="AK1436" t="s">
        <v>1016</v>
      </c>
      <c r="AL1436">
        <v>-87.549340999999998</v>
      </c>
      <c r="AM1436">
        <v>100</v>
      </c>
      <c r="AN1436">
        <v>2800</v>
      </c>
      <c r="AO1436" t="s">
        <v>118</v>
      </c>
      <c r="AP1436">
        <v>-95</v>
      </c>
      <c r="AQ1436">
        <v>-126</v>
      </c>
      <c r="AR1436">
        <v>0</v>
      </c>
      <c r="AZ1436">
        <v>4552</v>
      </c>
      <c r="BA1436">
        <v>1</v>
      </c>
      <c r="BB1436" t="str">
        <f t="shared" si="172"/>
        <v xml:space="preserve">N607SR  </v>
      </c>
      <c r="BC1436">
        <v>1</v>
      </c>
      <c r="BE1436">
        <v>0</v>
      </c>
      <c r="BF1436">
        <v>0</v>
      </c>
      <c r="BG1436">
        <v>0</v>
      </c>
      <c r="BH1436">
        <v>2600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"06:16:19.552"</f>
        <v>06:16:19.552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6</v>
      </c>
      <c r="CP1436" t="s">
        <v>119</v>
      </c>
      <c r="CQ1436">
        <v>465</v>
      </c>
      <c r="CR1436">
        <v>0</v>
      </c>
      <c r="CW1436">
        <v>4720793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 t="shared" si="188"/>
        <v>08/29/2020 06:16:16.333</v>
      </c>
      <c r="C1437" t="str">
        <f t="shared" si="170"/>
        <v>FFDFD3C0</v>
      </c>
      <c r="D1437" t="s">
        <v>113</v>
      </c>
      <c r="E1437">
        <v>5</v>
      </c>
      <c r="H1437">
        <v>163</v>
      </c>
      <c r="I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189"/>
        <v>06:16:19.547</v>
      </c>
      <c r="T1437" t="str">
        <f t="shared" si="190"/>
        <v>06:16:19.147</v>
      </c>
      <c r="U1437" t="str">
        <f t="shared" si="171"/>
        <v>A7E2E0</v>
      </c>
      <c r="V1437">
        <v>0</v>
      </c>
      <c r="W1437">
        <v>0</v>
      </c>
      <c r="X1437">
        <v>1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1015</v>
      </c>
      <c r="AJ1437">
        <v>39.022665000000003</v>
      </c>
      <c r="AK1437" t="s">
        <v>1016</v>
      </c>
      <c r="AL1437">
        <v>-87.549340999999998</v>
      </c>
      <c r="AM1437">
        <v>100</v>
      </c>
      <c r="AN1437">
        <v>2800</v>
      </c>
      <c r="AO1437" t="s">
        <v>118</v>
      </c>
      <c r="AP1437">
        <v>-95</v>
      </c>
      <c r="AQ1437">
        <v>-126</v>
      </c>
      <c r="AR1437">
        <v>0</v>
      </c>
      <c r="AZ1437">
        <v>4552</v>
      </c>
      <c r="BA1437">
        <v>1</v>
      </c>
      <c r="BB1437" t="str">
        <f t="shared" si="172"/>
        <v xml:space="preserve">N607SR  </v>
      </c>
      <c r="BC1437">
        <v>1</v>
      </c>
      <c r="BE1437">
        <v>0</v>
      </c>
      <c r="BF1437">
        <v>0</v>
      </c>
      <c r="BG1437">
        <v>0</v>
      </c>
      <c r="BH1437">
        <v>2600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"06:16:19.552"</f>
        <v>06:16:19.552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6</v>
      </c>
      <c r="CP1437" t="s">
        <v>119</v>
      </c>
      <c r="CQ1437">
        <v>465</v>
      </c>
      <c r="CR1437">
        <v>0</v>
      </c>
      <c r="CW1437">
        <v>4720793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si="188"/>
        <v>08/29/2020 06:16:16.333</v>
      </c>
      <c r="C1438" t="str">
        <f t="shared" si="170"/>
        <v>FFDFD3C0</v>
      </c>
      <c r="D1438" t="s">
        <v>121</v>
      </c>
      <c r="E1438">
        <v>11</v>
      </c>
      <c r="F1438">
        <v>1011</v>
      </c>
      <c r="G1438" t="s">
        <v>125</v>
      </c>
      <c r="J1438" t="s">
        <v>123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189"/>
        <v>06:16:19.547</v>
      </c>
      <c r="T1438" t="str">
        <f t="shared" si="190"/>
        <v>06:16:19.147</v>
      </c>
      <c r="U1438" t="str">
        <f t="shared" si="171"/>
        <v>A7E2E0</v>
      </c>
      <c r="V1438">
        <v>0</v>
      </c>
      <c r="W1438">
        <v>0</v>
      </c>
      <c r="X1438">
        <v>1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1015</v>
      </c>
      <c r="AJ1438">
        <v>39.022665000000003</v>
      </c>
      <c r="AK1438" t="s">
        <v>1016</v>
      </c>
      <c r="AL1438">
        <v>-87.549340999999998</v>
      </c>
      <c r="AM1438">
        <v>100</v>
      </c>
      <c r="AN1438">
        <v>2800</v>
      </c>
      <c r="AO1438" t="s">
        <v>118</v>
      </c>
      <c r="AP1438">
        <v>-95</v>
      </c>
      <c r="AQ1438">
        <v>-126</v>
      </c>
      <c r="AR1438">
        <v>0</v>
      </c>
      <c r="AZ1438">
        <v>4552</v>
      </c>
      <c r="BA1438">
        <v>1</v>
      </c>
      <c r="BB1438" t="str">
        <f t="shared" si="172"/>
        <v xml:space="preserve">N607SR  </v>
      </c>
      <c r="BC1438">
        <v>1</v>
      </c>
      <c r="BE1438">
        <v>0</v>
      </c>
      <c r="BF1438">
        <v>0</v>
      </c>
      <c r="BG1438">
        <v>0</v>
      </c>
      <c r="BH1438">
        <v>2600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"06:16:19.551"</f>
        <v>06:16:19.551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6</v>
      </c>
      <c r="CP1438" t="s">
        <v>119</v>
      </c>
      <c r="CQ1438">
        <v>457</v>
      </c>
      <c r="CR1438">
        <v>0</v>
      </c>
      <c r="CW1438">
        <v>15516727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 t="shared" si="188"/>
        <v>08/29/2020 06:16:16.333</v>
      </c>
      <c r="C1439" t="str">
        <f t="shared" si="170"/>
        <v>FFDFD3C0</v>
      </c>
      <c r="D1439" t="s">
        <v>121</v>
      </c>
      <c r="E1439">
        <v>10</v>
      </c>
      <c r="F1439">
        <v>1010</v>
      </c>
      <c r="G1439" t="s">
        <v>114</v>
      </c>
      <c r="J1439" t="s">
        <v>123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189"/>
        <v>06:16:19.547</v>
      </c>
      <c r="T1439" t="str">
        <f t="shared" si="190"/>
        <v>06:16:19.147</v>
      </c>
      <c r="U1439" t="str">
        <f t="shared" si="171"/>
        <v>A7E2E0</v>
      </c>
      <c r="V1439">
        <v>0</v>
      </c>
      <c r="W1439">
        <v>0</v>
      </c>
      <c r="X1439">
        <v>1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1015</v>
      </c>
      <c r="AJ1439">
        <v>39.022665000000003</v>
      </c>
      <c r="AK1439" t="s">
        <v>1016</v>
      </c>
      <c r="AL1439">
        <v>-87.549340999999998</v>
      </c>
      <c r="AM1439">
        <v>100</v>
      </c>
      <c r="AN1439">
        <v>2800</v>
      </c>
      <c r="AO1439" t="s">
        <v>118</v>
      </c>
      <c r="AP1439">
        <v>-95</v>
      </c>
      <c r="AQ1439">
        <v>-126</v>
      </c>
      <c r="AR1439">
        <v>0</v>
      </c>
      <c r="AZ1439">
        <v>4552</v>
      </c>
      <c r="BA1439">
        <v>1</v>
      </c>
      <c r="BB1439" t="str">
        <f t="shared" si="172"/>
        <v xml:space="preserve">N607SR  </v>
      </c>
      <c r="BC1439">
        <v>1</v>
      </c>
      <c r="BE1439">
        <v>0</v>
      </c>
      <c r="BF1439">
        <v>0</v>
      </c>
      <c r="BG1439">
        <v>0</v>
      </c>
      <c r="BH1439">
        <v>2600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"06:16:19.552"</f>
        <v>06:16:19.552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6</v>
      </c>
      <c r="CP1439" t="s">
        <v>119</v>
      </c>
      <c r="CQ1439">
        <v>465</v>
      </c>
      <c r="CR1439">
        <v>0</v>
      </c>
      <c r="CW1439">
        <v>4720793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 t="shared" si="188"/>
        <v>08/29/2020 06:16:16.333</v>
      </c>
      <c r="C1440" t="str">
        <f t="shared" si="170"/>
        <v>FFDFD3C0</v>
      </c>
      <c r="D1440" t="s">
        <v>121</v>
      </c>
      <c r="E1440">
        <v>13</v>
      </c>
      <c r="F1440">
        <v>1013</v>
      </c>
      <c r="G1440" t="s">
        <v>122</v>
      </c>
      <c r="J1440" t="s">
        <v>123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189"/>
        <v>06:16:19.547</v>
      </c>
      <c r="T1440" t="str">
        <f t="shared" si="190"/>
        <v>06:16:19.147</v>
      </c>
      <c r="U1440" t="str">
        <f t="shared" si="171"/>
        <v>A7E2E0</v>
      </c>
      <c r="V1440">
        <v>0</v>
      </c>
      <c r="W1440">
        <v>0</v>
      </c>
      <c r="X1440">
        <v>1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1015</v>
      </c>
      <c r="AJ1440">
        <v>39.022665000000003</v>
      </c>
      <c r="AK1440" t="s">
        <v>1016</v>
      </c>
      <c r="AL1440">
        <v>-87.549340999999998</v>
      </c>
      <c r="AM1440">
        <v>100</v>
      </c>
      <c r="AN1440">
        <v>2800</v>
      </c>
      <c r="AO1440" t="s">
        <v>118</v>
      </c>
      <c r="AP1440">
        <v>-95</v>
      </c>
      <c r="AQ1440">
        <v>-126</v>
      </c>
      <c r="AR1440">
        <v>0</v>
      </c>
      <c r="AZ1440">
        <v>4552</v>
      </c>
      <c r="BA1440">
        <v>1</v>
      </c>
      <c r="BB1440" t="str">
        <f t="shared" si="172"/>
        <v xml:space="preserve">N607SR  </v>
      </c>
      <c r="BC1440">
        <v>1</v>
      </c>
      <c r="BE1440">
        <v>0</v>
      </c>
      <c r="BF1440">
        <v>0</v>
      </c>
      <c r="BG1440">
        <v>0</v>
      </c>
      <c r="BH1440">
        <v>2600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"06:16:19.552"</f>
        <v>06:16:19.552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6</v>
      </c>
      <c r="CP1440" t="s">
        <v>119</v>
      </c>
      <c r="CQ1440">
        <v>465</v>
      </c>
      <c r="CR1440">
        <v>0</v>
      </c>
      <c r="CW1440">
        <v>4720793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 t="shared" ref="A1441:A1446" si="191">"08/29/2020 06:16:17.408"</f>
        <v>08/29/2020 06:16:17.408</v>
      </c>
      <c r="C1441" t="str">
        <f t="shared" si="170"/>
        <v>FFDFD3C0</v>
      </c>
      <c r="D1441" t="s">
        <v>113</v>
      </c>
      <c r="E1441">
        <v>5</v>
      </c>
      <c r="H1441">
        <v>163</v>
      </c>
      <c r="I1441" t="s">
        <v>114</v>
      </c>
      <c r="J1441" t="s">
        <v>115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ref="S1441:S1446" si="192">"06:16:20.609"</f>
        <v>06:16:20.609</v>
      </c>
      <c r="T1441" t="str">
        <f t="shared" ref="T1441:T1446" si="193">"06:16:20.109"</f>
        <v>06:16:20.109</v>
      </c>
      <c r="U1441" t="str">
        <f t="shared" si="171"/>
        <v>A7E2E0</v>
      </c>
      <c r="V1441">
        <v>0</v>
      </c>
      <c r="W1441">
        <v>0</v>
      </c>
      <c r="X1441">
        <v>1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1017</v>
      </c>
      <c r="AJ1441">
        <v>39.022042999999996</v>
      </c>
      <c r="AK1441" t="s">
        <v>1018</v>
      </c>
      <c r="AL1441">
        <v>-87.54992</v>
      </c>
      <c r="AM1441">
        <v>100</v>
      </c>
      <c r="AN1441">
        <v>2800</v>
      </c>
      <c r="AO1441" t="s">
        <v>118</v>
      </c>
      <c r="AP1441">
        <v>-94</v>
      </c>
      <c r="AQ1441">
        <v>-126</v>
      </c>
      <c r="AR1441">
        <v>0</v>
      </c>
      <c r="AZ1441">
        <v>4552</v>
      </c>
      <c r="BA1441">
        <v>1</v>
      </c>
      <c r="BB1441" t="str">
        <f t="shared" si="172"/>
        <v xml:space="preserve">N607SR  </v>
      </c>
      <c r="BC1441">
        <v>1</v>
      </c>
      <c r="BE1441">
        <v>0</v>
      </c>
      <c r="BF1441">
        <v>0</v>
      </c>
      <c r="BG1441">
        <v>0</v>
      </c>
      <c r="BH1441">
        <v>2600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"06:16:20.617"</f>
        <v>06:16:20.617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6</v>
      </c>
      <c r="CP1441" t="s">
        <v>119</v>
      </c>
      <c r="CQ1441">
        <v>465</v>
      </c>
      <c r="CR1441">
        <v>0</v>
      </c>
      <c r="CW1441">
        <v>4720826</v>
      </c>
      <c r="CY1441">
        <v>1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 t="shared" si="191"/>
        <v>08/29/2020 06:16:17.408</v>
      </c>
      <c r="C1442" t="str">
        <f t="shared" si="170"/>
        <v>FFDFD3C0</v>
      </c>
      <c r="D1442" t="s">
        <v>128</v>
      </c>
      <c r="E1442">
        <v>5</v>
      </c>
      <c r="H1442">
        <v>241</v>
      </c>
      <c r="I1442" t="s">
        <v>129</v>
      </c>
      <c r="J1442" t="s">
        <v>130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192"/>
        <v>06:16:20.609</v>
      </c>
      <c r="T1442" t="str">
        <f t="shared" si="193"/>
        <v>06:16:20.109</v>
      </c>
      <c r="U1442" t="str">
        <f t="shared" si="171"/>
        <v>A7E2E0</v>
      </c>
      <c r="V1442">
        <v>0</v>
      </c>
      <c r="W1442">
        <v>0</v>
      </c>
      <c r="X1442">
        <v>1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1017</v>
      </c>
      <c r="AJ1442">
        <v>39.022042999999996</v>
      </c>
      <c r="AK1442" t="s">
        <v>1018</v>
      </c>
      <c r="AL1442">
        <v>-87.54992</v>
      </c>
      <c r="AM1442">
        <v>100</v>
      </c>
      <c r="AN1442">
        <v>2800</v>
      </c>
      <c r="AO1442" t="s">
        <v>118</v>
      </c>
      <c r="AP1442">
        <v>-94</v>
      </c>
      <c r="AQ1442">
        <v>-126</v>
      </c>
      <c r="AR1442">
        <v>0</v>
      </c>
      <c r="AZ1442">
        <v>4552</v>
      </c>
      <c r="BA1442">
        <v>1</v>
      </c>
      <c r="BB1442" t="str">
        <f t="shared" si="172"/>
        <v xml:space="preserve">N607SR  </v>
      </c>
      <c r="BC1442">
        <v>1</v>
      </c>
      <c r="BE1442">
        <v>0</v>
      </c>
      <c r="BF1442">
        <v>0</v>
      </c>
      <c r="BG1442">
        <v>0</v>
      </c>
      <c r="BH1442">
        <v>2600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"06:16:20.617"</f>
        <v>06:16:20.617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465</v>
      </c>
      <c r="CR1442">
        <v>0</v>
      </c>
      <c r="CW1442">
        <v>4720826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 t="shared" si="191"/>
        <v>08/29/2020 06:16:17.408</v>
      </c>
      <c r="C1443" t="str">
        <f t="shared" si="170"/>
        <v>FFDFD3C0</v>
      </c>
      <c r="D1443" t="s">
        <v>121</v>
      </c>
      <c r="E1443">
        <v>11</v>
      </c>
      <c r="F1443">
        <v>1011</v>
      </c>
      <c r="G1443" t="s">
        <v>125</v>
      </c>
      <c r="J1443" t="s">
        <v>123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192"/>
        <v>06:16:20.609</v>
      </c>
      <c r="T1443" t="str">
        <f t="shared" si="193"/>
        <v>06:16:20.109</v>
      </c>
      <c r="U1443" t="str">
        <f t="shared" si="171"/>
        <v>A7E2E0</v>
      </c>
      <c r="V1443">
        <v>0</v>
      </c>
      <c r="W1443">
        <v>0</v>
      </c>
      <c r="X1443">
        <v>1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1017</v>
      </c>
      <c r="AJ1443">
        <v>39.022042999999996</v>
      </c>
      <c r="AK1443" t="s">
        <v>1018</v>
      </c>
      <c r="AL1443">
        <v>-87.54992</v>
      </c>
      <c r="AM1443">
        <v>100</v>
      </c>
      <c r="AN1443">
        <v>2800</v>
      </c>
      <c r="AO1443" t="s">
        <v>118</v>
      </c>
      <c r="AP1443">
        <v>-94</v>
      </c>
      <c r="AQ1443">
        <v>-126</v>
      </c>
      <c r="AR1443">
        <v>0</v>
      </c>
      <c r="AZ1443">
        <v>4552</v>
      </c>
      <c r="BA1443">
        <v>1</v>
      </c>
      <c r="BB1443" t="str">
        <f t="shared" si="172"/>
        <v xml:space="preserve">N607SR  </v>
      </c>
      <c r="BC1443">
        <v>1</v>
      </c>
      <c r="BE1443">
        <v>0</v>
      </c>
      <c r="BF1443">
        <v>0</v>
      </c>
      <c r="BG1443">
        <v>0</v>
      </c>
      <c r="BH1443">
        <v>2600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"06:16:20.616"</f>
        <v>06:16:20.616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6</v>
      </c>
      <c r="CP1443" t="s">
        <v>119</v>
      </c>
      <c r="CQ1443">
        <v>457</v>
      </c>
      <c r="CR1443">
        <v>0</v>
      </c>
      <c r="CW1443">
        <v>15516763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 t="shared" si="191"/>
        <v>08/29/2020 06:16:17.408</v>
      </c>
      <c r="C1444" t="str">
        <f t="shared" si="170"/>
        <v>FFDFD3C0</v>
      </c>
      <c r="D1444" t="s">
        <v>121</v>
      </c>
      <c r="E1444">
        <v>10</v>
      </c>
      <c r="F1444">
        <v>1010</v>
      </c>
      <c r="G1444" t="s">
        <v>114</v>
      </c>
      <c r="J1444" t="s">
        <v>123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192"/>
        <v>06:16:20.609</v>
      </c>
      <c r="T1444" t="str">
        <f t="shared" si="193"/>
        <v>06:16:20.109</v>
      </c>
      <c r="U1444" t="str">
        <f t="shared" si="171"/>
        <v>A7E2E0</v>
      </c>
      <c r="V1444">
        <v>0</v>
      </c>
      <c r="W1444">
        <v>0</v>
      </c>
      <c r="X1444">
        <v>1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1017</v>
      </c>
      <c r="AJ1444">
        <v>39.022042999999996</v>
      </c>
      <c r="AK1444" t="s">
        <v>1018</v>
      </c>
      <c r="AL1444">
        <v>-87.54992</v>
      </c>
      <c r="AM1444">
        <v>100</v>
      </c>
      <c r="AN1444">
        <v>2800</v>
      </c>
      <c r="AO1444" t="s">
        <v>118</v>
      </c>
      <c r="AP1444">
        <v>-94</v>
      </c>
      <c r="AQ1444">
        <v>-126</v>
      </c>
      <c r="AR1444">
        <v>0</v>
      </c>
      <c r="AZ1444">
        <v>4552</v>
      </c>
      <c r="BA1444">
        <v>1</v>
      </c>
      <c r="BB1444" t="str">
        <f t="shared" si="172"/>
        <v xml:space="preserve">N607SR  </v>
      </c>
      <c r="BC1444">
        <v>1</v>
      </c>
      <c r="BE1444">
        <v>0</v>
      </c>
      <c r="BF1444">
        <v>0</v>
      </c>
      <c r="BG1444">
        <v>0</v>
      </c>
      <c r="BH1444">
        <v>2600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"06:16:20.617"</f>
        <v>06:16:20.617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6</v>
      </c>
      <c r="CP1444" t="s">
        <v>119</v>
      </c>
      <c r="CQ1444">
        <v>465</v>
      </c>
      <c r="CR1444">
        <v>0</v>
      </c>
      <c r="CW1444">
        <v>4720826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 t="shared" si="191"/>
        <v>08/29/2020 06:16:17.408</v>
      </c>
      <c r="C1445" t="str">
        <f t="shared" si="170"/>
        <v>FFDFD3C0</v>
      </c>
      <c r="D1445" t="s">
        <v>121</v>
      </c>
      <c r="E1445">
        <v>13</v>
      </c>
      <c r="F1445">
        <v>1013</v>
      </c>
      <c r="G1445" t="s">
        <v>122</v>
      </c>
      <c r="J1445" t="s">
        <v>123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192"/>
        <v>06:16:20.609</v>
      </c>
      <c r="T1445" t="str">
        <f t="shared" si="193"/>
        <v>06:16:20.109</v>
      </c>
      <c r="U1445" t="str">
        <f t="shared" si="171"/>
        <v>A7E2E0</v>
      </c>
      <c r="V1445">
        <v>0</v>
      </c>
      <c r="W1445">
        <v>0</v>
      </c>
      <c r="X1445">
        <v>1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1017</v>
      </c>
      <c r="AJ1445">
        <v>39.022042999999996</v>
      </c>
      <c r="AK1445" t="s">
        <v>1018</v>
      </c>
      <c r="AL1445">
        <v>-87.54992</v>
      </c>
      <c r="AM1445">
        <v>100</v>
      </c>
      <c r="AN1445">
        <v>2800</v>
      </c>
      <c r="AO1445" t="s">
        <v>118</v>
      </c>
      <c r="AP1445">
        <v>-94</v>
      </c>
      <c r="AQ1445">
        <v>-126</v>
      </c>
      <c r="AR1445">
        <v>0</v>
      </c>
      <c r="AZ1445">
        <v>4552</v>
      </c>
      <c r="BA1445">
        <v>1</v>
      </c>
      <c r="BB1445" t="str">
        <f t="shared" si="172"/>
        <v xml:space="preserve">N607SR  </v>
      </c>
      <c r="BC1445">
        <v>1</v>
      </c>
      <c r="BE1445">
        <v>0</v>
      </c>
      <c r="BF1445">
        <v>0</v>
      </c>
      <c r="BG1445">
        <v>0</v>
      </c>
      <c r="BH1445">
        <v>2600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"06:16:20.617"</f>
        <v>06:16:20.617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6</v>
      </c>
      <c r="CP1445" t="s">
        <v>119</v>
      </c>
      <c r="CQ1445">
        <v>465</v>
      </c>
      <c r="CR1445">
        <v>0</v>
      </c>
      <c r="CW1445">
        <v>4720826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 t="shared" si="191"/>
        <v>08/29/2020 06:16:17.408</v>
      </c>
      <c r="C1446" t="str">
        <f t="shared" si="170"/>
        <v>FFDFD3C0</v>
      </c>
      <c r="D1446" t="s">
        <v>939</v>
      </c>
      <c r="E1446">
        <v>10</v>
      </c>
      <c r="H1446">
        <v>79</v>
      </c>
      <c r="I1446" t="s">
        <v>940</v>
      </c>
      <c r="J1446" t="s">
        <v>130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192"/>
        <v>06:16:20.609</v>
      </c>
      <c r="T1446" t="str">
        <f t="shared" si="193"/>
        <v>06:16:20.109</v>
      </c>
      <c r="U1446" t="str">
        <f t="shared" si="171"/>
        <v>A7E2E0</v>
      </c>
      <c r="V1446">
        <v>0</v>
      </c>
      <c r="W1446">
        <v>0</v>
      </c>
      <c r="X1446">
        <v>1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1017</v>
      </c>
      <c r="AJ1446">
        <v>39.022042999999996</v>
      </c>
      <c r="AK1446" t="s">
        <v>1018</v>
      </c>
      <c r="AL1446">
        <v>-87.54992</v>
      </c>
      <c r="AM1446">
        <v>100</v>
      </c>
      <c r="AN1446">
        <v>2800</v>
      </c>
      <c r="AO1446" t="s">
        <v>118</v>
      </c>
      <c r="AP1446">
        <v>-94</v>
      </c>
      <c r="AQ1446">
        <v>-126</v>
      </c>
      <c r="AR1446">
        <v>0</v>
      </c>
      <c r="AZ1446">
        <v>4552</v>
      </c>
      <c r="BA1446">
        <v>1</v>
      </c>
      <c r="BB1446" t="str">
        <f t="shared" si="172"/>
        <v xml:space="preserve">N607SR  </v>
      </c>
      <c r="BC1446">
        <v>1</v>
      </c>
      <c r="BE1446">
        <v>0</v>
      </c>
      <c r="BF1446">
        <v>0</v>
      </c>
      <c r="BG1446">
        <v>0</v>
      </c>
      <c r="BH1446">
        <v>2600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"06:16:20.617"</f>
        <v>06:16:20.617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6</v>
      </c>
      <c r="CP1446" t="s">
        <v>119</v>
      </c>
      <c r="CQ1446">
        <v>465</v>
      </c>
      <c r="CR1446">
        <v>0</v>
      </c>
      <c r="CW1446">
        <v>4720826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 t="shared" ref="A1447:A1452" si="194">"08/29/2020 06:16:18.379"</f>
        <v>08/29/2020 06:16:18.379</v>
      </c>
      <c r="C1447" t="str">
        <f t="shared" si="170"/>
        <v>FFDFD3C0</v>
      </c>
      <c r="D1447" t="s">
        <v>121</v>
      </c>
      <c r="E1447">
        <v>11</v>
      </c>
      <c r="F1447">
        <v>1011</v>
      </c>
      <c r="G1447" t="s">
        <v>125</v>
      </c>
      <c r="J1447" t="s">
        <v>123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ref="S1447:S1452" si="195">"06:16:21.602"</f>
        <v>06:16:21.602</v>
      </c>
      <c r="T1447" t="str">
        <f t="shared" ref="T1447:T1452" si="196">"06:16:21.202"</f>
        <v>06:16:21.202</v>
      </c>
      <c r="U1447" t="str">
        <f t="shared" si="171"/>
        <v>A7E2E0</v>
      </c>
      <c r="V1447">
        <v>0</v>
      </c>
      <c r="W1447">
        <v>0</v>
      </c>
      <c r="X1447">
        <v>1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1019</v>
      </c>
      <c r="AJ1447">
        <v>39.021506000000002</v>
      </c>
      <c r="AK1447" t="s">
        <v>1020</v>
      </c>
      <c r="AL1447">
        <v>-87.550414000000004</v>
      </c>
      <c r="AM1447">
        <v>100</v>
      </c>
      <c r="AN1447">
        <v>2800</v>
      </c>
      <c r="AO1447" t="s">
        <v>118</v>
      </c>
      <c r="AP1447">
        <v>-94</v>
      </c>
      <c r="AQ1447">
        <v>-126</v>
      </c>
      <c r="AR1447">
        <v>0</v>
      </c>
      <c r="AZ1447">
        <v>4552</v>
      </c>
      <c r="BA1447">
        <v>1</v>
      </c>
      <c r="BB1447" t="str">
        <f t="shared" si="172"/>
        <v xml:space="preserve">N607SR  </v>
      </c>
      <c r="BC1447">
        <v>1</v>
      </c>
      <c r="BE1447">
        <v>0</v>
      </c>
      <c r="BF1447">
        <v>0</v>
      </c>
      <c r="BG1447">
        <v>0</v>
      </c>
      <c r="BH1447">
        <v>2600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 t="shared" ref="BW1447:BW1452" si="197">"06:16:21.603"</f>
        <v>06:16:21.603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6</v>
      </c>
      <c r="CP1447" t="s">
        <v>119</v>
      </c>
      <c r="CQ1447">
        <v>457</v>
      </c>
      <c r="CR1447">
        <v>0</v>
      </c>
      <c r="CW1447">
        <v>15516789</v>
      </c>
      <c r="CY1447">
        <v>1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 t="shared" si="194"/>
        <v>08/29/2020 06:16:18.379</v>
      </c>
      <c r="C1448" t="str">
        <f t="shared" si="170"/>
        <v>FFDFD3C0</v>
      </c>
      <c r="D1448" t="s">
        <v>121</v>
      </c>
      <c r="E1448">
        <v>10</v>
      </c>
      <c r="F1448">
        <v>1010</v>
      </c>
      <c r="G1448" t="s">
        <v>114</v>
      </c>
      <c r="J1448" t="s">
        <v>123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195"/>
        <v>06:16:21.602</v>
      </c>
      <c r="T1448" t="str">
        <f t="shared" si="196"/>
        <v>06:16:21.202</v>
      </c>
      <c r="U1448" t="str">
        <f t="shared" si="171"/>
        <v>A7E2E0</v>
      </c>
      <c r="V1448">
        <v>0</v>
      </c>
      <c r="W1448">
        <v>0</v>
      </c>
      <c r="X1448">
        <v>1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1019</v>
      </c>
      <c r="AJ1448">
        <v>39.021506000000002</v>
      </c>
      <c r="AK1448" t="s">
        <v>1020</v>
      </c>
      <c r="AL1448">
        <v>-87.550414000000004</v>
      </c>
      <c r="AM1448">
        <v>100</v>
      </c>
      <c r="AN1448">
        <v>2800</v>
      </c>
      <c r="AO1448" t="s">
        <v>118</v>
      </c>
      <c r="AP1448">
        <v>-94</v>
      </c>
      <c r="AQ1448">
        <v>-126</v>
      </c>
      <c r="AR1448">
        <v>0</v>
      </c>
      <c r="AZ1448">
        <v>4552</v>
      </c>
      <c r="BA1448">
        <v>1</v>
      </c>
      <c r="BB1448" t="str">
        <f t="shared" si="172"/>
        <v xml:space="preserve">N607SR  </v>
      </c>
      <c r="BC1448">
        <v>1</v>
      </c>
      <c r="BE1448">
        <v>0</v>
      </c>
      <c r="BF1448">
        <v>0</v>
      </c>
      <c r="BG1448">
        <v>0</v>
      </c>
      <c r="BH1448">
        <v>2600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 t="shared" si="197"/>
        <v>06:16:21.603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6</v>
      </c>
      <c r="CP1448" t="s">
        <v>119</v>
      </c>
      <c r="CQ1448">
        <v>465</v>
      </c>
      <c r="CR1448">
        <v>0</v>
      </c>
      <c r="CW1448">
        <v>4720860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 t="shared" si="194"/>
        <v>08/29/2020 06:16:18.379</v>
      </c>
      <c r="C1449" t="str">
        <f t="shared" si="170"/>
        <v>FFDFD3C0</v>
      </c>
      <c r="D1449" t="s">
        <v>939</v>
      </c>
      <c r="E1449">
        <v>10</v>
      </c>
      <c r="H1449">
        <v>79</v>
      </c>
      <c r="I1449" t="s">
        <v>940</v>
      </c>
      <c r="J1449" t="s">
        <v>130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195"/>
        <v>06:16:21.602</v>
      </c>
      <c r="T1449" t="str">
        <f t="shared" si="196"/>
        <v>06:16:21.202</v>
      </c>
      <c r="U1449" t="str">
        <f t="shared" si="171"/>
        <v>A7E2E0</v>
      </c>
      <c r="V1449">
        <v>0</v>
      </c>
      <c r="W1449">
        <v>0</v>
      </c>
      <c r="X1449">
        <v>1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1019</v>
      </c>
      <c r="AJ1449">
        <v>39.021506000000002</v>
      </c>
      <c r="AK1449" t="s">
        <v>1020</v>
      </c>
      <c r="AL1449">
        <v>-87.550414000000004</v>
      </c>
      <c r="AM1449">
        <v>100</v>
      </c>
      <c r="AN1449">
        <v>2800</v>
      </c>
      <c r="AO1449" t="s">
        <v>118</v>
      </c>
      <c r="AP1449">
        <v>-94</v>
      </c>
      <c r="AQ1449">
        <v>-126</v>
      </c>
      <c r="AR1449">
        <v>0</v>
      </c>
      <c r="AZ1449">
        <v>4552</v>
      </c>
      <c r="BA1449">
        <v>1</v>
      </c>
      <c r="BB1449" t="str">
        <f t="shared" si="172"/>
        <v xml:space="preserve">N607SR  </v>
      </c>
      <c r="BC1449">
        <v>1</v>
      </c>
      <c r="BE1449">
        <v>0</v>
      </c>
      <c r="BF1449">
        <v>0</v>
      </c>
      <c r="BG1449">
        <v>0</v>
      </c>
      <c r="BH1449">
        <v>2600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 t="shared" si="197"/>
        <v>06:16:21.603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6</v>
      </c>
      <c r="CP1449" t="s">
        <v>119</v>
      </c>
      <c r="CQ1449">
        <v>465</v>
      </c>
      <c r="CR1449">
        <v>0</v>
      </c>
      <c r="CW1449">
        <v>4720860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 t="shared" si="194"/>
        <v>08/29/2020 06:16:18.379</v>
      </c>
      <c r="C1450" t="str">
        <f t="shared" si="170"/>
        <v>FFDFD3C0</v>
      </c>
      <c r="D1450" t="s">
        <v>121</v>
      </c>
      <c r="E1450">
        <v>13</v>
      </c>
      <c r="F1450">
        <v>1013</v>
      </c>
      <c r="G1450" t="s">
        <v>122</v>
      </c>
      <c r="J1450" t="s">
        <v>123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195"/>
        <v>06:16:21.602</v>
      </c>
      <c r="T1450" t="str">
        <f t="shared" si="196"/>
        <v>06:16:21.202</v>
      </c>
      <c r="U1450" t="str">
        <f t="shared" si="171"/>
        <v>A7E2E0</v>
      </c>
      <c r="V1450">
        <v>0</v>
      </c>
      <c r="W1450">
        <v>0</v>
      </c>
      <c r="X1450">
        <v>1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1019</v>
      </c>
      <c r="AJ1450">
        <v>39.021506000000002</v>
      </c>
      <c r="AK1450" t="s">
        <v>1020</v>
      </c>
      <c r="AL1450">
        <v>-87.550414000000004</v>
      </c>
      <c r="AM1450">
        <v>100</v>
      </c>
      <c r="AN1450">
        <v>2800</v>
      </c>
      <c r="AO1450" t="s">
        <v>118</v>
      </c>
      <c r="AP1450">
        <v>-94</v>
      </c>
      <c r="AQ1450">
        <v>-126</v>
      </c>
      <c r="AR1450">
        <v>0</v>
      </c>
      <c r="AZ1450">
        <v>4552</v>
      </c>
      <c r="BA1450">
        <v>1</v>
      </c>
      <c r="BB1450" t="str">
        <f t="shared" si="172"/>
        <v xml:space="preserve">N607SR  </v>
      </c>
      <c r="BC1450">
        <v>1</v>
      </c>
      <c r="BE1450">
        <v>0</v>
      </c>
      <c r="BF1450">
        <v>0</v>
      </c>
      <c r="BG1450">
        <v>0</v>
      </c>
      <c r="BH1450">
        <v>2600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 t="shared" si="197"/>
        <v>06:16:21.603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6</v>
      </c>
      <c r="CP1450" t="s">
        <v>119</v>
      </c>
      <c r="CQ1450">
        <v>465</v>
      </c>
      <c r="CR1450">
        <v>0</v>
      </c>
      <c r="CW1450">
        <v>4720860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 t="shared" si="194"/>
        <v>08/29/2020 06:16:18.379</v>
      </c>
      <c r="C1451" t="str">
        <f t="shared" si="170"/>
        <v>FFDFD3C0</v>
      </c>
      <c r="D1451" t="s">
        <v>128</v>
      </c>
      <c r="E1451">
        <v>5</v>
      </c>
      <c r="H1451">
        <v>241</v>
      </c>
      <c r="I1451" t="s">
        <v>129</v>
      </c>
      <c r="J1451" t="s">
        <v>130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195"/>
        <v>06:16:21.602</v>
      </c>
      <c r="T1451" t="str">
        <f t="shared" si="196"/>
        <v>06:16:21.202</v>
      </c>
      <c r="U1451" t="str">
        <f t="shared" si="171"/>
        <v>A7E2E0</v>
      </c>
      <c r="V1451">
        <v>0</v>
      </c>
      <c r="W1451">
        <v>0</v>
      </c>
      <c r="X1451">
        <v>1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1019</v>
      </c>
      <c r="AJ1451">
        <v>39.021506000000002</v>
      </c>
      <c r="AK1451" t="s">
        <v>1020</v>
      </c>
      <c r="AL1451">
        <v>-87.550414000000004</v>
      </c>
      <c r="AM1451">
        <v>100</v>
      </c>
      <c r="AN1451">
        <v>2800</v>
      </c>
      <c r="AO1451" t="s">
        <v>118</v>
      </c>
      <c r="AP1451">
        <v>-94</v>
      </c>
      <c r="AQ1451">
        <v>-126</v>
      </c>
      <c r="AR1451">
        <v>0</v>
      </c>
      <c r="AZ1451">
        <v>4552</v>
      </c>
      <c r="BA1451">
        <v>1</v>
      </c>
      <c r="BB1451" t="str">
        <f t="shared" si="172"/>
        <v xml:space="preserve">N607SR  </v>
      </c>
      <c r="BC1451">
        <v>1</v>
      </c>
      <c r="BE1451">
        <v>0</v>
      </c>
      <c r="BF1451">
        <v>0</v>
      </c>
      <c r="BG1451">
        <v>0</v>
      </c>
      <c r="BH1451">
        <v>2600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 t="shared" si="197"/>
        <v>06:16:21.603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6</v>
      </c>
      <c r="CP1451" t="s">
        <v>119</v>
      </c>
      <c r="CQ1451">
        <v>465</v>
      </c>
      <c r="CR1451">
        <v>0</v>
      </c>
      <c r="CW1451">
        <v>4720860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 t="shared" si="194"/>
        <v>08/29/2020 06:16:18.379</v>
      </c>
      <c r="C1452" t="str">
        <f t="shared" si="170"/>
        <v>FFDFD3C0</v>
      </c>
      <c r="D1452" t="s">
        <v>113</v>
      </c>
      <c r="E1452">
        <v>5</v>
      </c>
      <c r="H1452">
        <v>163</v>
      </c>
      <c r="I1452" t="s">
        <v>114</v>
      </c>
      <c r="J1452" t="s">
        <v>115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195"/>
        <v>06:16:21.602</v>
      </c>
      <c r="T1452" t="str">
        <f t="shared" si="196"/>
        <v>06:16:21.202</v>
      </c>
      <c r="U1452" t="str">
        <f t="shared" si="171"/>
        <v>A7E2E0</v>
      </c>
      <c r="V1452">
        <v>0</v>
      </c>
      <c r="W1452">
        <v>0</v>
      </c>
      <c r="X1452">
        <v>1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1019</v>
      </c>
      <c r="AJ1452">
        <v>39.021506000000002</v>
      </c>
      <c r="AK1452" t="s">
        <v>1020</v>
      </c>
      <c r="AL1452">
        <v>-87.550414000000004</v>
      </c>
      <c r="AM1452">
        <v>100</v>
      </c>
      <c r="AN1452">
        <v>2800</v>
      </c>
      <c r="AO1452" t="s">
        <v>118</v>
      </c>
      <c r="AP1452">
        <v>-94</v>
      </c>
      <c r="AQ1452">
        <v>-126</v>
      </c>
      <c r="AR1452">
        <v>0</v>
      </c>
      <c r="AZ1452">
        <v>4552</v>
      </c>
      <c r="BA1452">
        <v>1</v>
      </c>
      <c r="BB1452" t="str">
        <f t="shared" si="172"/>
        <v xml:space="preserve">N607SR  </v>
      </c>
      <c r="BC1452">
        <v>1</v>
      </c>
      <c r="BE1452">
        <v>0</v>
      </c>
      <c r="BF1452">
        <v>0</v>
      </c>
      <c r="BG1452">
        <v>0</v>
      </c>
      <c r="BH1452">
        <v>2600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 t="shared" si="197"/>
        <v>06:16:21.603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6</v>
      </c>
      <c r="CP1452" t="s">
        <v>119</v>
      </c>
      <c r="CQ1452">
        <v>465</v>
      </c>
      <c r="CR1452">
        <v>0</v>
      </c>
      <c r="CW1452">
        <v>4720860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 t="shared" ref="A1453:A1458" si="198">"08/29/2020 06:16:19.359"</f>
        <v>08/29/2020 06:16:19.359</v>
      </c>
      <c r="C1453" t="str">
        <f t="shared" si="170"/>
        <v>FFDFD3C0</v>
      </c>
      <c r="D1453" t="s">
        <v>121</v>
      </c>
      <c r="E1453">
        <v>13</v>
      </c>
      <c r="F1453">
        <v>1013</v>
      </c>
      <c r="G1453" t="s">
        <v>122</v>
      </c>
      <c r="J1453" t="s">
        <v>123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ref="S1453:S1458" si="199">"06:16:22.570"</f>
        <v>06:16:22.570</v>
      </c>
      <c r="T1453" t="str">
        <f t="shared" ref="T1453:T1458" si="200">"06:16:22.170"</f>
        <v>06:16:22.170</v>
      </c>
      <c r="U1453" t="str">
        <f t="shared" si="171"/>
        <v>A7E2E0</v>
      </c>
      <c r="V1453">
        <v>0</v>
      </c>
      <c r="W1453">
        <v>0</v>
      </c>
      <c r="X1453">
        <v>1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1021</v>
      </c>
      <c r="AJ1453">
        <v>39.020927</v>
      </c>
      <c r="AK1453" t="s">
        <v>1022</v>
      </c>
      <c r="AL1453">
        <v>-87.551013999999995</v>
      </c>
      <c r="AM1453">
        <v>100</v>
      </c>
      <c r="AN1453">
        <v>2800</v>
      </c>
      <c r="AO1453" t="s">
        <v>118</v>
      </c>
      <c r="AP1453">
        <v>-94</v>
      </c>
      <c r="AQ1453">
        <v>-126</v>
      </c>
      <c r="AR1453">
        <v>0</v>
      </c>
      <c r="AZ1453">
        <v>4552</v>
      </c>
      <c r="BA1453">
        <v>1</v>
      </c>
      <c r="BB1453" t="str">
        <f t="shared" si="172"/>
        <v xml:space="preserve">N607SR  </v>
      </c>
      <c r="BC1453">
        <v>1</v>
      </c>
      <c r="BE1453">
        <v>0</v>
      </c>
      <c r="BF1453">
        <v>0</v>
      </c>
      <c r="BG1453">
        <v>0</v>
      </c>
      <c r="BH1453">
        <v>2600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 t="shared" ref="BW1453:BW1458" si="201">"06:16:22.576"</f>
        <v>06:16:22.576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6</v>
      </c>
      <c r="CP1453" t="s">
        <v>119</v>
      </c>
      <c r="CQ1453">
        <v>465</v>
      </c>
      <c r="CR1453">
        <v>0</v>
      </c>
      <c r="CW1453">
        <v>4720893</v>
      </c>
      <c r="CY1453">
        <v>1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 t="shared" si="198"/>
        <v>08/29/2020 06:16:19.359</v>
      </c>
      <c r="C1454" t="str">
        <f t="shared" si="170"/>
        <v>FFDFD3C0</v>
      </c>
      <c r="D1454" t="s">
        <v>113</v>
      </c>
      <c r="E1454">
        <v>5</v>
      </c>
      <c r="H1454">
        <v>163</v>
      </c>
      <c r="I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199"/>
        <v>06:16:22.570</v>
      </c>
      <c r="T1454" t="str">
        <f t="shared" si="200"/>
        <v>06:16:22.170</v>
      </c>
      <c r="U1454" t="str">
        <f t="shared" si="171"/>
        <v>A7E2E0</v>
      </c>
      <c r="V1454">
        <v>0</v>
      </c>
      <c r="W1454">
        <v>0</v>
      </c>
      <c r="X1454">
        <v>1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1021</v>
      </c>
      <c r="AJ1454">
        <v>39.020927</v>
      </c>
      <c r="AK1454" t="s">
        <v>1022</v>
      </c>
      <c r="AL1454">
        <v>-87.551013999999995</v>
      </c>
      <c r="AM1454">
        <v>100</v>
      </c>
      <c r="AN1454">
        <v>2800</v>
      </c>
      <c r="AO1454" t="s">
        <v>118</v>
      </c>
      <c r="AP1454">
        <v>-94</v>
      </c>
      <c r="AQ1454">
        <v>-126</v>
      </c>
      <c r="AR1454">
        <v>0</v>
      </c>
      <c r="AZ1454">
        <v>4552</v>
      </c>
      <c r="BA1454">
        <v>1</v>
      </c>
      <c r="BB1454" t="str">
        <f t="shared" si="172"/>
        <v xml:space="preserve">N607SR  </v>
      </c>
      <c r="BC1454">
        <v>1</v>
      </c>
      <c r="BE1454">
        <v>0</v>
      </c>
      <c r="BF1454">
        <v>0</v>
      </c>
      <c r="BG1454">
        <v>0</v>
      </c>
      <c r="BH1454">
        <v>2600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 t="shared" si="201"/>
        <v>06:16:22.576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6</v>
      </c>
      <c r="CP1454" t="s">
        <v>119</v>
      </c>
      <c r="CQ1454">
        <v>465</v>
      </c>
      <c r="CR1454">
        <v>0</v>
      </c>
      <c r="CW1454">
        <v>4720893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 t="shared" si="198"/>
        <v>08/29/2020 06:16:19.359</v>
      </c>
      <c r="C1455" t="str">
        <f t="shared" si="170"/>
        <v>FFDFD3C0</v>
      </c>
      <c r="D1455" t="s">
        <v>128</v>
      </c>
      <c r="E1455">
        <v>5</v>
      </c>
      <c r="H1455">
        <v>241</v>
      </c>
      <c r="I1455" t="s">
        <v>129</v>
      </c>
      <c r="J1455" t="s">
        <v>130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199"/>
        <v>06:16:22.570</v>
      </c>
      <c r="T1455" t="str">
        <f t="shared" si="200"/>
        <v>06:16:22.170</v>
      </c>
      <c r="U1455" t="str">
        <f t="shared" si="171"/>
        <v>A7E2E0</v>
      </c>
      <c r="V1455">
        <v>0</v>
      </c>
      <c r="W1455">
        <v>0</v>
      </c>
      <c r="X1455">
        <v>1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1021</v>
      </c>
      <c r="AJ1455">
        <v>39.020927</v>
      </c>
      <c r="AK1455" t="s">
        <v>1022</v>
      </c>
      <c r="AL1455">
        <v>-87.551013999999995</v>
      </c>
      <c r="AM1455">
        <v>100</v>
      </c>
      <c r="AN1455">
        <v>2800</v>
      </c>
      <c r="AO1455" t="s">
        <v>118</v>
      </c>
      <c r="AP1455">
        <v>-94</v>
      </c>
      <c r="AQ1455">
        <v>-126</v>
      </c>
      <c r="AR1455">
        <v>0</v>
      </c>
      <c r="AZ1455">
        <v>4552</v>
      </c>
      <c r="BA1455">
        <v>1</v>
      </c>
      <c r="BB1455" t="str">
        <f t="shared" si="172"/>
        <v xml:space="preserve">N607SR  </v>
      </c>
      <c r="BC1455">
        <v>1</v>
      </c>
      <c r="BE1455">
        <v>0</v>
      </c>
      <c r="BF1455">
        <v>0</v>
      </c>
      <c r="BG1455">
        <v>0</v>
      </c>
      <c r="BH1455">
        <v>2600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 t="shared" si="201"/>
        <v>06:16:22.576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119</v>
      </c>
      <c r="CQ1455">
        <v>465</v>
      </c>
      <c r="CR1455">
        <v>0</v>
      </c>
      <c r="CW1455">
        <v>4720893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 t="shared" si="198"/>
        <v>08/29/2020 06:16:19.359</v>
      </c>
      <c r="C1456" t="str">
        <f t="shared" si="170"/>
        <v>FFDFD3C0</v>
      </c>
      <c r="D1456" t="s">
        <v>121</v>
      </c>
      <c r="E1456">
        <v>11</v>
      </c>
      <c r="F1456">
        <v>1011</v>
      </c>
      <c r="G1456" t="s">
        <v>125</v>
      </c>
      <c r="J1456" t="s">
        <v>123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199"/>
        <v>06:16:22.570</v>
      </c>
      <c r="T1456" t="str">
        <f t="shared" si="200"/>
        <v>06:16:22.170</v>
      </c>
      <c r="U1456" t="str">
        <f t="shared" si="171"/>
        <v>A7E2E0</v>
      </c>
      <c r="V1456">
        <v>0</v>
      </c>
      <c r="W1456">
        <v>0</v>
      </c>
      <c r="X1456">
        <v>1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1021</v>
      </c>
      <c r="AJ1456">
        <v>39.020927</v>
      </c>
      <c r="AK1456" t="s">
        <v>1022</v>
      </c>
      <c r="AL1456">
        <v>-87.551013999999995</v>
      </c>
      <c r="AM1456">
        <v>100</v>
      </c>
      <c r="AN1456">
        <v>2800</v>
      </c>
      <c r="AO1456" t="s">
        <v>118</v>
      </c>
      <c r="AP1456">
        <v>-94</v>
      </c>
      <c r="AQ1456">
        <v>-126</v>
      </c>
      <c r="AR1456">
        <v>0</v>
      </c>
      <c r="AZ1456">
        <v>4552</v>
      </c>
      <c r="BA1456">
        <v>1</v>
      </c>
      <c r="BB1456" t="str">
        <f t="shared" si="172"/>
        <v xml:space="preserve">N607SR  </v>
      </c>
      <c r="BC1456">
        <v>1</v>
      </c>
      <c r="BE1456">
        <v>0</v>
      </c>
      <c r="BF1456">
        <v>0</v>
      </c>
      <c r="BG1456">
        <v>0</v>
      </c>
      <c r="BH1456">
        <v>2600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 t="shared" si="201"/>
        <v>06:16:22.576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6</v>
      </c>
      <c r="CP1456" t="s">
        <v>119</v>
      </c>
      <c r="CQ1456">
        <v>177</v>
      </c>
      <c r="CR1456">
        <v>2</v>
      </c>
      <c r="CW1456">
        <v>1644788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 t="shared" si="198"/>
        <v>08/29/2020 06:16:19.359</v>
      </c>
      <c r="C1457" t="str">
        <f t="shared" si="170"/>
        <v>FFDFD3C0</v>
      </c>
      <c r="D1457" t="s">
        <v>121</v>
      </c>
      <c r="E1457">
        <v>10</v>
      </c>
      <c r="F1457">
        <v>1010</v>
      </c>
      <c r="G1457" t="s">
        <v>114</v>
      </c>
      <c r="J1457" t="s">
        <v>123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199"/>
        <v>06:16:22.570</v>
      </c>
      <c r="T1457" t="str">
        <f t="shared" si="200"/>
        <v>06:16:22.170</v>
      </c>
      <c r="U1457" t="str">
        <f t="shared" si="171"/>
        <v>A7E2E0</v>
      </c>
      <c r="V1457">
        <v>0</v>
      </c>
      <c r="W1457">
        <v>0</v>
      </c>
      <c r="X1457">
        <v>1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1021</v>
      </c>
      <c r="AJ1457">
        <v>39.020927</v>
      </c>
      <c r="AK1457" t="s">
        <v>1022</v>
      </c>
      <c r="AL1457">
        <v>-87.551013999999995</v>
      </c>
      <c r="AM1457">
        <v>100</v>
      </c>
      <c r="AN1457">
        <v>2800</v>
      </c>
      <c r="AO1457" t="s">
        <v>118</v>
      </c>
      <c r="AP1457">
        <v>-94</v>
      </c>
      <c r="AQ1457">
        <v>-126</v>
      </c>
      <c r="AR1457">
        <v>0</v>
      </c>
      <c r="AZ1457">
        <v>4552</v>
      </c>
      <c r="BA1457">
        <v>1</v>
      </c>
      <c r="BB1457" t="str">
        <f t="shared" si="172"/>
        <v xml:space="preserve">N607SR  </v>
      </c>
      <c r="BC1457">
        <v>1</v>
      </c>
      <c r="BE1457">
        <v>0</v>
      </c>
      <c r="BF1457">
        <v>0</v>
      </c>
      <c r="BG1457">
        <v>0</v>
      </c>
      <c r="BH1457">
        <v>2600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 t="shared" si="201"/>
        <v>06:16:22.576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6</v>
      </c>
      <c r="CP1457" t="s">
        <v>119</v>
      </c>
      <c r="CQ1457">
        <v>465</v>
      </c>
      <c r="CR1457">
        <v>0</v>
      </c>
      <c r="CW1457">
        <v>4720893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 t="shared" si="198"/>
        <v>08/29/2020 06:16:19.359</v>
      </c>
      <c r="C1458" t="str">
        <f t="shared" si="170"/>
        <v>FFDFD3C0</v>
      </c>
      <c r="D1458" t="s">
        <v>939</v>
      </c>
      <c r="E1458">
        <v>10</v>
      </c>
      <c r="H1458">
        <v>79</v>
      </c>
      <c r="I1458" t="s">
        <v>940</v>
      </c>
      <c r="J1458" t="s">
        <v>130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199"/>
        <v>06:16:22.570</v>
      </c>
      <c r="T1458" t="str">
        <f t="shared" si="200"/>
        <v>06:16:22.170</v>
      </c>
      <c r="U1458" t="str">
        <f t="shared" si="171"/>
        <v>A7E2E0</v>
      </c>
      <c r="V1458">
        <v>0</v>
      </c>
      <c r="W1458">
        <v>0</v>
      </c>
      <c r="X1458">
        <v>1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1021</v>
      </c>
      <c r="AJ1458">
        <v>39.020927</v>
      </c>
      <c r="AK1458" t="s">
        <v>1022</v>
      </c>
      <c r="AL1458">
        <v>-87.551013999999995</v>
      </c>
      <c r="AM1458">
        <v>100</v>
      </c>
      <c r="AN1458">
        <v>2800</v>
      </c>
      <c r="AO1458" t="s">
        <v>118</v>
      </c>
      <c r="AP1458">
        <v>-94</v>
      </c>
      <c r="AQ1458">
        <v>-126</v>
      </c>
      <c r="AR1458">
        <v>0</v>
      </c>
      <c r="AZ1458">
        <v>4552</v>
      </c>
      <c r="BA1458">
        <v>1</v>
      </c>
      <c r="BB1458" t="str">
        <f t="shared" si="172"/>
        <v xml:space="preserve">N607SR  </v>
      </c>
      <c r="BC1458">
        <v>1</v>
      </c>
      <c r="BE1458">
        <v>0</v>
      </c>
      <c r="BF1458">
        <v>0</v>
      </c>
      <c r="BG1458">
        <v>0</v>
      </c>
      <c r="BH1458">
        <v>2600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 t="shared" si="201"/>
        <v>06:16:22.576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6</v>
      </c>
      <c r="CP1458" t="s">
        <v>119</v>
      </c>
      <c r="CQ1458">
        <v>465</v>
      </c>
      <c r="CR1458">
        <v>0</v>
      </c>
      <c r="CW1458">
        <v>4720893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 t="shared" ref="A1459:A1464" si="202">"08/29/2020 06:16:20.447"</f>
        <v>08/29/2020 06:16:20.447</v>
      </c>
      <c r="C1459" t="str">
        <f t="shared" si="170"/>
        <v>FFDFD3C0</v>
      </c>
      <c r="D1459" t="s">
        <v>113</v>
      </c>
      <c r="E1459">
        <v>5</v>
      </c>
      <c r="H1459">
        <v>163</v>
      </c>
      <c r="I1459" t="s">
        <v>114</v>
      </c>
      <c r="J1459" t="s">
        <v>115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ref="S1459:S1464" si="203">"06:16:23.641"</f>
        <v>06:16:23.641</v>
      </c>
      <c r="T1459" t="str">
        <f t="shared" ref="T1459:T1464" si="204">"06:16:23.241"</f>
        <v>06:16:23.241</v>
      </c>
      <c r="U1459" t="str">
        <f t="shared" si="171"/>
        <v>A7E2E0</v>
      </c>
      <c r="V1459">
        <v>0</v>
      </c>
      <c r="W1459">
        <v>0</v>
      </c>
      <c r="X1459">
        <v>1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1023</v>
      </c>
      <c r="AJ1459">
        <v>39.020262000000002</v>
      </c>
      <c r="AK1459" t="s">
        <v>1024</v>
      </c>
      <c r="AL1459">
        <v>-87.551571999999993</v>
      </c>
      <c r="AM1459">
        <v>100</v>
      </c>
      <c r="AN1459">
        <v>2800</v>
      </c>
      <c r="AO1459" t="s">
        <v>118</v>
      </c>
      <c r="AP1459">
        <v>-94</v>
      </c>
      <c r="AQ1459">
        <v>-126</v>
      </c>
      <c r="AR1459">
        <v>0</v>
      </c>
      <c r="AZ1459">
        <v>4552</v>
      </c>
      <c r="BA1459">
        <v>1</v>
      </c>
      <c r="BB1459" t="str">
        <f t="shared" si="172"/>
        <v xml:space="preserve">N607SR  </v>
      </c>
      <c r="BC1459">
        <v>1</v>
      </c>
      <c r="BE1459">
        <v>0</v>
      </c>
      <c r="BF1459">
        <v>0</v>
      </c>
      <c r="BG1459">
        <v>0</v>
      </c>
      <c r="BH1459">
        <v>2575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 t="shared" ref="BW1459:BW1464" si="205">"06:16:23.648"</f>
        <v>06:16:23.648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6</v>
      </c>
      <c r="CP1459" t="s">
        <v>119</v>
      </c>
      <c r="CQ1459">
        <v>465</v>
      </c>
      <c r="CR1459">
        <v>0</v>
      </c>
      <c r="CW1459">
        <v>4720929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 t="shared" si="202"/>
        <v>08/29/2020 06:16:20.447</v>
      </c>
      <c r="C1460" t="str">
        <f t="shared" si="170"/>
        <v>FFDFD3C0</v>
      </c>
      <c r="D1460" t="s">
        <v>128</v>
      </c>
      <c r="E1460">
        <v>5</v>
      </c>
      <c r="H1460">
        <v>241</v>
      </c>
      <c r="I1460" t="s">
        <v>129</v>
      </c>
      <c r="J1460" t="s">
        <v>130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203"/>
        <v>06:16:23.641</v>
      </c>
      <c r="T1460" t="str">
        <f t="shared" si="204"/>
        <v>06:16:23.241</v>
      </c>
      <c r="U1460" t="str">
        <f t="shared" si="171"/>
        <v>A7E2E0</v>
      </c>
      <c r="V1460">
        <v>0</v>
      </c>
      <c r="W1460">
        <v>0</v>
      </c>
      <c r="X1460">
        <v>1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1023</v>
      </c>
      <c r="AJ1460">
        <v>39.020262000000002</v>
      </c>
      <c r="AK1460" t="s">
        <v>1024</v>
      </c>
      <c r="AL1460">
        <v>-87.551571999999993</v>
      </c>
      <c r="AM1460">
        <v>100</v>
      </c>
      <c r="AN1460">
        <v>2800</v>
      </c>
      <c r="AO1460" t="s">
        <v>118</v>
      </c>
      <c r="AP1460">
        <v>-94</v>
      </c>
      <c r="AQ1460">
        <v>-126</v>
      </c>
      <c r="AR1460">
        <v>0</v>
      </c>
      <c r="AZ1460">
        <v>4552</v>
      </c>
      <c r="BA1460">
        <v>1</v>
      </c>
      <c r="BB1460" t="str">
        <f t="shared" si="172"/>
        <v xml:space="preserve">N607SR  </v>
      </c>
      <c r="BC1460">
        <v>1</v>
      </c>
      <c r="BE1460">
        <v>0</v>
      </c>
      <c r="BF1460">
        <v>0</v>
      </c>
      <c r="BG1460">
        <v>0</v>
      </c>
      <c r="BH1460">
        <v>2575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 t="shared" si="205"/>
        <v>06:16:23.648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6</v>
      </c>
      <c r="CP1460" t="s">
        <v>119</v>
      </c>
      <c r="CQ1460">
        <v>465</v>
      </c>
      <c r="CR1460">
        <v>0</v>
      </c>
      <c r="CW1460">
        <v>4720929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 t="shared" si="202"/>
        <v>08/29/2020 06:16:20.447</v>
      </c>
      <c r="C1461" t="str">
        <f t="shared" si="170"/>
        <v>FFDFD3C0</v>
      </c>
      <c r="D1461" t="s">
        <v>121</v>
      </c>
      <c r="E1461">
        <v>11</v>
      </c>
      <c r="F1461">
        <v>1011</v>
      </c>
      <c r="G1461" t="s">
        <v>125</v>
      </c>
      <c r="J1461" t="s">
        <v>123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203"/>
        <v>06:16:23.641</v>
      </c>
      <c r="T1461" t="str">
        <f t="shared" si="204"/>
        <v>06:16:23.241</v>
      </c>
      <c r="U1461" t="str">
        <f t="shared" si="171"/>
        <v>A7E2E0</v>
      </c>
      <c r="V1461">
        <v>0</v>
      </c>
      <c r="W1461">
        <v>0</v>
      </c>
      <c r="X1461">
        <v>1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1023</v>
      </c>
      <c r="AJ1461">
        <v>39.020262000000002</v>
      </c>
      <c r="AK1461" t="s">
        <v>1024</v>
      </c>
      <c r="AL1461">
        <v>-87.551571999999993</v>
      </c>
      <c r="AM1461">
        <v>100</v>
      </c>
      <c r="AN1461">
        <v>2800</v>
      </c>
      <c r="AO1461" t="s">
        <v>118</v>
      </c>
      <c r="AP1461">
        <v>-94</v>
      </c>
      <c r="AQ1461">
        <v>-126</v>
      </c>
      <c r="AR1461">
        <v>0</v>
      </c>
      <c r="AZ1461">
        <v>4552</v>
      </c>
      <c r="BA1461">
        <v>1</v>
      </c>
      <c r="BB1461" t="str">
        <f t="shared" si="172"/>
        <v xml:space="preserve">N607SR  </v>
      </c>
      <c r="BC1461">
        <v>1</v>
      </c>
      <c r="BE1461">
        <v>0</v>
      </c>
      <c r="BF1461">
        <v>0</v>
      </c>
      <c r="BG1461">
        <v>0</v>
      </c>
      <c r="BH1461">
        <v>2575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 t="shared" si="205"/>
        <v>06:16:23.648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6</v>
      </c>
      <c r="CP1461" t="s">
        <v>119</v>
      </c>
      <c r="CQ1461">
        <v>457</v>
      </c>
      <c r="CR1461">
        <v>0</v>
      </c>
      <c r="CW1461">
        <v>15516853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 t="shared" si="202"/>
        <v>08/29/2020 06:16:20.447</v>
      </c>
      <c r="C1462" t="str">
        <f t="shared" si="170"/>
        <v>FFDFD3C0</v>
      </c>
      <c r="D1462" t="s">
        <v>121</v>
      </c>
      <c r="E1462">
        <v>10</v>
      </c>
      <c r="F1462">
        <v>1010</v>
      </c>
      <c r="G1462" t="s">
        <v>114</v>
      </c>
      <c r="J1462" t="s">
        <v>123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203"/>
        <v>06:16:23.641</v>
      </c>
      <c r="T1462" t="str">
        <f t="shared" si="204"/>
        <v>06:16:23.241</v>
      </c>
      <c r="U1462" t="str">
        <f t="shared" si="171"/>
        <v>A7E2E0</v>
      </c>
      <c r="V1462">
        <v>0</v>
      </c>
      <c r="W1462">
        <v>0</v>
      </c>
      <c r="X1462">
        <v>1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1023</v>
      </c>
      <c r="AJ1462">
        <v>39.020262000000002</v>
      </c>
      <c r="AK1462" t="s">
        <v>1024</v>
      </c>
      <c r="AL1462">
        <v>-87.551571999999993</v>
      </c>
      <c r="AM1462">
        <v>100</v>
      </c>
      <c r="AN1462">
        <v>2800</v>
      </c>
      <c r="AO1462" t="s">
        <v>118</v>
      </c>
      <c r="AP1462">
        <v>-94</v>
      </c>
      <c r="AQ1462">
        <v>-126</v>
      </c>
      <c r="AR1462">
        <v>0</v>
      </c>
      <c r="AZ1462">
        <v>4552</v>
      </c>
      <c r="BA1462">
        <v>1</v>
      </c>
      <c r="BB1462" t="str">
        <f t="shared" si="172"/>
        <v xml:space="preserve">N607SR  </v>
      </c>
      <c r="BC1462">
        <v>1</v>
      </c>
      <c r="BE1462">
        <v>0</v>
      </c>
      <c r="BF1462">
        <v>0</v>
      </c>
      <c r="BG1462">
        <v>0</v>
      </c>
      <c r="BH1462">
        <v>2575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 t="shared" si="205"/>
        <v>06:16:23.648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6</v>
      </c>
      <c r="CP1462" t="s">
        <v>119</v>
      </c>
      <c r="CQ1462">
        <v>465</v>
      </c>
      <c r="CR1462">
        <v>0</v>
      </c>
      <c r="CW1462">
        <v>4720929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 t="shared" si="202"/>
        <v>08/29/2020 06:16:20.447</v>
      </c>
      <c r="C1463" t="str">
        <f t="shared" si="170"/>
        <v>FFDFD3C0</v>
      </c>
      <c r="D1463" t="s">
        <v>939</v>
      </c>
      <c r="E1463">
        <v>10</v>
      </c>
      <c r="H1463">
        <v>79</v>
      </c>
      <c r="I1463" t="s">
        <v>940</v>
      </c>
      <c r="J1463" t="s">
        <v>130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203"/>
        <v>06:16:23.641</v>
      </c>
      <c r="T1463" t="str">
        <f t="shared" si="204"/>
        <v>06:16:23.241</v>
      </c>
      <c r="U1463" t="str">
        <f t="shared" si="171"/>
        <v>A7E2E0</v>
      </c>
      <c r="V1463">
        <v>0</v>
      </c>
      <c r="W1463">
        <v>0</v>
      </c>
      <c r="X1463">
        <v>1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1023</v>
      </c>
      <c r="AJ1463">
        <v>39.020262000000002</v>
      </c>
      <c r="AK1463" t="s">
        <v>1024</v>
      </c>
      <c r="AL1463">
        <v>-87.551571999999993</v>
      </c>
      <c r="AM1463">
        <v>100</v>
      </c>
      <c r="AN1463">
        <v>2800</v>
      </c>
      <c r="AO1463" t="s">
        <v>118</v>
      </c>
      <c r="AP1463">
        <v>-94</v>
      </c>
      <c r="AQ1463">
        <v>-126</v>
      </c>
      <c r="AR1463">
        <v>0</v>
      </c>
      <c r="AZ1463">
        <v>4552</v>
      </c>
      <c r="BA1463">
        <v>1</v>
      </c>
      <c r="BB1463" t="str">
        <f t="shared" si="172"/>
        <v xml:space="preserve">N607SR  </v>
      </c>
      <c r="BC1463">
        <v>1</v>
      </c>
      <c r="BE1463">
        <v>0</v>
      </c>
      <c r="BF1463">
        <v>0</v>
      </c>
      <c r="BG1463">
        <v>0</v>
      </c>
      <c r="BH1463">
        <v>2575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 t="shared" si="205"/>
        <v>06:16:23.648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6</v>
      </c>
      <c r="CP1463" t="s">
        <v>119</v>
      </c>
      <c r="CQ1463">
        <v>465</v>
      </c>
      <c r="CR1463">
        <v>0</v>
      </c>
      <c r="CW1463">
        <v>4720929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 t="shared" si="202"/>
        <v>08/29/2020 06:16:20.447</v>
      </c>
      <c r="C1464" t="str">
        <f t="shared" si="170"/>
        <v>FFDFD3C0</v>
      </c>
      <c r="D1464" t="s">
        <v>121</v>
      </c>
      <c r="E1464">
        <v>13</v>
      </c>
      <c r="F1464">
        <v>1013</v>
      </c>
      <c r="G1464" t="s">
        <v>122</v>
      </c>
      <c r="J1464" t="s">
        <v>123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203"/>
        <v>06:16:23.641</v>
      </c>
      <c r="T1464" t="str">
        <f t="shared" si="204"/>
        <v>06:16:23.241</v>
      </c>
      <c r="U1464" t="str">
        <f t="shared" si="171"/>
        <v>A7E2E0</v>
      </c>
      <c r="V1464">
        <v>0</v>
      </c>
      <c r="W1464">
        <v>0</v>
      </c>
      <c r="X1464">
        <v>1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1023</v>
      </c>
      <c r="AJ1464">
        <v>39.020262000000002</v>
      </c>
      <c r="AK1464" t="s">
        <v>1024</v>
      </c>
      <c r="AL1464">
        <v>-87.551571999999993</v>
      </c>
      <c r="AM1464">
        <v>100</v>
      </c>
      <c r="AN1464">
        <v>2800</v>
      </c>
      <c r="AO1464" t="s">
        <v>118</v>
      </c>
      <c r="AP1464">
        <v>-94</v>
      </c>
      <c r="AQ1464">
        <v>-126</v>
      </c>
      <c r="AR1464">
        <v>0</v>
      </c>
      <c r="AZ1464">
        <v>4552</v>
      </c>
      <c r="BA1464">
        <v>1</v>
      </c>
      <c r="BB1464" t="str">
        <f t="shared" si="172"/>
        <v xml:space="preserve">N607SR  </v>
      </c>
      <c r="BC1464">
        <v>1</v>
      </c>
      <c r="BE1464">
        <v>0</v>
      </c>
      <c r="BF1464">
        <v>0</v>
      </c>
      <c r="BG1464">
        <v>0</v>
      </c>
      <c r="BH1464">
        <v>2575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 t="shared" si="205"/>
        <v>06:16:23.648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6</v>
      </c>
      <c r="CP1464" t="s">
        <v>119</v>
      </c>
      <c r="CQ1464">
        <v>465</v>
      </c>
      <c r="CR1464">
        <v>0</v>
      </c>
      <c r="CW1464">
        <v>4720929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 t="shared" ref="A1465:A1470" si="206">"08/29/2020 06:16:21.387"</f>
        <v>08/29/2020 06:16:21.387</v>
      </c>
      <c r="C1465" t="str">
        <f t="shared" si="170"/>
        <v>FFDFD3C0</v>
      </c>
      <c r="D1465" t="s">
        <v>121</v>
      </c>
      <c r="E1465">
        <v>13</v>
      </c>
      <c r="F1465">
        <v>1013</v>
      </c>
      <c r="G1465" t="s">
        <v>122</v>
      </c>
      <c r="J1465" t="s">
        <v>123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ref="S1465:S1470" si="207">"06:16:24.617"</f>
        <v>06:16:24.617</v>
      </c>
      <c r="T1465" t="str">
        <f t="shared" ref="T1465:T1470" si="208">"06:16:24.117"</f>
        <v>06:16:24.117</v>
      </c>
      <c r="U1465" t="str">
        <f t="shared" si="171"/>
        <v>A7E2E0</v>
      </c>
      <c r="V1465">
        <v>0</v>
      </c>
      <c r="W1465">
        <v>0</v>
      </c>
      <c r="X1465">
        <v>1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1025</v>
      </c>
      <c r="AJ1465">
        <v>39.019703999999997</v>
      </c>
      <c r="AK1465" t="s">
        <v>1026</v>
      </c>
      <c r="AL1465">
        <v>-87.552194999999998</v>
      </c>
      <c r="AM1465">
        <v>100</v>
      </c>
      <c r="AN1465">
        <v>2800</v>
      </c>
      <c r="AO1465" t="s">
        <v>118</v>
      </c>
      <c r="AP1465">
        <v>-94</v>
      </c>
      <c r="AQ1465">
        <v>-126</v>
      </c>
      <c r="AR1465">
        <v>0</v>
      </c>
      <c r="AZ1465">
        <v>4552</v>
      </c>
      <c r="BA1465">
        <v>1</v>
      </c>
      <c r="BB1465" t="str">
        <f t="shared" si="172"/>
        <v xml:space="preserve">N607SR  </v>
      </c>
      <c r="BC1465">
        <v>1</v>
      </c>
      <c r="BE1465">
        <v>0</v>
      </c>
      <c r="BF1465">
        <v>0</v>
      </c>
      <c r="BG1465">
        <v>0</v>
      </c>
      <c r="BH1465">
        <v>2575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 t="shared" ref="BW1465:BW1470" si="209">"06:16:24.619"</f>
        <v>06:16:24.619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6</v>
      </c>
      <c r="CP1465" t="s">
        <v>119</v>
      </c>
      <c r="CQ1465">
        <v>465</v>
      </c>
      <c r="CR1465">
        <v>0</v>
      </c>
      <c r="CW1465">
        <v>4720958</v>
      </c>
      <c r="CY1465">
        <v>1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 t="shared" si="206"/>
        <v>08/29/2020 06:16:21.387</v>
      </c>
      <c r="C1466" t="str">
        <f t="shared" si="170"/>
        <v>FFDFD3C0</v>
      </c>
      <c r="D1466" t="s">
        <v>113</v>
      </c>
      <c r="E1466">
        <v>5</v>
      </c>
      <c r="H1466">
        <v>163</v>
      </c>
      <c r="I1466" t="s">
        <v>114</v>
      </c>
      <c r="J1466" t="s">
        <v>115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207"/>
        <v>06:16:24.617</v>
      </c>
      <c r="T1466" t="str">
        <f t="shared" si="208"/>
        <v>06:16:24.117</v>
      </c>
      <c r="U1466" t="str">
        <f t="shared" si="171"/>
        <v>A7E2E0</v>
      </c>
      <c r="V1466">
        <v>0</v>
      </c>
      <c r="W1466">
        <v>0</v>
      </c>
      <c r="X1466">
        <v>1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1025</v>
      </c>
      <c r="AJ1466">
        <v>39.019703999999997</v>
      </c>
      <c r="AK1466" t="s">
        <v>1026</v>
      </c>
      <c r="AL1466">
        <v>-87.552194999999998</v>
      </c>
      <c r="AM1466">
        <v>100</v>
      </c>
      <c r="AN1466">
        <v>2800</v>
      </c>
      <c r="AO1466" t="s">
        <v>118</v>
      </c>
      <c r="AP1466">
        <v>-94</v>
      </c>
      <c r="AQ1466">
        <v>-126</v>
      </c>
      <c r="AR1466">
        <v>0</v>
      </c>
      <c r="AZ1466">
        <v>4552</v>
      </c>
      <c r="BA1466">
        <v>1</v>
      </c>
      <c r="BB1466" t="str">
        <f t="shared" si="172"/>
        <v xml:space="preserve">N607SR  </v>
      </c>
      <c r="BC1466">
        <v>1</v>
      </c>
      <c r="BE1466">
        <v>0</v>
      </c>
      <c r="BF1466">
        <v>0</v>
      </c>
      <c r="BG1466">
        <v>0</v>
      </c>
      <c r="BH1466">
        <v>2575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 t="shared" si="209"/>
        <v>06:16:24.619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465</v>
      </c>
      <c r="CR1466">
        <v>0</v>
      </c>
      <c r="CW1466">
        <v>4720958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 t="shared" si="206"/>
        <v>08/29/2020 06:16:21.387</v>
      </c>
      <c r="C1467" t="str">
        <f t="shared" si="170"/>
        <v>FFDFD3C0</v>
      </c>
      <c r="D1467" t="s">
        <v>939</v>
      </c>
      <c r="E1467">
        <v>10</v>
      </c>
      <c r="H1467">
        <v>79</v>
      </c>
      <c r="I1467" t="s">
        <v>940</v>
      </c>
      <c r="J1467" t="s">
        <v>130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207"/>
        <v>06:16:24.617</v>
      </c>
      <c r="T1467" t="str">
        <f t="shared" si="208"/>
        <v>06:16:24.117</v>
      </c>
      <c r="U1467" t="str">
        <f t="shared" si="171"/>
        <v>A7E2E0</v>
      </c>
      <c r="V1467">
        <v>0</v>
      </c>
      <c r="W1467">
        <v>0</v>
      </c>
      <c r="X1467">
        <v>1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1025</v>
      </c>
      <c r="AJ1467">
        <v>39.019703999999997</v>
      </c>
      <c r="AK1467" t="s">
        <v>1026</v>
      </c>
      <c r="AL1467">
        <v>-87.552194999999998</v>
      </c>
      <c r="AM1467">
        <v>100</v>
      </c>
      <c r="AN1467">
        <v>2800</v>
      </c>
      <c r="AO1467" t="s">
        <v>118</v>
      </c>
      <c r="AP1467">
        <v>-94</v>
      </c>
      <c r="AQ1467">
        <v>-126</v>
      </c>
      <c r="AR1467">
        <v>0</v>
      </c>
      <c r="AZ1467">
        <v>4552</v>
      </c>
      <c r="BA1467">
        <v>1</v>
      </c>
      <c r="BB1467" t="str">
        <f t="shared" si="172"/>
        <v xml:space="preserve">N607SR  </v>
      </c>
      <c r="BC1467">
        <v>1</v>
      </c>
      <c r="BE1467">
        <v>0</v>
      </c>
      <c r="BF1467">
        <v>0</v>
      </c>
      <c r="BG1467">
        <v>0</v>
      </c>
      <c r="BH1467">
        <v>2575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 t="shared" si="209"/>
        <v>06:16:24.619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465</v>
      </c>
      <c r="CR1467">
        <v>0</v>
      </c>
      <c r="CW1467">
        <v>4720958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 t="shared" si="206"/>
        <v>08/29/2020 06:16:21.387</v>
      </c>
      <c r="C1468" t="str">
        <f t="shared" si="170"/>
        <v>FFDFD3C0</v>
      </c>
      <c r="D1468" t="s">
        <v>128</v>
      </c>
      <c r="E1468">
        <v>5</v>
      </c>
      <c r="H1468">
        <v>241</v>
      </c>
      <c r="I1468" t="s">
        <v>129</v>
      </c>
      <c r="J1468" t="s">
        <v>130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207"/>
        <v>06:16:24.617</v>
      </c>
      <c r="T1468" t="str">
        <f t="shared" si="208"/>
        <v>06:16:24.117</v>
      </c>
      <c r="U1468" t="str">
        <f t="shared" si="171"/>
        <v>A7E2E0</v>
      </c>
      <c r="V1468">
        <v>0</v>
      </c>
      <c r="W1468">
        <v>0</v>
      </c>
      <c r="X1468">
        <v>1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1025</v>
      </c>
      <c r="AJ1468">
        <v>39.019703999999997</v>
      </c>
      <c r="AK1468" t="s">
        <v>1026</v>
      </c>
      <c r="AL1468">
        <v>-87.552194999999998</v>
      </c>
      <c r="AM1468">
        <v>100</v>
      </c>
      <c r="AN1468">
        <v>2800</v>
      </c>
      <c r="AO1468" t="s">
        <v>118</v>
      </c>
      <c r="AP1468">
        <v>-94</v>
      </c>
      <c r="AQ1468">
        <v>-126</v>
      </c>
      <c r="AR1468">
        <v>0</v>
      </c>
      <c r="AZ1468">
        <v>4552</v>
      </c>
      <c r="BA1468">
        <v>1</v>
      </c>
      <c r="BB1468" t="str">
        <f t="shared" si="172"/>
        <v xml:space="preserve">N607SR  </v>
      </c>
      <c r="BC1468">
        <v>1</v>
      </c>
      <c r="BE1468">
        <v>0</v>
      </c>
      <c r="BF1468">
        <v>0</v>
      </c>
      <c r="BG1468">
        <v>0</v>
      </c>
      <c r="BH1468">
        <v>2575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 t="shared" si="209"/>
        <v>06:16:24.619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465</v>
      </c>
      <c r="CR1468">
        <v>0</v>
      </c>
      <c r="CW1468">
        <v>4720958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si="206"/>
        <v>08/29/2020 06:16:21.387</v>
      </c>
      <c r="C1469" t="str">
        <f t="shared" si="170"/>
        <v>FFDFD3C0</v>
      </c>
      <c r="D1469" t="s">
        <v>121</v>
      </c>
      <c r="E1469">
        <v>10</v>
      </c>
      <c r="F1469">
        <v>1010</v>
      </c>
      <c r="G1469" t="s">
        <v>114</v>
      </c>
      <c r="J1469" t="s">
        <v>123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si="207"/>
        <v>06:16:24.617</v>
      </c>
      <c r="T1469" t="str">
        <f t="shared" si="208"/>
        <v>06:16:24.117</v>
      </c>
      <c r="U1469" t="str">
        <f t="shared" si="171"/>
        <v>A7E2E0</v>
      </c>
      <c r="V1469">
        <v>0</v>
      </c>
      <c r="W1469">
        <v>0</v>
      </c>
      <c r="X1469">
        <v>1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1025</v>
      </c>
      <c r="AJ1469">
        <v>39.019703999999997</v>
      </c>
      <c r="AK1469" t="s">
        <v>1026</v>
      </c>
      <c r="AL1469">
        <v>-87.552194999999998</v>
      </c>
      <c r="AM1469">
        <v>100</v>
      </c>
      <c r="AN1469">
        <v>2800</v>
      </c>
      <c r="AO1469" t="s">
        <v>118</v>
      </c>
      <c r="AP1469">
        <v>-94</v>
      </c>
      <c r="AQ1469">
        <v>-126</v>
      </c>
      <c r="AR1469">
        <v>0</v>
      </c>
      <c r="AZ1469">
        <v>4552</v>
      </c>
      <c r="BA1469">
        <v>1</v>
      </c>
      <c r="BB1469" t="str">
        <f t="shared" si="172"/>
        <v xml:space="preserve">N607SR  </v>
      </c>
      <c r="BC1469">
        <v>1</v>
      </c>
      <c r="BE1469">
        <v>0</v>
      </c>
      <c r="BF1469">
        <v>0</v>
      </c>
      <c r="BG1469">
        <v>0</v>
      </c>
      <c r="BH1469">
        <v>2575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 t="shared" si="209"/>
        <v>06:16:24.619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465</v>
      </c>
      <c r="CR1469">
        <v>0</v>
      </c>
      <c r="CW1469">
        <v>4720958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206"/>
        <v>08/29/2020 06:16:21.387</v>
      </c>
      <c r="C1470" t="str">
        <f t="shared" si="170"/>
        <v>FFDFD3C0</v>
      </c>
      <c r="D1470" t="s">
        <v>121</v>
      </c>
      <c r="E1470">
        <v>11</v>
      </c>
      <c r="F1470">
        <v>1011</v>
      </c>
      <c r="G1470" t="s">
        <v>125</v>
      </c>
      <c r="J1470" t="s">
        <v>123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207"/>
        <v>06:16:24.617</v>
      </c>
      <c r="T1470" t="str">
        <f t="shared" si="208"/>
        <v>06:16:24.117</v>
      </c>
      <c r="U1470" t="str">
        <f t="shared" si="171"/>
        <v>A7E2E0</v>
      </c>
      <c r="V1470">
        <v>0</v>
      </c>
      <c r="W1470">
        <v>0</v>
      </c>
      <c r="X1470">
        <v>1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1025</v>
      </c>
      <c r="AJ1470">
        <v>39.019703999999997</v>
      </c>
      <c r="AK1470" t="s">
        <v>1026</v>
      </c>
      <c r="AL1470">
        <v>-87.552194999999998</v>
      </c>
      <c r="AM1470">
        <v>100</v>
      </c>
      <c r="AN1470">
        <v>2800</v>
      </c>
      <c r="AO1470" t="s">
        <v>118</v>
      </c>
      <c r="AP1470">
        <v>-94</v>
      </c>
      <c r="AQ1470">
        <v>-126</v>
      </c>
      <c r="AR1470">
        <v>0</v>
      </c>
      <c r="AZ1470">
        <v>4552</v>
      </c>
      <c r="BA1470">
        <v>1</v>
      </c>
      <c r="BB1470" t="str">
        <f t="shared" si="172"/>
        <v xml:space="preserve">N607SR  </v>
      </c>
      <c r="BC1470">
        <v>1</v>
      </c>
      <c r="BE1470">
        <v>0</v>
      </c>
      <c r="BF1470">
        <v>0</v>
      </c>
      <c r="BG1470">
        <v>0</v>
      </c>
      <c r="BH1470">
        <v>2575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 t="shared" si="209"/>
        <v>06:16:24.619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457</v>
      </c>
      <c r="CR1470">
        <v>0</v>
      </c>
      <c r="CW1470">
        <v>15516881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ref="A1471:A1476" si="210">"08/29/2020 06:16:22.317"</f>
        <v>08/29/2020 06:16:22.317</v>
      </c>
      <c r="C1471" t="str">
        <f t="shared" si="170"/>
        <v>FFDFD3C0</v>
      </c>
      <c r="D1471" t="s">
        <v>939</v>
      </c>
      <c r="E1471">
        <v>10</v>
      </c>
      <c r="H1471">
        <v>79</v>
      </c>
      <c r="I1471" t="s">
        <v>940</v>
      </c>
      <c r="J1471" t="s">
        <v>130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ref="S1471:S1476" si="211">"06:16:25.555"</f>
        <v>06:16:25.555</v>
      </c>
      <c r="T1471" t="str">
        <f t="shared" ref="T1471:T1476" si="212">"06:16:25.155"</f>
        <v>06:16:25.155</v>
      </c>
      <c r="U1471" t="str">
        <f t="shared" si="171"/>
        <v>A7E2E0</v>
      </c>
      <c r="V1471">
        <v>0</v>
      </c>
      <c r="W1471">
        <v>0</v>
      </c>
      <c r="X1471">
        <v>1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1027</v>
      </c>
      <c r="AJ1471">
        <v>39.019188999999997</v>
      </c>
      <c r="AK1471" t="s">
        <v>1028</v>
      </c>
      <c r="AL1471">
        <v>-87.552667</v>
      </c>
      <c r="AM1471">
        <v>100</v>
      </c>
      <c r="AN1471">
        <v>2800</v>
      </c>
      <c r="AO1471" t="s">
        <v>118</v>
      </c>
      <c r="AP1471">
        <v>-94</v>
      </c>
      <c r="AQ1471">
        <v>-126</v>
      </c>
      <c r="AR1471">
        <v>0</v>
      </c>
      <c r="AZ1471">
        <v>4552</v>
      </c>
      <c r="BA1471">
        <v>1</v>
      </c>
      <c r="BB1471" t="str">
        <f t="shared" si="172"/>
        <v xml:space="preserve">N607SR  </v>
      </c>
      <c r="BC1471">
        <v>1</v>
      </c>
      <c r="BE1471">
        <v>0</v>
      </c>
      <c r="BF1471">
        <v>0</v>
      </c>
      <c r="BG1471">
        <v>0</v>
      </c>
      <c r="BH1471">
        <v>2575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 t="shared" ref="BW1471:BW1476" si="213">"06:16:25.558"</f>
        <v>06:16:25.558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465</v>
      </c>
      <c r="CR1471">
        <v>0</v>
      </c>
      <c r="CW1471">
        <v>4720982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si="210"/>
        <v>08/29/2020 06:16:22.317</v>
      </c>
      <c r="C1472" t="str">
        <f t="shared" si="170"/>
        <v>FFDFD3C0</v>
      </c>
      <c r="D1472" t="s">
        <v>113</v>
      </c>
      <c r="E1472">
        <v>5</v>
      </c>
      <c r="H1472">
        <v>163</v>
      </c>
      <c r="I1472" t="s">
        <v>114</v>
      </c>
      <c r="J1472" t="s">
        <v>115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211"/>
        <v>06:16:25.555</v>
      </c>
      <c r="T1472" t="str">
        <f t="shared" si="212"/>
        <v>06:16:25.155</v>
      </c>
      <c r="U1472" t="str">
        <f t="shared" si="171"/>
        <v>A7E2E0</v>
      </c>
      <c r="V1472">
        <v>0</v>
      </c>
      <c r="W1472">
        <v>0</v>
      </c>
      <c r="X1472">
        <v>1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1027</v>
      </c>
      <c r="AJ1472">
        <v>39.019188999999997</v>
      </c>
      <c r="AK1472" t="s">
        <v>1028</v>
      </c>
      <c r="AL1472">
        <v>-87.552667</v>
      </c>
      <c r="AM1472">
        <v>100</v>
      </c>
      <c r="AN1472">
        <v>2800</v>
      </c>
      <c r="AO1472" t="s">
        <v>118</v>
      </c>
      <c r="AP1472">
        <v>-94</v>
      </c>
      <c r="AQ1472">
        <v>-126</v>
      </c>
      <c r="AR1472">
        <v>0</v>
      </c>
      <c r="AZ1472">
        <v>4552</v>
      </c>
      <c r="BA1472">
        <v>1</v>
      </c>
      <c r="BB1472" t="str">
        <f t="shared" si="172"/>
        <v xml:space="preserve">N607SR  </v>
      </c>
      <c r="BC1472">
        <v>1</v>
      </c>
      <c r="BE1472">
        <v>0</v>
      </c>
      <c r="BF1472">
        <v>0</v>
      </c>
      <c r="BG1472">
        <v>0</v>
      </c>
      <c r="BH1472">
        <v>2575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 t="shared" si="213"/>
        <v>06:16:25.558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465</v>
      </c>
      <c r="CR1472">
        <v>0</v>
      </c>
      <c r="CW1472">
        <v>4720982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210"/>
        <v>08/29/2020 06:16:22.317</v>
      </c>
      <c r="C1473" t="str">
        <f t="shared" si="170"/>
        <v>FFDFD3C0</v>
      </c>
      <c r="D1473" t="s">
        <v>128</v>
      </c>
      <c r="E1473">
        <v>5</v>
      </c>
      <c r="H1473">
        <v>241</v>
      </c>
      <c r="I1473" t="s">
        <v>129</v>
      </c>
      <c r="J1473" t="s">
        <v>130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211"/>
        <v>06:16:25.555</v>
      </c>
      <c r="T1473" t="str">
        <f t="shared" si="212"/>
        <v>06:16:25.155</v>
      </c>
      <c r="U1473" t="str">
        <f t="shared" si="171"/>
        <v>A7E2E0</v>
      </c>
      <c r="V1473">
        <v>0</v>
      </c>
      <c r="W1473">
        <v>0</v>
      </c>
      <c r="X1473">
        <v>1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1027</v>
      </c>
      <c r="AJ1473">
        <v>39.019188999999997</v>
      </c>
      <c r="AK1473" t="s">
        <v>1028</v>
      </c>
      <c r="AL1473">
        <v>-87.552667</v>
      </c>
      <c r="AM1473">
        <v>100</v>
      </c>
      <c r="AN1473">
        <v>2800</v>
      </c>
      <c r="AO1473" t="s">
        <v>118</v>
      </c>
      <c r="AP1473">
        <v>-94</v>
      </c>
      <c r="AQ1473">
        <v>-126</v>
      </c>
      <c r="AR1473">
        <v>0</v>
      </c>
      <c r="AZ1473">
        <v>4552</v>
      </c>
      <c r="BA1473">
        <v>1</v>
      </c>
      <c r="BB1473" t="str">
        <f t="shared" si="172"/>
        <v xml:space="preserve">N607SR  </v>
      </c>
      <c r="BC1473">
        <v>1</v>
      </c>
      <c r="BE1473">
        <v>0</v>
      </c>
      <c r="BF1473">
        <v>0</v>
      </c>
      <c r="BG1473">
        <v>0</v>
      </c>
      <c r="BH1473">
        <v>2575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 t="shared" si="213"/>
        <v>06:16:25.558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465</v>
      </c>
      <c r="CR1473">
        <v>0</v>
      </c>
      <c r="CW1473">
        <v>4720982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210"/>
        <v>08/29/2020 06:16:22.317</v>
      </c>
      <c r="C1474" t="str">
        <f t="shared" ref="C1474:C1537" si="214">"FFDFD3C0"</f>
        <v>FFDFD3C0</v>
      </c>
      <c r="D1474" t="s">
        <v>121</v>
      </c>
      <c r="E1474">
        <v>10</v>
      </c>
      <c r="F1474">
        <v>1010</v>
      </c>
      <c r="G1474" t="s">
        <v>114</v>
      </c>
      <c r="J1474" t="s">
        <v>123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211"/>
        <v>06:16:25.555</v>
      </c>
      <c r="T1474" t="str">
        <f t="shared" si="212"/>
        <v>06:16:25.155</v>
      </c>
      <c r="U1474" t="str">
        <f t="shared" ref="U1474:U1537" si="215">"A7E2E0"</f>
        <v>A7E2E0</v>
      </c>
      <c r="V1474">
        <v>0</v>
      </c>
      <c r="W1474">
        <v>0</v>
      </c>
      <c r="X1474">
        <v>1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1027</v>
      </c>
      <c r="AJ1474">
        <v>39.019188999999997</v>
      </c>
      <c r="AK1474" t="s">
        <v>1028</v>
      </c>
      <c r="AL1474">
        <v>-87.552667</v>
      </c>
      <c r="AM1474">
        <v>100</v>
      </c>
      <c r="AN1474">
        <v>2800</v>
      </c>
      <c r="AO1474" t="s">
        <v>118</v>
      </c>
      <c r="AP1474">
        <v>-94</v>
      </c>
      <c r="AQ1474">
        <v>-126</v>
      </c>
      <c r="AR1474">
        <v>0</v>
      </c>
      <c r="AZ1474">
        <v>4552</v>
      </c>
      <c r="BA1474">
        <v>1</v>
      </c>
      <c r="BB1474" t="str">
        <f t="shared" ref="BB1474:BB1537" si="216">"N607SR  "</f>
        <v xml:space="preserve">N607SR  </v>
      </c>
      <c r="BC1474">
        <v>1</v>
      </c>
      <c r="BE1474">
        <v>0</v>
      </c>
      <c r="BF1474">
        <v>0</v>
      </c>
      <c r="BG1474">
        <v>0</v>
      </c>
      <c r="BH1474">
        <v>2575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 t="shared" si="213"/>
        <v>06:16:25.558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465</v>
      </c>
      <c r="CR1474">
        <v>0</v>
      </c>
      <c r="CW1474">
        <v>4720982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 t="shared" si="210"/>
        <v>08/29/2020 06:16:22.317</v>
      </c>
      <c r="C1475" t="str">
        <f t="shared" si="214"/>
        <v>FFDFD3C0</v>
      </c>
      <c r="D1475" t="s">
        <v>121</v>
      </c>
      <c r="E1475">
        <v>11</v>
      </c>
      <c r="F1475">
        <v>1011</v>
      </c>
      <c r="G1475" t="s">
        <v>125</v>
      </c>
      <c r="J1475" t="s">
        <v>123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211"/>
        <v>06:16:25.555</v>
      </c>
      <c r="T1475" t="str">
        <f t="shared" si="212"/>
        <v>06:16:25.155</v>
      </c>
      <c r="U1475" t="str">
        <f t="shared" si="215"/>
        <v>A7E2E0</v>
      </c>
      <c r="V1475">
        <v>0</v>
      </c>
      <c r="W1475">
        <v>0</v>
      </c>
      <c r="X1475">
        <v>1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1027</v>
      </c>
      <c r="AJ1475">
        <v>39.019188999999997</v>
      </c>
      <c r="AK1475" t="s">
        <v>1028</v>
      </c>
      <c r="AL1475">
        <v>-87.552667</v>
      </c>
      <c r="AM1475">
        <v>100</v>
      </c>
      <c r="AN1475">
        <v>2800</v>
      </c>
      <c r="AO1475" t="s">
        <v>118</v>
      </c>
      <c r="AP1475">
        <v>-94</v>
      </c>
      <c r="AQ1475">
        <v>-126</v>
      </c>
      <c r="AR1475">
        <v>0</v>
      </c>
      <c r="AZ1475">
        <v>4552</v>
      </c>
      <c r="BA1475">
        <v>1</v>
      </c>
      <c r="BB1475" t="str">
        <f t="shared" si="216"/>
        <v xml:space="preserve">N607SR  </v>
      </c>
      <c r="BC1475">
        <v>1</v>
      </c>
      <c r="BE1475">
        <v>0</v>
      </c>
      <c r="BF1475">
        <v>0</v>
      </c>
      <c r="BG1475">
        <v>0</v>
      </c>
      <c r="BH1475">
        <v>2575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 t="shared" si="213"/>
        <v>06:16:25.558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457</v>
      </c>
      <c r="CR1475">
        <v>0</v>
      </c>
      <c r="CW1475">
        <v>15516904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 t="shared" si="210"/>
        <v>08/29/2020 06:16:22.317</v>
      </c>
      <c r="C1476" t="str">
        <f t="shared" si="214"/>
        <v>FFDFD3C0</v>
      </c>
      <c r="D1476" t="s">
        <v>121</v>
      </c>
      <c r="E1476">
        <v>13</v>
      </c>
      <c r="F1476">
        <v>1013</v>
      </c>
      <c r="G1476" t="s">
        <v>122</v>
      </c>
      <c r="J1476" t="s">
        <v>123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211"/>
        <v>06:16:25.555</v>
      </c>
      <c r="T1476" t="str">
        <f t="shared" si="212"/>
        <v>06:16:25.155</v>
      </c>
      <c r="U1476" t="str">
        <f t="shared" si="215"/>
        <v>A7E2E0</v>
      </c>
      <c r="V1476">
        <v>0</v>
      </c>
      <c r="W1476">
        <v>0</v>
      </c>
      <c r="X1476">
        <v>1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1027</v>
      </c>
      <c r="AJ1476">
        <v>39.019188999999997</v>
      </c>
      <c r="AK1476" t="s">
        <v>1028</v>
      </c>
      <c r="AL1476">
        <v>-87.552667</v>
      </c>
      <c r="AM1476">
        <v>100</v>
      </c>
      <c r="AN1476">
        <v>2800</v>
      </c>
      <c r="AO1476" t="s">
        <v>118</v>
      </c>
      <c r="AP1476">
        <v>-94</v>
      </c>
      <c r="AQ1476">
        <v>-126</v>
      </c>
      <c r="AR1476">
        <v>0</v>
      </c>
      <c r="AZ1476">
        <v>4552</v>
      </c>
      <c r="BA1476">
        <v>1</v>
      </c>
      <c r="BB1476" t="str">
        <f t="shared" si="216"/>
        <v xml:space="preserve">N607SR  </v>
      </c>
      <c r="BC1476">
        <v>1</v>
      </c>
      <c r="BE1476">
        <v>0</v>
      </c>
      <c r="BF1476">
        <v>0</v>
      </c>
      <c r="BG1476">
        <v>0</v>
      </c>
      <c r="BH1476">
        <v>2575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 t="shared" si="213"/>
        <v>06:16:25.558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465</v>
      </c>
      <c r="CR1476">
        <v>0</v>
      </c>
      <c r="CW1476">
        <v>4720982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 t="shared" ref="A1477:A1482" si="217">"08/29/2020 06:16:23.413"</f>
        <v>08/29/2020 06:16:23.413</v>
      </c>
      <c r="C1477" t="str">
        <f t="shared" si="214"/>
        <v>FFDFD3C0</v>
      </c>
      <c r="D1477" t="s">
        <v>121</v>
      </c>
      <c r="E1477">
        <v>13</v>
      </c>
      <c r="F1477">
        <v>1013</v>
      </c>
      <c r="G1477" t="s">
        <v>122</v>
      </c>
      <c r="J1477" t="s">
        <v>123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ref="S1477:S1482" si="218">"06:16:26.648"</f>
        <v>06:16:26.648</v>
      </c>
      <c r="T1477" t="str">
        <f t="shared" ref="T1477:T1482" si="219">"06:16:26.148"</f>
        <v>06:16:26.148</v>
      </c>
      <c r="U1477" t="str">
        <f t="shared" si="215"/>
        <v>A7E2E0</v>
      </c>
      <c r="V1477">
        <v>0</v>
      </c>
      <c r="W1477">
        <v>0</v>
      </c>
      <c r="X1477">
        <v>1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1029</v>
      </c>
      <c r="AJ1477">
        <v>39.018545000000003</v>
      </c>
      <c r="AK1477" t="s">
        <v>1030</v>
      </c>
      <c r="AL1477">
        <v>-87.553289000000007</v>
      </c>
      <c r="AM1477">
        <v>100</v>
      </c>
      <c r="AN1477">
        <v>2800</v>
      </c>
      <c r="AO1477" t="s">
        <v>118</v>
      </c>
      <c r="AP1477">
        <v>-94</v>
      </c>
      <c r="AQ1477">
        <v>-126</v>
      </c>
      <c r="AR1477">
        <v>0</v>
      </c>
      <c r="AZ1477">
        <v>4552</v>
      </c>
      <c r="BA1477">
        <v>1</v>
      </c>
      <c r="BB1477" t="str">
        <f t="shared" si="216"/>
        <v xml:space="preserve">N607SR  </v>
      </c>
      <c r="BC1477">
        <v>1</v>
      </c>
      <c r="BE1477">
        <v>0</v>
      </c>
      <c r="BF1477">
        <v>0</v>
      </c>
      <c r="BG1477">
        <v>0</v>
      </c>
      <c r="BH1477">
        <v>2600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 t="shared" ref="BW1477:BW1482" si="220">"06:16:26.651"</f>
        <v>06:16:26.651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6</v>
      </c>
      <c r="CP1477" t="s">
        <v>119</v>
      </c>
      <c r="CQ1477">
        <v>465</v>
      </c>
      <c r="CR1477">
        <v>0</v>
      </c>
      <c r="CW1477">
        <v>4721016</v>
      </c>
      <c r="CY1477">
        <v>1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 t="shared" si="217"/>
        <v>08/29/2020 06:16:23.413</v>
      </c>
      <c r="C1478" t="str">
        <f t="shared" si="214"/>
        <v>FFDFD3C0</v>
      </c>
      <c r="D1478" t="s">
        <v>939</v>
      </c>
      <c r="E1478">
        <v>10</v>
      </c>
      <c r="H1478">
        <v>79</v>
      </c>
      <c r="I1478" t="s">
        <v>940</v>
      </c>
      <c r="J1478" t="s">
        <v>130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218"/>
        <v>06:16:26.648</v>
      </c>
      <c r="T1478" t="str">
        <f t="shared" si="219"/>
        <v>06:16:26.148</v>
      </c>
      <c r="U1478" t="str">
        <f t="shared" si="215"/>
        <v>A7E2E0</v>
      </c>
      <c r="V1478">
        <v>0</v>
      </c>
      <c r="W1478">
        <v>0</v>
      </c>
      <c r="X1478">
        <v>1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1029</v>
      </c>
      <c r="AJ1478">
        <v>39.018545000000003</v>
      </c>
      <c r="AK1478" t="s">
        <v>1030</v>
      </c>
      <c r="AL1478">
        <v>-87.553289000000007</v>
      </c>
      <c r="AM1478">
        <v>100</v>
      </c>
      <c r="AN1478">
        <v>2800</v>
      </c>
      <c r="AO1478" t="s">
        <v>118</v>
      </c>
      <c r="AP1478">
        <v>-94</v>
      </c>
      <c r="AQ1478">
        <v>-126</v>
      </c>
      <c r="AR1478">
        <v>0</v>
      </c>
      <c r="AZ1478">
        <v>4552</v>
      </c>
      <c r="BA1478">
        <v>1</v>
      </c>
      <c r="BB1478" t="str">
        <f t="shared" si="216"/>
        <v xml:space="preserve">N607SR  </v>
      </c>
      <c r="BC1478">
        <v>1</v>
      </c>
      <c r="BE1478">
        <v>0</v>
      </c>
      <c r="BF1478">
        <v>0</v>
      </c>
      <c r="BG1478">
        <v>0</v>
      </c>
      <c r="BH1478">
        <v>2600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 t="shared" si="220"/>
        <v>06:16:26.651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465</v>
      </c>
      <c r="CR1478">
        <v>0</v>
      </c>
      <c r="CW1478">
        <v>4721016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 t="shared" si="217"/>
        <v>08/29/2020 06:16:23.413</v>
      </c>
      <c r="C1479" t="str">
        <f t="shared" si="214"/>
        <v>FFDFD3C0</v>
      </c>
      <c r="D1479" t="s">
        <v>113</v>
      </c>
      <c r="E1479">
        <v>5</v>
      </c>
      <c r="H1479">
        <v>163</v>
      </c>
      <c r="I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218"/>
        <v>06:16:26.648</v>
      </c>
      <c r="T1479" t="str">
        <f t="shared" si="219"/>
        <v>06:16:26.148</v>
      </c>
      <c r="U1479" t="str">
        <f t="shared" si="215"/>
        <v>A7E2E0</v>
      </c>
      <c r="V1479">
        <v>0</v>
      </c>
      <c r="W1479">
        <v>0</v>
      </c>
      <c r="X1479">
        <v>1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1029</v>
      </c>
      <c r="AJ1479">
        <v>39.018545000000003</v>
      </c>
      <c r="AK1479" t="s">
        <v>1030</v>
      </c>
      <c r="AL1479">
        <v>-87.553289000000007</v>
      </c>
      <c r="AM1479">
        <v>100</v>
      </c>
      <c r="AN1479">
        <v>2800</v>
      </c>
      <c r="AO1479" t="s">
        <v>118</v>
      </c>
      <c r="AP1479">
        <v>-94</v>
      </c>
      <c r="AQ1479">
        <v>-126</v>
      </c>
      <c r="AR1479">
        <v>0</v>
      </c>
      <c r="AZ1479">
        <v>4552</v>
      </c>
      <c r="BA1479">
        <v>1</v>
      </c>
      <c r="BB1479" t="str">
        <f t="shared" si="216"/>
        <v xml:space="preserve">N607SR  </v>
      </c>
      <c r="BC1479">
        <v>1</v>
      </c>
      <c r="BE1479">
        <v>0</v>
      </c>
      <c r="BF1479">
        <v>0</v>
      </c>
      <c r="BG1479">
        <v>0</v>
      </c>
      <c r="BH1479">
        <v>2600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 t="shared" si="220"/>
        <v>06:16:26.651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465</v>
      </c>
      <c r="CR1479">
        <v>0</v>
      </c>
      <c r="CW1479">
        <v>4721016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 t="shared" si="217"/>
        <v>08/29/2020 06:16:23.413</v>
      </c>
      <c r="C1480" t="str">
        <f t="shared" si="214"/>
        <v>FFDFD3C0</v>
      </c>
      <c r="D1480" t="s">
        <v>121</v>
      </c>
      <c r="E1480">
        <v>10</v>
      </c>
      <c r="F1480">
        <v>1010</v>
      </c>
      <c r="G1480" t="s">
        <v>114</v>
      </c>
      <c r="J1480" t="s">
        <v>123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218"/>
        <v>06:16:26.648</v>
      </c>
      <c r="T1480" t="str">
        <f t="shared" si="219"/>
        <v>06:16:26.148</v>
      </c>
      <c r="U1480" t="str">
        <f t="shared" si="215"/>
        <v>A7E2E0</v>
      </c>
      <c r="V1480">
        <v>0</v>
      </c>
      <c r="W1480">
        <v>0</v>
      </c>
      <c r="X1480">
        <v>1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1029</v>
      </c>
      <c r="AJ1480">
        <v>39.018545000000003</v>
      </c>
      <c r="AK1480" t="s">
        <v>1030</v>
      </c>
      <c r="AL1480">
        <v>-87.553289000000007</v>
      </c>
      <c r="AM1480">
        <v>100</v>
      </c>
      <c r="AN1480">
        <v>2800</v>
      </c>
      <c r="AO1480" t="s">
        <v>118</v>
      </c>
      <c r="AP1480">
        <v>-94</v>
      </c>
      <c r="AQ1480">
        <v>-126</v>
      </c>
      <c r="AR1480">
        <v>0</v>
      </c>
      <c r="AZ1480">
        <v>4552</v>
      </c>
      <c r="BA1480">
        <v>1</v>
      </c>
      <c r="BB1480" t="str">
        <f t="shared" si="216"/>
        <v xml:space="preserve">N607SR  </v>
      </c>
      <c r="BC1480">
        <v>1</v>
      </c>
      <c r="BE1480">
        <v>0</v>
      </c>
      <c r="BF1480">
        <v>0</v>
      </c>
      <c r="BG1480">
        <v>0</v>
      </c>
      <c r="BH1480">
        <v>2600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 t="shared" si="220"/>
        <v>06:16:26.651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6</v>
      </c>
      <c r="CP1480" t="s">
        <v>119</v>
      </c>
      <c r="CQ1480">
        <v>465</v>
      </c>
      <c r="CR1480">
        <v>0</v>
      </c>
      <c r="CW1480">
        <v>4721016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 t="shared" si="217"/>
        <v>08/29/2020 06:16:23.413</v>
      </c>
      <c r="C1481" t="str">
        <f t="shared" si="214"/>
        <v>FFDFD3C0</v>
      </c>
      <c r="D1481" t="s">
        <v>128</v>
      </c>
      <c r="E1481">
        <v>5</v>
      </c>
      <c r="H1481">
        <v>241</v>
      </c>
      <c r="I1481" t="s">
        <v>129</v>
      </c>
      <c r="J1481" t="s">
        <v>130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218"/>
        <v>06:16:26.648</v>
      </c>
      <c r="T1481" t="str">
        <f t="shared" si="219"/>
        <v>06:16:26.148</v>
      </c>
      <c r="U1481" t="str">
        <f t="shared" si="215"/>
        <v>A7E2E0</v>
      </c>
      <c r="V1481">
        <v>0</v>
      </c>
      <c r="W1481">
        <v>0</v>
      </c>
      <c r="X1481">
        <v>1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1029</v>
      </c>
      <c r="AJ1481">
        <v>39.018545000000003</v>
      </c>
      <c r="AK1481" t="s">
        <v>1030</v>
      </c>
      <c r="AL1481">
        <v>-87.553289000000007</v>
      </c>
      <c r="AM1481">
        <v>100</v>
      </c>
      <c r="AN1481">
        <v>2800</v>
      </c>
      <c r="AO1481" t="s">
        <v>118</v>
      </c>
      <c r="AP1481">
        <v>-94</v>
      </c>
      <c r="AQ1481">
        <v>-126</v>
      </c>
      <c r="AR1481">
        <v>0</v>
      </c>
      <c r="AZ1481">
        <v>4552</v>
      </c>
      <c r="BA1481">
        <v>1</v>
      </c>
      <c r="BB1481" t="str">
        <f t="shared" si="216"/>
        <v xml:space="preserve">N607SR  </v>
      </c>
      <c r="BC1481">
        <v>1</v>
      </c>
      <c r="BE1481">
        <v>0</v>
      </c>
      <c r="BF1481">
        <v>0</v>
      </c>
      <c r="BG1481">
        <v>0</v>
      </c>
      <c r="BH1481">
        <v>2600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 t="shared" si="220"/>
        <v>06:16:26.651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6</v>
      </c>
      <c r="CP1481" t="s">
        <v>119</v>
      </c>
      <c r="CQ1481">
        <v>465</v>
      </c>
      <c r="CR1481">
        <v>0</v>
      </c>
      <c r="CW1481">
        <v>4721016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 t="shared" si="217"/>
        <v>08/29/2020 06:16:23.413</v>
      </c>
      <c r="C1482" t="str">
        <f t="shared" si="214"/>
        <v>FFDFD3C0</v>
      </c>
      <c r="D1482" t="s">
        <v>121</v>
      </c>
      <c r="E1482">
        <v>11</v>
      </c>
      <c r="F1482">
        <v>1011</v>
      </c>
      <c r="G1482" t="s">
        <v>125</v>
      </c>
      <c r="J1482" t="s">
        <v>123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218"/>
        <v>06:16:26.648</v>
      </c>
      <c r="T1482" t="str">
        <f t="shared" si="219"/>
        <v>06:16:26.148</v>
      </c>
      <c r="U1482" t="str">
        <f t="shared" si="215"/>
        <v>A7E2E0</v>
      </c>
      <c r="V1482">
        <v>0</v>
      </c>
      <c r="W1482">
        <v>0</v>
      </c>
      <c r="X1482">
        <v>1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1029</v>
      </c>
      <c r="AJ1482">
        <v>39.018545000000003</v>
      </c>
      <c r="AK1482" t="s">
        <v>1030</v>
      </c>
      <c r="AL1482">
        <v>-87.553289000000007</v>
      </c>
      <c r="AM1482">
        <v>100</v>
      </c>
      <c r="AN1482">
        <v>2800</v>
      </c>
      <c r="AO1482" t="s">
        <v>118</v>
      </c>
      <c r="AP1482">
        <v>-94</v>
      </c>
      <c r="AQ1482">
        <v>-126</v>
      </c>
      <c r="AR1482">
        <v>0</v>
      </c>
      <c r="AZ1482">
        <v>4552</v>
      </c>
      <c r="BA1482">
        <v>1</v>
      </c>
      <c r="BB1482" t="str">
        <f t="shared" si="216"/>
        <v xml:space="preserve">N607SR  </v>
      </c>
      <c r="BC1482">
        <v>1</v>
      </c>
      <c r="BE1482">
        <v>0</v>
      </c>
      <c r="BF1482">
        <v>0</v>
      </c>
      <c r="BG1482">
        <v>0</v>
      </c>
      <c r="BH1482">
        <v>2600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 t="shared" si="220"/>
        <v>06:16:26.651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177</v>
      </c>
      <c r="CR1482">
        <v>2</v>
      </c>
      <c r="CW1482">
        <v>1645415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 t="shared" ref="A1483:A1488" si="221">"08/29/2020 06:16:24.478"</f>
        <v>08/29/2020 06:16:24.478</v>
      </c>
      <c r="C1483" t="str">
        <f t="shared" si="214"/>
        <v>FFDFD3C0</v>
      </c>
      <c r="D1483" t="s">
        <v>121</v>
      </c>
      <c r="E1483">
        <v>13</v>
      </c>
      <c r="F1483">
        <v>1013</v>
      </c>
      <c r="G1483" t="s">
        <v>122</v>
      </c>
      <c r="J1483" t="s">
        <v>123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ref="S1483:S1488" si="222">"06:16:27.703"</f>
        <v>06:16:27.703</v>
      </c>
      <c r="U1483" t="str">
        <f t="shared" si="215"/>
        <v>A7E2E0</v>
      </c>
      <c r="V1483">
        <v>0</v>
      </c>
      <c r="W1483">
        <v>0</v>
      </c>
      <c r="X1483">
        <v>1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1031</v>
      </c>
      <c r="AJ1483">
        <v>39.017901000000002</v>
      </c>
      <c r="AK1483" t="s">
        <v>1032</v>
      </c>
      <c r="AL1483">
        <v>-87.553867999999994</v>
      </c>
      <c r="AM1483">
        <v>100</v>
      </c>
      <c r="AN1483">
        <v>2800</v>
      </c>
      <c r="AO1483" t="s">
        <v>118</v>
      </c>
      <c r="AP1483">
        <v>-94</v>
      </c>
      <c r="AQ1483">
        <v>-126</v>
      </c>
      <c r="AR1483">
        <v>64</v>
      </c>
      <c r="AZ1483">
        <v>4552</v>
      </c>
      <c r="BA1483">
        <v>1</v>
      </c>
      <c r="BB1483" t="str">
        <f t="shared" si="216"/>
        <v xml:space="preserve">N607SR  </v>
      </c>
      <c r="BC1483">
        <v>1</v>
      </c>
      <c r="BE1483">
        <v>0</v>
      </c>
      <c r="BF1483">
        <v>0</v>
      </c>
      <c r="BG1483">
        <v>0</v>
      </c>
      <c r="BH1483">
        <v>2600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 t="shared" ref="BW1483:BW1488" si="223">"06:16:27.704"</f>
        <v>06:16:27.704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6</v>
      </c>
      <c r="CP1483" t="s">
        <v>119</v>
      </c>
      <c r="CQ1483">
        <v>465</v>
      </c>
      <c r="CR1483">
        <v>0</v>
      </c>
      <c r="CW1483">
        <v>4721046</v>
      </c>
      <c r="CY1483">
        <v>1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 t="shared" si="221"/>
        <v>08/29/2020 06:16:24.478</v>
      </c>
      <c r="C1484" t="str">
        <f t="shared" si="214"/>
        <v>FFDFD3C0</v>
      </c>
      <c r="D1484" t="s">
        <v>939</v>
      </c>
      <c r="E1484">
        <v>10</v>
      </c>
      <c r="H1484">
        <v>79</v>
      </c>
      <c r="I1484" t="s">
        <v>940</v>
      </c>
      <c r="J1484" t="s">
        <v>130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222"/>
        <v>06:16:27.703</v>
      </c>
      <c r="U1484" t="str">
        <f t="shared" si="215"/>
        <v>A7E2E0</v>
      </c>
      <c r="V1484">
        <v>0</v>
      </c>
      <c r="W1484">
        <v>0</v>
      </c>
      <c r="X1484">
        <v>1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1031</v>
      </c>
      <c r="AJ1484">
        <v>39.017901000000002</v>
      </c>
      <c r="AK1484" t="s">
        <v>1032</v>
      </c>
      <c r="AL1484">
        <v>-87.553867999999994</v>
      </c>
      <c r="AM1484">
        <v>100</v>
      </c>
      <c r="AN1484">
        <v>2800</v>
      </c>
      <c r="AO1484" t="s">
        <v>118</v>
      </c>
      <c r="AP1484">
        <v>-94</v>
      </c>
      <c r="AQ1484">
        <v>-126</v>
      </c>
      <c r="AR1484">
        <v>64</v>
      </c>
      <c r="AZ1484">
        <v>4552</v>
      </c>
      <c r="BA1484">
        <v>1</v>
      </c>
      <c r="BB1484" t="str">
        <f t="shared" si="216"/>
        <v xml:space="preserve">N607SR  </v>
      </c>
      <c r="BC1484">
        <v>1</v>
      </c>
      <c r="BE1484">
        <v>0</v>
      </c>
      <c r="BF1484">
        <v>0</v>
      </c>
      <c r="BG1484">
        <v>0</v>
      </c>
      <c r="BH1484">
        <v>2600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 t="shared" si="223"/>
        <v>06:16:27.704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6</v>
      </c>
      <c r="CP1484" t="s">
        <v>119</v>
      </c>
      <c r="CQ1484">
        <v>465</v>
      </c>
      <c r="CR1484">
        <v>0</v>
      </c>
      <c r="CW1484">
        <v>4721046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 t="shared" si="221"/>
        <v>08/29/2020 06:16:24.478</v>
      </c>
      <c r="C1485" t="str">
        <f t="shared" si="214"/>
        <v>FFDFD3C0</v>
      </c>
      <c r="D1485" t="s">
        <v>121</v>
      </c>
      <c r="E1485">
        <v>10</v>
      </c>
      <c r="F1485">
        <v>1010</v>
      </c>
      <c r="G1485" t="s">
        <v>114</v>
      </c>
      <c r="J1485" t="s">
        <v>123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222"/>
        <v>06:16:27.703</v>
      </c>
      <c r="U1485" t="str">
        <f t="shared" si="215"/>
        <v>A7E2E0</v>
      </c>
      <c r="V1485">
        <v>0</v>
      </c>
      <c r="W1485">
        <v>0</v>
      </c>
      <c r="X1485">
        <v>1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1031</v>
      </c>
      <c r="AJ1485">
        <v>39.017901000000002</v>
      </c>
      <c r="AK1485" t="s">
        <v>1032</v>
      </c>
      <c r="AL1485">
        <v>-87.553867999999994</v>
      </c>
      <c r="AM1485">
        <v>100</v>
      </c>
      <c r="AN1485">
        <v>2800</v>
      </c>
      <c r="AO1485" t="s">
        <v>118</v>
      </c>
      <c r="AP1485">
        <v>-94</v>
      </c>
      <c r="AQ1485">
        <v>-126</v>
      </c>
      <c r="AR1485">
        <v>64</v>
      </c>
      <c r="AZ1485">
        <v>4552</v>
      </c>
      <c r="BA1485">
        <v>1</v>
      </c>
      <c r="BB1485" t="str">
        <f t="shared" si="216"/>
        <v xml:space="preserve">N607SR  </v>
      </c>
      <c r="BC1485">
        <v>1</v>
      </c>
      <c r="BE1485">
        <v>0</v>
      </c>
      <c r="BF1485">
        <v>0</v>
      </c>
      <c r="BG1485">
        <v>0</v>
      </c>
      <c r="BH1485">
        <v>2600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 t="shared" si="223"/>
        <v>06:16:27.704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465</v>
      </c>
      <c r="CR1485">
        <v>0</v>
      </c>
      <c r="CW1485">
        <v>4721046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 t="shared" si="221"/>
        <v>08/29/2020 06:16:24.478</v>
      </c>
      <c r="C1486" t="str">
        <f t="shared" si="214"/>
        <v>FFDFD3C0</v>
      </c>
      <c r="D1486" t="s">
        <v>113</v>
      </c>
      <c r="E1486">
        <v>5</v>
      </c>
      <c r="H1486">
        <v>163</v>
      </c>
      <c r="I1486" t="s">
        <v>114</v>
      </c>
      <c r="J1486" t="s">
        <v>115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222"/>
        <v>06:16:27.703</v>
      </c>
      <c r="U1486" t="str">
        <f t="shared" si="215"/>
        <v>A7E2E0</v>
      </c>
      <c r="V1486">
        <v>0</v>
      </c>
      <c r="W1486">
        <v>0</v>
      </c>
      <c r="X1486">
        <v>1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1031</v>
      </c>
      <c r="AJ1486">
        <v>39.017901000000002</v>
      </c>
      <c r="AK1486" t="s">
        <v>1032</v>
      </c>
      <c r="AL1486">
        <v>-87.553867999999994</v>
      </c>
      <c r="AM1486">
        <v>100</v>
      </c>
      <c r="AN1486">
        <v>2800</v>
      </c>
      <c r="AO1486" t="s">
        <v>118</v>
      </c>
      <c r="AP1486">
        <v>-94</v>
      </c>
      <c r="AQ1486">
        <v>-126</v>
      </c>
      <c r="AR1486">
        <v>64</v>
      </c>
      <c r="AZ1486">
        <v>4552</v>
      </c>
      <c r="BA1486">
        <v>1</v>
      </c>
      <c r="BB1486" t="str">
        <f t="shared" si="216"/>
        <v xml:space="preserve">N607SR  </v>
      </c>
      <c r="BC1486">
        <v>1</v>
      </c>
      <c r="BE1486">
        <v>0</v>
      </c>
      <c r="BF1486">
        <v>0</v>
      </c>
      <c r="BG1486">
        <v>0</v>
      </c>
      <c r="BH1486">
        <v>2600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 t="shared" si="223"/>
        <v>06:16:27.704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6</v>
      </c>
      <c r="CP1486" t="s">
        <v>119</v>
      </c>
      <c r="CQ1486">
        <v>465</v>
      </c>
      <c r="CR1486">
        <v>0</v>
      </c>
      <c r="CW1486">
        <v>4721046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 t="shared" si="221"/>
        <v>08/29/2020 06:16:24.478</v>
      </c>
      <c r="C1487" t="str">
        <f t="shared" si="214"/>
        <v>FFDFD3C0</v>
      </c>
      <c r="D1487" t="s">
        <v>128</v>
      </c>
      <c r="E1487">
        <v>5</v>
      </c>
      <c r="H1487">
        <v>241</v>
      </c>
      <c r="I1487" t="s">
        <v>129</v>
      </c>
      <c r="J1487" t="s">
        <v>130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222"/>
        <v>06:16:27.703</v>
      </c>
      <c r="U1487" t="str">
        <f t="shared" si="215"/>
        <v>A7E2E0</v>
      </c>
      <c r="V1487">
        <v>0</v>
      </c>
      <c r="W1487">
        <v>0</v>
      </c>
      <c r="X1487">
        <v>1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1031</v>
      </c>
      <c r="AJ1487">
        <v>39.017901000000002</v>
      </c>
      <c r="AK1487" t="s">
        <v>1032</v>
      </c>
      <c r="AL1487">
        <v>-87.553867999999994</v>
      </c>
      <c r="AM1487">
        <v>100</v>
      </c>
      <c r="AN1487">
        <v>2800</v>
      </c>
      <c r="AO1487" t="s">
        <v>118</v>
      </c>
      <c r="AP1487">
        <v>-94</v>
      </c>
      <c r="AQ1487">
        <v>-126</v>
      </c>
      <c r="AR1487">
        <v>64</v>
      </c>
      <c r="AZ1487">
        <v>4552</v>
      </c>
      <c r="BA1487">
        <v>1</v>
      </c>
      <c r="BB1487" t="str">
        <f t="shared" si="216"/>
        <v xml:space="preserve">N607SR  </v>
      </c>
      <c r="BC1487">
        <v>1</v>
      </c>
      <c r="BE1487">
        <v>0</v>
      </c>
      <c r="BF1487">
        <v>0</v>
      </c>
      <c r="BG1487">
        <v>0</v>
      </c>
      <c r="BH1487">
        <v>2600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 t="shared" si="223"/>
        <v>06:16:27.704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465</v>
      </c>
      <c r="CR1487">
        <v>0</v>
      </c>
      <c r="CW1487">
        <v>4721046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 t="shared" si="221"/>
        <v>08/29/2020 06:16:24.478</v>
      </c>
      <c r="C1488" t="str">
        <f t="shared" si="214"/>
        <v>FFDFD3C0</v>
      </c>
      <c r="D1488" t="s">
        <v>121</v>
      </c>
      <c r="E1488">
        <v>11</v>
      </c>
      <c r="F1488">
        <v>1011</v>
      </c>
      <c r="G1488" t="s">
        <v>125</v>
      </c>
      <c r="J1488" t="s">
        <v>123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222"/>
        <v>06:16:27.703</v>
      </c>
      <c r="T1488" t="str">
        <f>"06:16:27.303"</f>
        <v>06:16:27.303</v>
      </c>
      <c r="U1488" t="str">
        <f t="shared" si="215"/>
        <v>A7E2E0</v>
      </c>
      <c r="V1488">
        <v>0</v>
      </c>
      <c r="W1488">
        <v>0</v>
      </c>
      <c r="X1488">
        <v>1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1031</v>
      </c>
      <c r="AJ1488">
        <v>39.017901000000002</v>
      </c>
      <c r="AK1488" t="s">
        <v>1032</v>
      </c>
      <c r="AL1488">
        <v>-87.553867999999994</v>
      </c>
      <c r="AM1488">
        <v>100</v>
      </c>
      <c r="AN1488">
        <v>2800</v>
      </c>
      <c r="AO1488" t="s">
        <v>118</v>
      </c>
      <c r="AP1488">
        <v>-94</v>
      </c>
      <c r="AQ1488">
        <v>-126</v>
      </c>
      <c r="AR1488">
        <v>0</v>
      </c>
      <c r="AZ1488">
        <v>4552</v>
      </c>
      <c r="BA1488">
        <v>1</v>
      </c>
      <c r="BB1488" t="str">
        <f t="shared" si="216"/>
        <v xml:space="preserve">N607SR  </v>
      </c>
      <c r="BC1488">
        <v>1</v>
      </c>
      <c r="BE1488">
        <v>0</v>
      </c>
      <c r="BF1488">
        <v>0</v>
      </c>
      <c r="BG1488">
        <v>0</v>
      </c>
      <c r="BH1488">
        <v>2600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 t="shared" si="223"/>
        <v>06:16:27.704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457</v>
      </c>
      <c r="CR1488">
        <v>0</v>
      </c>
      <c r="CW1488">
        <v>15516956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 t="shared" ref="A1489:A1494" si="224">"08/29/2020 06:16:25.423"</f>
        <v>08/29/2020 06:16:25.423</v>
      </c>
      <c r="C1489" t="str">
        <f t="shared" si="214"/>
        <v>FFDFD3C0</v>
      </c>
      <c r="D1489" t="s">
        <v>121</v>
      </c>
      <c r="E1489">
        <v>11</v>
      </c>
      <c r="F1489">
        <v>1011</v>
      </c>
      <c r="G1489" t="s">
        <v>125</v>
      </c>
      <c r="J1489" t="s">
        <v>123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ref="S1489:S1494" si="225">"06:16:28.664"</f>
        <v>06:16:28.664</v>
      </c>
      <c r="T1489" t="str">
        <f>"06:16:28.264"</f>
        <v>06:16:28.264</v>
      </c>
      <c r="U1489" t="str">
        <f t="shared" si="215"/>
        <v>A7E2E0</v>
      </c>
      <c r="V1489">
        <v>0</v>
      </c>
      <c r="W1489">
        <v>0</v>
      </c>
      <c r="X1489">
        <v>1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1033</v>
      </c>
      <c r="AJ1489">
        <v>39.017386000000002</v>
      </c>
      <c r="AK1489" t="s">
        <v>1034</v>
      </c>
      <c r="AL1489">
        <v>-87.554383000000001</v>
      </c>
      <c r="AM1489">
        <v>100</v>
      </c>
      <c r="AN1489">
        <v>2800</v>
      </c>
      <c r="AO1489" t="s">
        <v>118</v>
      </c>
      <c r="AP1489">
        <v>-94</v>
      </c>
      <c r="AQ1489">
        <v>-126</v>
      </c>
      <c r="AR1489">
        <v>64</v>
      </c>
      <c r="AZ1489">
        <v>4552</v>
      </c>
      <c r="BA1489">
        <v>1</v>
      </c>
      <c r="BB1489" t="str">
        <f t="shared" si="216"/>
        <v xml:space="preserve">N607SR  </v>
      </c>
      <c r="BC1489">
        <v>1</v>
      </c>
      <c r="BE1489">
        <v>0</v>
      </c>
      <c r="BF1489">
        <v>0</v>
      </c>
      <c r="BG1489">
        <v>0</v>
      </c>
      <c r="BH1489">
        <v>2600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"06:16:28.664"</f>
        <v>06:16:28.664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457</v>
      </c>
      <c r="CR1489">
        <v>0</v>
      </c>
      <c r="CW1489">
        <v>15516983</v>
      </c>
      <c r="CY1489">
        <v>1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 t="shared" si="224"/>
        <v>08/29/2020 06:16:25.423</v>
      </c>
      <c r="C1490" t="str">
        <f t="shared" si="214"/>
        <v>FFDFD3C0</v>
      </c>
      <c r="D1490" t="s">
        <v>939</v>
      </c>
      <c r="E1490">
        <v>10</v>
      </c>
      <c r="H1490">
        <v>79</v>
      </c>
      <c r="I1490" t="s">
        <v>940</v>
      </c>
      <c r="J1490" t="s">
        <v>130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225"/>
        <v>06:16:28.664</v>
      </c>
      <c r="T1490" t="str">
        <f>"06:16:27.764"</f>
        <v>06:16:27.764</v>
      </c>
      <c r="U1490" t="str">
        <f t="shared" si="215"/>
        <v>A7E2E0</v>
      </c>
      <c r="V1490">
        <v>0</v>
      </c>
      <c r="W1490">
        <v>0</v>
      </c>
      <c r="X1490">
        <v>1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1033</v>
      </c>
      <c r="AJ1490">
        <v>39.017386000000002</v>
      </c>
      <c r="AK1490" t="s">
        <v>1034</v>
      </c>
      <c r="AL1490">
        <v>-87.554383000000001</v>
      </c>
      <c r="AM1490">
        <v>100</v>
      </c>
      <c r="AN1490">
        <v>2800</v>
      </c>
      <c r="AO1490" t="s">
        <v>118</v>
      </c>
      <c r="AP1490">
        <v>-94</v>
      </c>
      <c r="AQ1490">
        <v>-126</v>
      </c>
      <c r="AR1490">
        <v>64</v>
      </c>
      <c r="AZ1490">
        <v>4552</v>
      </c>
      <c r="BA1490">
        <v>1</v>
      </c>
      <c r="BB1490" t="str">
        <f t="shared" si="216"/>
        <v xml:space="preserve">N607SR  </v>
      </c>
      <c r="BC1490">
        <v>1</v>
      </c>
      <c r="BE1490">
        <v>0</v>
      </c>
      <c r="BF1490">
        <v>0</v>
      </c>
      <c r="BG1490">
        <v>0</v>
      </c>
      <c r="BH1490">
        <v>2600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"06:16:28.665"</f>
        <v>06:16:28.665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6</v>
      </c>
      <c r="CP1490" t="s">
        <v>119</v>
      </c>
      <c r="CQ1490">
        <v>465</v>
      </c>
      <c r="CR1490">
        <v>0</v>
      </c>
      <c r="CW1490">
        <v>4721076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 t="shared" si="224"/>
        <v>08/29/2020 06:16:25.423</v>
      </c>
      <c r="C1491" t="str">
        <f t="shared" si="214"/>
        <v>FFDFD3C0</v>
      </c>
      <c r="D1491" t="s">
        <v>121</v>
      </c>
      <c r="E1491">
        <v>13</v>
      </c>
      <c r="F1491">
        <v>1013</v>
      </c>
      <c r="G1491" t="s">
        <v>122</v>
      </c>
      <c r="J1491" t="s">
        <v>123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225"/>
        <v>06:16:28.664</v>
      </c>
      <c r="T1491" t="str">
        <f>"06:16:28.264"</f>
        <v>06:16:28.264</v>
      </c>
      <c r="U1491" t="str">
        <f t="shared" si="215"/>
        <v>A7E2E0</v>
      </c>
      <c r="V1491">
        <v>0</v>
      </c>
      <c r="W1491">
        <v>0</v>
      </c>
      <c r="X1491">
        <v>1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1033</v>
      </c>
      <c r="AJ1491">
        <v>39.017386000000002</v>
      </c>
      <c r="AK1491" t="s">
        <v>1034</v>
      </c>
      <c r="AL1491">
        <v>-87.554383000000001</v>
      </c>
      <c r="AM1491">
        <v>100</v>
      </c>
      <c r="AN1491">
        <v>2800</v>
      </c>
      <c r="AO1491" t="s">
        <v>118</v>
      </c>
      <c r="AP1491">
        <v>-94</v>
      </c>
      <c r="AQ1491">
        <v>-126</v>
      </c>
      <c r="AR1491">
        <v>64</v>
      </c>
      <c r="AZ1491">
        <v>4552</v>
      </c>
      <c r="BA1491">
        <v>1</v>
      </c>
      <c r="BB1491" t="str">
        <f t="shared" si="216"/>
        <v xml:space="preserve">N607SR  </v>
      </c>
      <c r="BC1491">
        <v>1</v>
      </c>
      <c r="BE1491">
        <v>0</v>
      </c>
      <c r="BF1491">
        <v>0</v>
      </c>
      <c r="BG1491">
        <v>0</v>
      </c>
      <c r="BH1491">
        <v>2600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"06:16:28.664"</f>
        <v>06:16:28.664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6</v>
      </c>
      <c r="CP1491" t="s">
        <v>119</v>
      </c>
      <c r="CQ1491">
        <v>457</v>
      </c>
      <c r="CR1491">
        <v>0</v>
      </c>
      <c r="CW1491">
        <v>15516983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 t="shared" si="224"/>
        <v>08/29/2020 06:16:25.423</v>
      </c>
      <c r="C1492" t="str">
        <f t="shared" si="214"/>
        <v>FFDFD3C0</v>
      </c>
      <c r="D1492" t="s">
        <v>121</v>
      </c>
      <c r="E1492">
        <v>10</v>
      </c>
      <c r="F1492">
        <v>1010</v>
      </c>
      <c r="G1492" t="s">
        <v>114</v>
      </c>
      <c r="J1492" t="s">
        <v>123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225"/>
        <v>06:16:28.664</v>
      </c>
      <c r="T1492" t="str">
        <f>"06:16:28.264"</f>
        <v>06:16:28.264</v>
      </c>
      <c r="U1492" t="str">
        <f t="shared" si="215"/>
        <v>A7E2E0</v>
      </c>
      <c r="V1492">
        <v>0</v>
      </c>
      <c r="W1492">
        <v>0</v>
      </c>
      <c r="X1492">
        <v>1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1033</v>
      </c>
      <c r="AJ1492">
        <v>39.017386000000002</v>
      </c>
      <c r="AK1492" t="s">
        <v>1034</v>
      </c>
      <c r="AL1492">
        <v>-87.554383000000001</v>
      </c>
      <c r="AM1492">
        <v>100</v>
      </c>
      <c r="AN1492">
        <v>2800</v>
      </c>
      <c r="AO1492" t="s">
        <v>118</v>
      </c>
      <c r="AP1492">
        <v>-94</v>
      </c>
      <c r="AQ1492">
        <v>-126</v>
      </c>
      <c r="AR1492">
        <v>64</v>
      </c>
      <c r="AZ1492">
        <v>4552</v>
      </c>
      <c r="BA1492">
        <v>1</v>
      </c>
      <c r="BB1492" t="str">
        <f t="shared" si="216"/>
        <v xml:space="preserve">N607SR  </v>
      </c>
      <c r="BC1492">
        <v>1</v>
      </c>
      <c r="BE1492">
        <v>0</v>
      </c>
      <c r="BF1492">
        <v>0</v>
      </c>
      <c r="BG1492">
        <v>0</v>
      </c>
      <c r="BH1492">
        <v>2600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"06:16:28.664"</f>
        <v>06:16:28.664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6</v>
      </c>
      <c r="CP1492" t="s">
        <v>119</v>
      </c>
      <c r="CQ1492">
        <v>457</v>
      </c>
      <c r="CR1492">
        <v>0</v>
      </c>
      <c r="CW1492">
        <v>15516983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 t="shared" si="224"/>
        <v>08/29/2020 06:16:25.423</v>
      </c>
      <c r="C1493" t="str">
        <f t="shared" si="214"/>
        <v>FFDFD3C0</v>
      </c>
      <c r="D1493" t="s">
        <v>113</v>
      </c>
      <c r="E1493">
        <v>5</v>
      </c>
      <c r="H1493">
        <v>163</v>
      </c>
      <c r="I1493" t="s">
        <v>114</v>
      </c>
      <c r="J1493" t="s">
        <v>115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225"/>
        <v>06:16:28.664</v>
      </c>
      <c r="T1493" t="str">
        <f>"06:16:28.264"</f>
        <v>06:16:28.264</v>
      </c>
      <c r="U1493" t="str">
        <f t="shared" si="215"/>
        <v>A7E2E0</v>
      </c>
      <c r="V1493">
        <v>0</v>
      </c>
      <c r="W1493">
        <v>0</v>
      </c>
      <c r="X1493">
        <v>1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1033</v>
      </c>
      <c r="AJ1493">
        <v>39.017386000000002</v>
      </c>
      <c r="AK1493" t="s">
        <v>1034</v>
      </c>
      <c r="AL1493">
        <v>-87.554383000000001</v>
      </c>
      <c r="AM1493">
        <v>100</v>
      </c>
      <c r="AN1493">
        <v>2800</v>
      </c>
      <c r="AO1493" t="s">
        <v>118</v>
      </c>
      <c r="AP1493">
        <v>-94</v>
      </c>
      <c r="AQ1493">
        <v>-126</v>
      </c>
      <c r="AR1493">
        <v>64</v>
      </c>
      <c r="AZ1493">
        <v>4552</v>
      </c>
      <c r="BA1493">
        <v>1</v>
      </c>
      <c r="BB1493" t="str">
        <f t="shared" si="216"/>
        <v xml:space="preserve">N607SR  </v>
      </c>
      <c r="BC1493">
        <v>1</v>
      </c>
      <c r="BE1493">
        <v>0</v>
      </c>
      <c r="BF1493">
        <v>0</v>
      </c>
      <c r="BG1493">
        <v>0</v>
      </c>
      <c r="BH1493">
        <v>2600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"06:16:28.664"</f>
        <v>06:16:28.664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6</v>
      </c>
      <c r="CP1493" t="s">
        <v>119</v>
      </c>
      <c r="CQ1493">
        <v>457</v>
      </c>
      <c r="CR1493">
        <v>0</v>
      </c>
      <c r="CW1493">
        <v>15516983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 t="shared" si="224"/>
        <v>08/29/2020 06:16:25.423</v>
      </c>
      <c r="C1494" t="str">
        <f t="shared" si="214"/>
        <v>FFDFD3C0</v>
      </c>
      <c r="D1494" t="s">
        <v>128</v>
      </c>
      <c r="E1494">
        <v>5</v>
      </c>
      <c r="H1494">
        <v>241</v>
      </c>
      <c r="I1494" t="s">
        <v>129</v>
      </c>
      <c r="J1494" t="s">
        <v>130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225"/>
        <v>06:16:28.664</v>
      </c>
      <c r="T1494" t="str">
        <f>"06:16:28.264"</f>
        <v>06:16:28.264</v>
      </c>
      <c r="U1494" t="str">
        <f t="shared" si="215"/>
        <v>A7E2E0</v>
      </c>
      <c r="V1494">
        <v>0</v>
      </c>
      <c r="W1494">
        <v>0</v>
      </c>
      <c r="X1494">
        <v>1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1033</v>
      </c>
      <c r="AJ1494">
        <v>39.017386000000002</v>
      </c>
      <c r="AK1494" t="s">
        <v>1034</v>
      </c>
      <c r="AL1494">
        <v>-87.554383000000001</v>
      </c>
      <c r="AM1494">
        <v>100</v>
      </c>
      <c r="AN1494">
        <v>2800</v>
      </c>
      <c r="AO1494" t="s">
        <v>118</v>
      </c>
      <c r="AP1494">
        <v>-94</v>
      </c>
      <c r="AQ1494">
        <v>-126</v>
      </c>
      <c r="AR1494">
        <v>64</v>
      </c>
      <c r="AZ1494">
        <v>4552</v>
      </c>
      <c r="BA1494">
        <v>1</v>
      </c>
      <c r="BB1494" t="str">
        <f t="shared" si="216"/>
        <v xml:space="preserve">N607SR  </v>
      </c>
      <c r="BC1494">
        <v>1</v>
      </c>
      <c r="BE1494">
        <v>0</v>
      </c>
      <c r="BF1494">
        <v>0</v>
      </c>
      <c r="BG1494">
        <v>0</v>
      </c>
      <c r="BH1494">
        <v>2600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"06:16:28.664"</f>
        <v>06:16:28.664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6</v>
      </c>
      <c r="CP1494" t="s">
        <v>119</v>
      </c>
      <c r="CQ1494">
        <v>457</v>
      </c>
      <c r="CR1494">
        <v>0</v>
      </c>
      <c r="CW1494">
        <v>15516983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 t="shared" ref="A1495:A1500" si="226">"08/29/2020 06:16:26.455"</f>
        <v>08/29/2020 06:16:26.455</v>
      </c>
      <c r="C1495" t="str">
        <f t="shared" si="214"/>
        <v>FFDFD3C0</v>
      </c>
      <c r="D1495" t="s">
        <v>121</v>
      </c>
      <c r="E1495">
        <v>13</v>
      </c>
      <c r="F1495">
        <v>1013</v>
      </c>
      <c r="G1495" t="s">
        <v>122</v>
      </c>
      <c r="J1495" t="s">
        <v>123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ref="S1495:S1500" si="227">"06:16:29.703"</f>
        <v>06:16:29.703</v>
      </c>
      <c r="T1495" t="str">
        <f t="shared" ref="T1495:T1500" si="228">"06:16:29.203"</f>
        <v>06:16:29.203</v>
      </c>
      <c r="U1495" t="str">
        <f t="shared" si="215"/>
        <v>A7E2E0</v>
      </c>
      <c r="V1495">
        <v>0</v>
      </c>
      <c r="W1495">
        <v>0</v>
      </c>
      <c r="X1495">
        <v>1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1035</v>
      </c>
      <c r="AJ1495">
        <v>39.016764000000002</v>
      </c>
      <c r="AK1495" t="s">
        <v>1036</v>
      </c>
      <c r="AL1495">
        <v>-87.555006000000006</v>
      </c>
      <c r="AM1495">
        <v>100</v>
      </c>
      <c r="AN1495">
        <v>2800</v>
      </c>
      <c r="AO1495" t="s">
        <v>118</v>
      </c>
      <c r="AP1495">
        <v>-94</v>
      </c>
      <c r="AQ1495">
        <v>-125</v>
      </c>
      <c r="AR1495">
        <v>64</v>
      </c>
      <c r="AZ1495">
        <v>4552</v>
      </c>
      <c r="BA1495">
        <v>1</v>
      </c>
      <c r="BB1495" t="str">
        <f t="shared" si="216"/>
        <v xml:space="preserve">N607SR  </v>
      </c>
      <c r="BC1495">
        <v>1</v>
      </c>
      <c r="BE1495">
        <v>0</v>
      </c>
      <c r="BF1495">
        <v>0</v>
      </c>
      <c r="BG1495">
        <v>0</v>
      </c>
      <c r="BH1495">
        <v>2600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 t="shared" ref="BW1495:BW1500" si="229">"06:16:29.707"</f>
        <v>06:16:29.707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6</v>
      </c>
      <c r="CP1495" t="s">
        <v>119</v>
      </c>
      <c r="CQ1495">
        <v>465</v>
      </c>
      <c r="CR1495">
        <v>0</v>
      </c>
      <c r="CW1495">
        <v>4721110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 t="shared" si="226"/>
        <v>08/29/2020 06:16:26.455</v>
      </c>
      <c r="C1496" t="str">
        <f t="shared" si="214"/>
        <v>FFDFD3C0</v>
      </c>
      <c r="D1496" t="s">
        <v>121</v>
      </c>
      <c r="E1496">
        <v>10</v>
      </c>
      <c r="F1496">
        <v>1010</v>
      </c>
      <c r="G1496" t="s">
        <v>114</v>
      </c>
      <c r="J1496" t="s">
        <v>123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227"/>
        <v>06:16:29.703</v>
      </c>
      <c r="T1496" t="str">
        <f t="shared" si="228"/>
        <v>06:16:29.203</v>
      </c>
      <c r="U1496" t="str">
        <f t="shared" si="215"/>
        <v>A7E2E0</v>
      </c>
      <c r="V1496">
        <v>0</v>
      </c>
      <c r="W1496">
        <v>0</v>
      </c>
      <c r="X1496">
        <v>1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1035</v>
      </c>
      <c r="AJ1496">
        <v>39.016764000000002</v>
      </c>
      <c r="AK1496" t="s">
        <v>1036</v>
      </c>
      <c r="AL1496">
        <v>-87.555006000000006</v>
      </c>
      <c r="AM1496">
        <v>100</v>
      </c>
      <c r="AN1496">
        <v>2800</v>
      </c>
      <c r="AO1496" t="s">
        <v>118</v>
      </c>
      <c r="AP1496">
        <v>-94</v>
      </c>
      <c r="AQ1496">
        <v>-125</v>
      </c>
      <c r="AR1496">
        <v>64</v>
      </c>
      <c r="AZ1496">
        <v>4552</v>
      </c>
      <c r="BA1496">
        <v>1</v>
      </c>
      <c r="BB1496" t="str">
        <f t="shared" si="216"/>
        <v xml:space="preserve">N607SR  </v>
      </c>
      <c r="BC1496">
        <v>1</v>
      </c>
      <c r="BE1496">
        <v>0</v>
      </c>
      <c r="BF1496">
        <v>0</v>
      </c>
      <c r="BG1496">
        <v>0</v>
      </c>
      <c r="BH1496">
        <v>2600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 t="shared" si="229"/>
        <v>06:16:29.707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6</v>
      </c>
      <c r="CP1496" t="s">
        <v>119</v>
      </c>
      <c r="CQ1496">
        <v>465</v>
      </c>
      <c r="CR1496">
        <v>0</v>
      </c>
      <c r="CW1496">
        <v>4721110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 t="shared" si="226"/>
        <v>08/29/2020 06:16:26.455</v>
      </c>
      <c r="C1497" t="str">
        <f t="shared" si="214"/>
        <v>FFDFD3C0</v>
      </c>
      <c r="D1497" t="s">
        <v>113</v>
      </c>
      <c r="E1497">
        <v>5</v>
      </c>
      <c r="H1497">
        <v>163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227"/>
        <v>06:16:29.703</v>
      </c>
      <c r="T1497" t="str">
        <f t="shared" si="228"/>
        <v>06:16:29.203</v>
      </c>
      <c r="U1497" t="str">
        <f t="shared" si="215"/>
        <v>A7E2E0</v>
      </c>
      <c r="V1497">
        <v>0</v>
      </c>
      <c r="W1497">
        <v>0</v>
      </c>
      <c r="X1497">
        <v>1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1035</v>
      </c>
      <c r="AJ1497">
        <v>39.016764000000002</v>
      </c>
      <c r="AK1497" t="s">
        <v>1036</v>
      </c>
      <c r="AL1497">
        <v>-87.555006000000006</v>
      </c>
      <c r="AM1497">
        <v>100</v>
      </c>
      <c r="AN1497">
        <v>2800</v>
      </c>
      <c r="AO1497" t="s">
        <v>118</v>
      </c>
      <c r="AP1497">
        <v>-94</v>
      </c>
      <c r="AQ1497">
        <v>-125</v>
      </c>
      <c r="AR1497">
        <v>64</v>
      </c>
      <c r="AZ1497">
        <v>4552</v>
      </c>
      <c r="BA1497">
        <v>1</v>
      </c>
      <c r="BB1497" t="str">
        <f t="shared" si="216"/>
        <v xml:space="preserve">N607SR  </v>
      </c>
      <c r="BC1497">
        <v>1</v>
      </c>
      <c r="BE1497">
        <v>0</v>
      </c>
      <c r="BF1497">
        <v>0</v>
      </c>
      <c r="BG1497">
        <v>0</v>
      </c>
      <c r="BH1497">
        <v>2600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 t="shared" si="229"/>
        <v>06:16:29.707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6</v>
      </c>
      <c r="CP1497" t="s">
        <v>119</v>
      </c>
      <c r="CQ1497">
        <v>465</v>
      </c>
      <c r="CR1497">
        <v>0</v>
      </c>
      <c r="CW1497">
        <v>4721110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 t="shared" si="226"/>
        <v>08/29/2020 06:16:26.455</v>
      </c>
      <c r="C1498" t="str">
        <f t="shared" si="214"/>
        <v>FFDFD3C0</v>
      </c>
      <c r="D1498" t="s">
        <v>128</v>
      </c>
      <c r="E1498">
        <v>5</v>
      </c>
      <c r="H1498">
        <v>241</v>
      </c>
      <c r="I1498" t="s">
        <v>129</v>
      </c>
      <c r="J1498" t="s">
        <v>130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227"/>
        <v>06:16:29.703</v>
      </c>
      <c r="T1498" t="str">
        <f t="shared" si="228"/>
        <v>06:16:29.203</v>
      </c>
      <c r="U1498" t="str">
        <f t="shared" si="215"/>
        <v>A7E2E0</v>
      </c>
      <c r="V1498">
        <v>0</v>
      </c>
      <c r="W1498">
        <v>0</v>
      </c>
      <c r="X1498">
        <v>1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1035</v>
      </c>
      <c r="AJ1498">
        <v>39.016764000000002</v>
      </c>
      <c r="AK1498" t="s">
        <v>1036</v>
      </c>
      <c r="AL1498">
        <v>-87.555006000000006</v>
      </c>
      <c r="AM1498">
        <v>100</v>
      </c>
      <c r="AN1498">
        <v>2800</v>
      </c>
      <c r="AO1498" t="s">
        <v>118</v>
      </c>
      <c r="AP1498">
        <v>-94</v>
      </c>
      <c r="AQ1498">
        <v>-125</v>
      </c>
      <c r="AR1498">
        <v>64</v>
      </c>
      <c r="AZ1498">
        <v>4552</v>
      </c>
      <c r="BA1498">
        <v>1</v>
      </c>
      <c r="BB1498" t="str">
        <f t="shared" si="216"/>
        <v xml:space="preserve">N607SR  </v>
      </c>
      <c r="BC1498">
        <v>1</v>
      </c>
      <c r="BE1498">
        <v>0</v>
      </c>
      <c r="BF1498">
        <v>0</v>
      </c>
      <c r="BG1498">
        <v>0</v>
      </c>
      <c r="BH1498">
        <v>2600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 t="shared" si="229"/>
        <v>06:16:29.707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6</v>
      </c>
      <c r="CP1498" t="s">
        <v>119</v>
      </c>
      <c r="CQ1498">
        <v>465</v>
      </c>
      <c r="CR1498">
        <v>0</v>
      </c>
      <c r="CW1498">
        <v>4721110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 t="shared" si="226"/>
        <v>08/29/2020 06:16:26.455</v>
      </c>
      <c r="C1499" t="str">
        <f t="shared" si="214"/>
        <v>FFDFD3C0</v>
      </c>
      <c r="D1499" t="s">
        <v>121</v>
      </c>
      <c r="E1499">
        <v>11</v>
      </c>
      <c r="F1499">
        <v>1011</v>
      </c>
      <c r="G1499" t="s">
        <v>125</v>
      </c>
      <c r="J1499" t="s">
        <v>123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227"/>
        <v>06:16:29.703</v>
      </c>
      <c r="T1499" t="str">
        <f t="shared" si="228"/>
        <v>06:16:29.203</v>
      </c>
      <c r="U1499" t="str">
        <f t="shared" si="215"/>
        <v>A7E2E0</v>
      </c>
      <c r="V1499">
        <v>0</v>
      </c>
      <c r="W1499">
        <v>0</v>
      </c>
      <c r="X1499">
        <v>1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1035</v>
      </c>
      <c r="AJ1499">
        <v>39.016764000000002</v>
      </c>
      <c r="AK1499" t="s">
        <v>1036</v>
      </c>
      <c r="AL1499">
        <v>-87.555006000000006</v>
      </c>
      <c r="AM1499">
        <v>100</v>
      </c>
      <c r="AN1499">
        <v>2800</v>
      </c>
      <c r="AO1499" t="s">
        <v>118</v>
      </c>
      <c r="AP1499">
        <v>-94</v>
      </c>
      <c r="AQ1499">
        <v>-125</v>
      </c>
      <c r="AR1499">
        <v>64</v>
      </c>
      <c r="AZ1499">
        <v>4552</v>
      </c>
      <c r="BA1499">
        <v>1</v>
      </c>
      <c r="BB1499" t="str">
        <f t="shared" si="216"/>
        <v xml:space="preserve">N607SR  </v>
      </c>
      <c r="BC1499">
        <v>1</v>
      </c>
      <c r="BE1499">
        <v>0</v>
      </c>
      <c r="BF1499">
        <v>0</v>
      </c>
      <c r="BG1499">
        <v>0</v>
      </c>
      <c r="BH1499">
        <v>2600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 t="shared" si="229"/>
        <v>06:16:29.707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6</v>
      </c>
      <c r="CP1499" t="s">
        <v>119</v>
      </c>
      <c r="CQ1499">
        <v>457</v>
      </c>
      <c r="CR1499">
        <v>0</v>
      </c>
      <c r="CW1499">
        <v>15517013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 t="shared" si="226"/>
        <v>08/29/2020 06:16:26.455</v>
      </c>
      <c r="C1500" t="str">
        <f t="shared" si="214"/>
        <v>FFDFD3C0</v>
      </c>
      <c r="D1500" t="s">
        <v>939</v>
      </c>
      <c r="E1500">
        <v>10</v>
      </c>
      <c r="H1500">
        <v>79</v>
      </c>
      <c r="I1500" t="s">
        <v>940</v>
      </c>
      <c r="J1500" t="s">
        <v>130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227"/>
        <v>06:16:29.703</v>
      </c>
      <c r="T1500" t="str">
        <f t="shared" si="228"/>
        <v>06:16:29.203</v>
      </c>
      <c r="U1500" t="str">
        <f t="shared" si="215"/>
        <v>A7E2E0</v>
      </c>
      <c r="V1500">
        <v>0</v>
      </c>
      <c r="W1500">
        <v>0</v>
      </c>
      <c r="X1500">
        <v>1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1035</v>
      </c>
      <c r="AJ1500">
        <v>39.016764000000002</v>
      </c>
      <c r="AK1500" t="s">
        <v>1036</v>
      </c>
      <c r="AL1500">
        <v>-87.555006000000006</v>
      </c>
      <c r="AM1500">
        <v>100</v>
      </c>
      <c r="AN1500">
        <v>2800</v>
      </c>
      <c r="AO1500" t="s">
        <v>118</v>
      </c>
      <c r="AP1500">
        <v>-94</v>
      </c>
      <c r="AQ1500">
        <v>-125</v>
      </c>
      <c r="AR1500">
        <v>64</v>
      </c>
      <c r="AZ1500">
        <v>4552</v>
      </c>
      <c r="BA1500">
        <v>1</v>
      </c>
      <c r="BB1500" t="str">
        <f t="shared" si="216"/>
        <v xml:space="preserve">N607SR  </v>
      </c>
      <c r="BC1500">
        <v>1</v>
      </c>
      <c r="BE1500">
        <v>0</v>
      </c>
      <c r="BF1500">
        <v>0</v>
      </c>
      <c r="BG1500">
        <v>0</v>
      </c>
      <c r="BH1500">
        <v>2600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 t="shared" si="229"/>
        <v>06:16:29.707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6</v>
      </c>
      <c r="CP1500" t="s">
        <v>119</v>
      </c>
      <c r="CQ1500">
        <v>465</v>
      </c>
      <c r="CR1500">
        <v>0</v>
      </c>
      <c r="CW1500">
        <v>4721110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 t="shared" ref="A1501:A1506" si="230">"08/29/2020 06:16:27.390"</f>
        <v>08/29/2020 06:16:27.390</v>
      </c>
      <c r="C1501" t="str">
        <f t="shared" si="214"/>
        <v>FFDFD3C0</v>
      </c>
      <c r="D1501" t="s">
        <v>113</v>
      </c>
      <c r="E1501">
        <v>5</v>
      </c>
      <c r="H1501">
        <v>163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ref="S1501:S1506" si="231">"06:16:30.617"</f>
        <v>06:16:30.617</v>
      </c>
      <c r="T1501" t="str">
        <f>"06:16:30.217"</f>
        <v>06:16:30.217</v>
      </c>
      <c r="U1501" t="str">
        <f t="shared" si="215"/>
        <v>A7E2E0</v>
      </c>
      <c r="V1501">
        <v>0</v>
      </c>
      <c r="W1501">
        <v>0</v>
      </c>
      <c r="X1501">
        <v>1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1037</v>
      </c>
      <c r="AJ1501">
        <v>39.016227999999998</v>
      </c>
      <c r="AK1501" t="s">
        <v>1038</v>
      </c>
      <c r="AL1501">
        <v>-87.555477999999994</v>
      </c>
      <c r="AM1501">
        <v>100</v>
      </c>
      <c r="AN1501">
        <v>2800</v>
      </c>
      <c r="AO1501" t="s">
        <v>118</v>
      </c>
      <c r="AP1501">
        <v>-94</v>
      </c>
      <c r="AQ1501">
        <v>-125</v>
      </c>
      <c r="AR1501">
        <v>64</v>
      </c>
      <c r="AZ1501">
        <v>4552</v>
      </c>
      <c r="BA1501">
        <v>1</v>
      </c>
      <c r="BB1501" t="str">
        <f t="shared" si="216"/>
        <v xml:space="preserve">N607SR  </v>
      </c>
      <c r="BC1501">
        <v>1</v>
      </c>
      <c r="BE1501">
        <v>0</v>
      </c>
      <c r="BF1501">
        <v>0</v>
      </c>
      <c r="BG1501">
        <v>0</v>
      </c>
      <c r="BH1501">
        <v>2600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"06:16:30.622"</f>
        <v>06:16:30.622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6</v>
      </c>
      <c r="CP1501" t="s">
        <v>119</v>
      </c>
      <c r="CQ1501">
        <v>457</v>
      </c>
      <c r="CR1501">
        <v>0</v>
      </c>
      <c r="CW1501">
        <v>15517040</v>
      </c>
      <c r="CY1501">
        <v>1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 t="shared" si="230"/>
        <v>08/29/2020 06:16:27.390</v>
      </c>
      <c r="C1502" t="str">
        <f t="shared" si="214"/>
        <v>FFDFD3C0</v>
      </c>
      <c r="D1502" t="s">
        <v>121</v>
      </c>
      <c r="E1502">
        <v>10</v>
      </c>
      <c r="F1502">
        <v>1010</v>
      </c>
      <c r="G1502" t="s">
        <v>114</v>
      </c>
      <c r="J1502" t="s">
        <v>123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231"/>
        <v>06:16:30.617</v>
      </c>
      <c r="U1502" t="str">
        <f t="shared" si="215"/>
        <v>A7E2E0</v>
      </c>
      <c r="V1502">
        <v>0</v>
      </c>
      <c r="W1502">
        <v>0</v>
      </c>
      <c r="X1502">
        <v>1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1037</v>
      </c>
      <c r="AJ1502">
        <v>39.016227999999998</v>
      </c>
      <c r="AK1502" t="s">
        <v>1038</v>
      </c>
      <c r="AL1502">
        <v>-87.555477999999994</v>
      </c>
      <c r="AM1502">
        <v>100</v>
      </c>
      <c r="AN1502">
        <v>2800</v>
      </c>
      <c r="AO1502" t="s">
        <v>118</v>
      </c>
      <c r="AP1502">
        <v>-94</v>
      </c>
      <c r="AQ1502">
        <v>-125</v>
      </c>
      <c r="AR1502">
        <v>0</v>
      </c>
      <c r="AZ1502">
        <v>4552</v>
      </c>
      <c r="BA1502">
        <v>1</v>
      </c>
      <c r="BB1502" t="str">
        <f t="shared" si="216"/>
        <v xml:space="preserve">N607SR  </v>
      </c>
      <c r="BC1502">
        <v>1</v>
      </c>
      <c r="BE1502">
        <v>0</v>
      </c>
      <c r="BF1502">
        <v>0</v>
      </c>
      <c r="BG1502">
        <v>0</v>
      </c>
      <c r="BH1502">
        <v>2600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"06:16:30.623"</f>
        <v>06:16:30.623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5</v>
      </c>
      <c r="CP1502" t="s">
        <v>119</v>
      </c>
      <c r="CQ1502">
        <v>528</v>
      </c>
      <c r="CR1502">
        <v>1</v>
      </c>
      <c r="CW1502">
        <v>13097775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 t="shared" si="230"/>
        <v>08/29/2020 06:16:27.390</v>
      </c>
      <c r="C1503" t="str">
        <f t="shared" si="214"/>
        <v>FFDFD3C0</v>
      </c>
      <c r="D1503" t="s">
        <v>121</v>
      </c>
      <c r="E1503">
        <v>13</v>
      </c>
      <c r="F1503">
        <v>1013</v>
      </c>
      <c r="G1503" t="s">
        <v>122</v>
      </c>
      <c r="J1503" t="s">
        <v>123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231"/>
        <v>06:16:30.617</v>
      </c>
      <c r="U1503" t="str">
        <f t="shared" si="215"/>
        <v>A7E2E0</v>
      </c>
      <c r="V1503">
        <v>0</v>
      </c>
      <c r="W1503">
        <v>0</v>
      </c>
      <c r="X1503">
        <v>1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1037</v>
      </c>
      <c r="AJ1503">
        <v>39.016227999999998</v>
      </c>
      <c r="AK1503" t="s">
        <v>1038</v>
      </c>
      <c r="AL1503">
        <v>-87.555477999999994</v>
      </c>
      <c r="AM1503">
        <v>100</v>
      </c>
      <c r="AN1503">
        <v>2800</v>
      </c>
      <c r="AO1503" t="s">
        <v>118</v>
      </c>
      <c r="AP1503">
        <v>-94</v>
      </c>
      <c r="AQ1503">
        <v>-125</v>
      </c>
      <c r="AR1503">
        <v>0</v>
      </c>
      <c r="AZ1503">
        <v>4552</v>
      </c>
      <c r="BA1503">
        <v>1</v>
      </c>
      <c r="BB1503" t="str">
        <f t="shared" si="216"/>
        <v xml:space="preserve">N607SR  </v>
      </c>
      <c r="BC1503">
        <v>1</v>
      </c>
      <c r="BE1503">
        <v>0</v>
      </c>
      <c r="BF1503">
        <v>0</v>
      </c>
      <c r="BG1503">
        <v>0</v>
      </c>
      <c r="BH1503">
        <v>2600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"06:16:30.623"</f>
        <v>06:16:30.623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5</v>
      </c>
      <c r="CP1503" t="s">
        <v>119</v>
      </c>
      <c r="CQ1503">
        <v>528</v>
      </c>
      <c r="CR1503">
        <v>1</v>
      </c>
      <c r="CW1503">
        <v>13097775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 t="shared" si="230"/>
        <v>08/29/2020 06:16:27.390</v>
      </c>
      <c r="C1504" t="str">
        <f t="shared" si="214"/>
        <v>FFDFD3C0</v>
      </c>
      <c r="D1504" t="s">
        <v>128</v>
      </c>
      <c r="E1504">
        <v>5</v>
      </c>
      <c r="H1504">
        <v>241</v>
      </c>
      <c r="I1504" t="s">
        <v>129</v>
      </c>
      <c r="J1504" t="s">
        <v>130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231"/>
        <v>06:16:30.617</v>
      </c>
      <c r="U1504" t="str">
        <f t="shared" si="215"/>
        <v>A7E2E0</v>
      </c>
      <c r="V1504">
        <v>0</v>
      </c>
      <c r="W1504">
        <v>0</v>
      </c>
      <c r="X1504">
        <v>1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1037</v>
      </c>
      <c r="AJ1504">
        <v>39.016227999999998</v>
      </c>
      <c r="AK1504" t="s">
        <v>1038</v>
      </c>
      <c r="AL1504">
        <v>-87.555477999999994</v>
      </c>
      <c r="AM1504">
        <v>100</v>
      </c>
      <c r="AN1504">
        <v>2800</v>
      </c>
      <c r="AO1504" t="s">
        <v>118</v>
      </c>
      <c r="AP1504">
        <v>-94</v>
      </c>
      <c r="AQ1504">
        <v>-125</v>
      </c>
      <c r="AR1504">
        <v>0</v>
      </c>
      <c r="AZ1504">
        <v>4552</v>
      </c>
      <c r="BA1504">
        <v>1</v>
      </c>
      <c r="BB1504" t="str">
        <f t="shared" si="216"/>
        <v xml:space="preserve">N607SR  </v>
      </c>
      <c r="BC1504">
        <v>1</v>
      </c>
      <c r="BE1504">
        <v>0</v>
      </c>
      <c r="BF1504">
        <v>0</v>
      </c>
      <c r="BG1504">
        <v>0</v>
      </c>
      <c r="BH1504">
        <v>2600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"06:16:30.623"</f>
        <v>06:16:30.623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5</v>
      </c>
      <c r="CP1504" t="s">
        <v>119</v>
      </c>
      <c r="CQ1504">
        <v>528</v>
      </c>
      <c r="CR1504">
        <v>1</v>
      </c>
      <c r="CW1504">
        <v>13097775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 t="shared" si="230"/>
        <v>08/29/2020 06:16:27.390</v>
      </c>
      <c r="C1505" t="str">
        <f t="shared" si="214"/>
        <v>FFDFD3C0</v>
      </c>
      <c r="D1505" t="s">
        <v>939</v>
      </c>
      <c r="E1505">
        <v>10</v>
      </c>
      <c r="H1505">
        <v>79</v>
      </c>
      <c r="I1505" t="s">
        <v>940</v>
      </c>
      <c r="J1505" t="s">
        <v>130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231"/>
        <v>06:16:30.617</v>
      </c>
      <c r="T1505" t="str">
        <f>"06:16:30.217"</f>
        <v>06:16:30.217</v>
      </c>
      <c r="U1505" t="str">
        <f t="shared" si="215"/>
        <v>A7E2E0</v>
      </c>
      <c r="V1505">
        <v>0</v>
      </c>
      <c r="W1505">
        <v>0</v>
      </c>
      <c r="X1505">
        <v>1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1037</v>
      </c>
      <c r="AJ1505">
        <v>39.016227999999998</v>
      </c>
      <c r="AK1505" t="s">
        <v>1038</v>
      </c>
      <c r="AL1505">
        <v>-87.555477999999994</v>
      </c>
      <c r="AM1505">
        <v>100</v>
      </c>
      <c r="AN1505">
        <v>2800</v>
      </c>
      <c r="AO1505" t="s">
        <v>118</v>
      </c>
      <c r="AP1505">
        <v>-94</v>
      </c>
      <c r="AQ1505">
        <v>-125</v>
      </c>
      <c r="AR1505">
        <v>64</v>
      </c>
      <c r="AZ1505">
        <v>4552</v>
      </c>
      <c r="BA1505">
        <v>1</v>
      </c>
      <c r="BB1505" t="str">
        <f t="shared" si="216"/>
        <v xml:space="preserve">N607SR  </v>
      </c>
      <c r="BC1505">
        <v>1</v>
      </c>
      <c r="BE1505">
        <v>0</v>
      </c>
      <c r="BF1505">
        <v>0</v>
      </c>
      <c r="BG1505">
        <v>0</v>
      </c>
      <c r="BH1505">
        <v>2600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"06:16:30.623"</f>
        <v>06:16:30.623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465</v>
      </c>
      <c r="CR1505">
        <v>0</v>
      </c>
      <c r="CW1505">
        <v>4721140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 t="shared" si="230"/>
        <v>08/29/2020 06:16:27.390</v>
      </c>
      <c r="C1506" t="str">
        <f t="shared" si="214"/>
        <v>FFDFD3C0</v>
      </c>
      <c r="D1506" t="s">
        <v>121</v>
      </c>
      <c r="E1506">
        <v>11</v>
      </c>
      <c r="F1506">
        <v>1011</v>
      </c>
      <c r="G1506" t="s">
        <v>125</v>
      </c>
      <c r="J1506" t="s">
        <v>123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231"/>
        <v>06:16:30.617</v>
      </c>
      <c r="U1506" t="str">
        <f t="shared" si="215"/>
        <v>A7E2E0</v>
      </c>
      <c r="V1506">
        <v>0</v>
      </c>
      <c r="W1506">
        <v>0</v>
      </c>
      <c r="X1506">
        <v>1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1037</v>
      </c>
      <c r="AJ1506">
        <v>39.016227999999998</v>
      </c>
      <c r="AK1506" t="s">
        <v>1038</v>
      </c>
      <c r="AL1506">
        <v>-87.555477999999994</v>
      </c>
      <c r="AM1506">
        <v>100</v>
      </c>
      <c r="AN1506">
        <v>2800</v>
      </c>
      <c r="AO1506" t="s">
        <v>118</v>
      </c>
      <c r="AP1506">
        <v>-94</v>
      </c>
      <c r="AQ1506">
        <v>-125</v>
      </c>
      <c r="AR1506">
        <v>0</v>
      </c>
      <c r="AZ1506">
        <v>4552</v>
      </c>
      <c r="BA1506">
        <v>1</v>
      </c>
      <c r="BB1506" t="str">
        <f t="shared" si="216"/>
        <v xml:space="preserve">N607SR  </v>
      </c>
      <c r="BC1506">
        <v>1</v>
      </c>
      <c r="BE1506">
        <v>0</v>
      </c>
      <c r="BF1506">
        <v>0</v>
      </c>
      <c r="BG1506">
        <v>0</v>
      </c>
      <c r="BH1506">
        <v>2600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"06:16:30.623"</f>
        <v>06:16:30.623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5</v>
      </c>
      <c r="CP1506" t="s">
        <v>119</v>
      </c>
      <c r="CQ1506">
        <v>528</v>
      </c>
      <c r="CR1506">
        <v>1</v>
      </c>
      <c r="CW1506">
        <v>13097775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 t="shared" ref="A1507:A1512" si="232">"08/29/2020 06:16:28.366"</f>
        <v>08/29/2020 06:16:28.366</v>
      </c>
      <c r="C1507" t="str">
        <f t="shared" si="214"/>
        <v>FFDFD3C0</v>
      </c>
      <c r="D1507" t="s">
        <v>121</v>
      </c>
      <c r="E1507">
        <v>11</v>
      </c>
      <c r="F1507">
        <v>1011</v>
      </c>
      <c r="G1507" t="s">
        <v>125</v>
      </c>
      <c r="J1507" t="s">
        <v>123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ref="S1507:S1512" si="233">"06:16:31.586"</f>
        <v>06:16:31.586</v>
      </c>
      <c r="T1507" t="str">
        <f t="shared" ref="T1507:T1512" si="234">"06:16:31.086"</f>
        <v>06:16:31.086</v>
      </c>
      <c r="U1507" t="str">
        <f t="shared" si="215"/>
        <v>A7E2E0</v>
      </c>
      <c r="V1507">
        <v>0</v>
      </c>
      <c r="W1507">
        <v>0</v>
      </c>
      <c r="X1507">
        <v>1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1039</v>
      </c>
      <c r="AJ1507">
        <v>39.015690999999997</v>
      </c>
      <c r="AK1507" t="s">
        <v>1040</v>
      </c>
      <c r="AL1507">
        <v>-87.556014000000005</v>
      </c>
      <c r="AM1507">
        <v>100</v>
      </c>
      <c r="AN1507">
        <v>2800</v>
      </c>
      <c r="AO1507" t="s">
        <v>118</v>
      </c>
      <c r="AP1507">
        <v>-94</v>
      </c>
      <c r="AQ1507">
        <v>-125</v>
      </c>
      <c r="AR1507">
        <v>64</v>
      </c>
      <c r="AZ1507">
        <v>4552</v>
      </c>
      <c r="BA1507">
        <v>1</v>
      </c>
      <c r="BB1507" t="str">
        <f t="shared" si="216"/>
        <v xml:space="preserve">N607SR  </v>
      </c>
      <c r="BC1507">
        <v>1</v>
      </c>
      <c r="BE1507">
        <v>0</v>
      </c>
      <c r="BF1507">
        <v>0</v>
      </c>
      <c r="BG1507">
        <v>0</v>
      </c>
      <c r="BH1507">
        <v>2600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"06:16:31.587"</f>
        <v>06:16:31.587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6</v>
      </c>
      <c r="CP1507" t="s">
        <v>119</v>
      </c>
      <c r="CQ1507">
        <v>457</v>
      </c>
      <c r="CR1507">
        <v>0</v>
      </c>
      <c r="CW1507">
        <v>15517064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 t="shared" si="232"/>
        <v>08/29/2020 06:16:28.366</v>
      </c>
      <c r="C1508" t="str">
        <f t="shared" si="214"/>
        <v>FFDFD3C0</v>
      </c>
      <c r="D1508" t="s">
        <v>121</v>
      </c>
      <c r="E1508">
        <v>13</v>
      </c>
      <c r="F1508">
        <v>1013</v>
      </c>
      <c r="G1508" t="s">
        <v>122</v>
      </c>
      <c r="J1508" t="s">
        <v>123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233"/>
        <v>06:16:31.586</v>
      </c>
      <c r="T1508" t="str">
        <f t="shared" si="234"/>
        <v>06:16:31.086</v>
      </c>
      <c r="U1508" t="str">
        <f t="shared" si="215"/>
        <v>A7E2E0</v>
      </c>
      <c r="V1508">
        <v>0</v>
      </c>
      <c r="W1508">
        <v>0</v>
      </c>
      <c r="X1508">
        <v>1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1039</v>
      </c>
      <c r="AJ1508">
        <v>39.015690999999997</v>
      </c>
      <c r="AK1508" t="s">
        <v>1040</v>
      </c>
      <c r="AL1508">
        <v>-87.556014000000005</v>
      </c>
      <c r="AM1508">
        <v>100</v>
      </c>
      <c r="AN1508">
        <v>2800</v>
      </c>
      <c r="AO1508" t="s">
        <v>118</v>
      </c>
      <c r="AP1508">
        <v>-94</v>
      </c>
      <c r="AQ1508">
        <v>-125</v>
      </c>
      <c r="AR1508">
        <v>64</v>
      </c>
      <c r="AZ1508">
        <v>4552</v>
      </c>
      <c r="BA1508">
        <v>1</v>
      </c>
      <c r="BB1508" t="str">
        <f t="shared" si="216"/>
        <v xml:space="preserve">N607SR  </v>
      </c>
      <c r="BC1508">
        <v>1</v>
      </c>
      <c r="BE1508">
        <v>0</v>
      </c>
      <c r="BF1508">
        <v>0</v>
      </c>
      <c r="BG1508">
        <v>0</v>
      </c>
      <c r="BH1508">
        <v>2600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"06:16:31.588"</f>
        <v>06:16:31.588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6</v>
      </c>
      <c r="CP1508" t="s">
        <v>119</v>
      </c>
      <c r="CQ1508">
        <v>465</v>
      </c>
      <c r="CR1508">
        <v>0</v>
      </c>
      <c r="CW1508">
        <v>4721164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 t="shared" si="232"/>
        <v>08/29/2020 06:16:28.366</v>
      </c>
      <c r="C1509" t="str">
        <f t="shared" si="214"/>
        <v>FFDFD3C0</v>
      </c>
      <c r="D1509" t="s">
        <v>121</v>
      </c>
      <c r="E1509">
        <v>10</v>
      </c>
      <c r="F1509">
        <v>1010</v>
      </c>
      <c r="G1509" t="s">
        <v>114</v>
      </c>
      <c r="J1509" t="s">
        <v>123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233"/>
        <v>06:16:31.586</v>
      </c>
      <c r="T1509" t="str">
        <f t="shared" si="234"/>
        <v>06:16:31.086</v>
      </c>
      <c r="U1509" t="str">
        <f t="shared" si="215"/>
        <v>A7E2E0</v>
      </c>
      <c r="V1509">
        <v>0</v>
      </c>
      <c r="W1509">
        <v>0</v>
      </c>
      <c r="X1509">
        <v>1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1039</v>
      </c>
      <c r="AJ1509">
        <v>39.015690999999997</v>
      </c>
      <c r="AK1509" t="s">
        <v>1040</v>
      </c>
      <c r="AL1509">
        <v>-87.556014000000005</v>
      </c>
      <c r="AM1509">
        <v>100</v>
      </c>
      <c r="AN1509">
        <v>2800</v>
      </c>
      <c r="AO1509" t="s">
        <v>118</v>
      </c>
      <c r="AP1509">
        <v>-94</v>
      </c>
      <c r="AQ1509">
        <v>-125</v>
      </c>
      <c r="AR1509">
        <v>64</v>
      </c>
      <c r="AZ1509">
        <v>4552</v>
      </c>
      <c r="BA1509">
        <v>1</v>
      </c>
      <c r="BB1509" t="str">
        <f t="shared" si="216"/>
        <v xml:space="preserve">N607SR  </v>
      </c>
      <c r="BC1509">
        <v>1</v>
      </c>
      <c r="BE1509">
        <v>0</v>
      </c>
      <c r="BF1509">
        <v>0</v>
      </c>
      <c r="BG1509">
        <v>0</v>
      </c>
      <c r="BH1509">
        <v>2600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"06:16:31.588"</f>
        <v>06:16:31.588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6</v>
      </c>
      <c r="CP1509" t="s">
        <v>119</v>
      </c>
      <c r="CQ1509">
        <v>465</v>
      </c>
      <c r="CR1509">
        <v>0</v>
      </c>
      <c r="CW1509">
        <v>4721164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 t="shared" si="232"/>
        <v>08/29/2020 06:16:28.366</v>
      </c>
      <c r="C1510" t="str">
        <f t="shared" si="214"/>
        <v>FFDFD3C0</v>
      </c>
      <c r="D1510" t="s">
        <v>113</v>
      </c>
      <c r="E1510">
        <v>5</v>
      </c>
      <c r="H1510">
        <v>163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233"/>
        <v>06:16:31.586</v>
      </c>
      <c r="T1510" t="str">
        <f t="shared" si="234"/>
        <v>06:16:31.086</v>
      </c>
      <c r="U1510" t="str">
        <f t="shared" si="215"/>
        <v>A7E2E0</v>
      </c>
      <c r="V1510">
        <v>0</v>
      </c>
      <c r="W1510">
        <v>0</v>
      </c>
      <c r="X1510">
        <v>1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1039</v>
      </c>
      <c r="AJ1510">
        <v>39.015690999999997</v>
      </c>
      <c r="AK1510" t="s">
        <v>1040</v>
      </c>
      <c r="AL1510">
        <v>-87.556014000000005</v>
      </c>
      <c r="AM1510">
        <v>100</v>
      </c>
      <c r="AN1510">
        <v>2800</v>
      </c>
      <c r="AO1510" t="s">
        <v>118</v>
      </c>
      <c r="AP1510">
        <v>-94</v>
      </c>
      <c r="AQ1510">
        <v>-125</v>
      </c>
      <c r="AR1510">
        <v>64</v>
      </c>
      <c r="AZ1510">
        <v>4552</v>
      </c>
      <c r="BA1510">
        <v>1</v>
      </c>
      <c r="BB1510" t="str">
        <f t="shared" si="216"/>
        <v xml:space="preserve">N607SR  </v>
      </c>
      <c r="BC1510">
        <v>1</v>
      </c>
      <c r="BE1510">
        <v>0</v>
      </c>
      <c r="BF1510">
        <v>0</v>
      </c>
      <c r="BG1510">
        <v>0</v>
      </c>
      <c r="BH1510">
        <v>2600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"06:16:31.588"</f>
        <v>06:16:31.588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465</v>
      </c>
      <c r="CR1510">
        <v>0</v>
      </c>
      <c r="CW1510">
        <v>4721164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 t="shared" si="232"/>
        <v>08/29/2020 06:16:28.366</v>
      </c>
      <c r="C1511" t="str">
        <f t="shared" si="214"/>
        <v>FFDFD3C0</v>
      </c>
      <c r="D1511" t="s">
        <v>939</v>
      </c>
      <c r="E1511">
        <v>10</v>
      </c>
      <c r="H1511">
        <v>79</v>
      </c>
      <c r="I1511" t="s">
        <v>940</v>
      </c>
      <c r="J1511" t="s">
        <v>130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233"/>
        <v>06:16:31.586</v>
      </c>
      <c r="T1511" t="str">
        <f t="shared" si="234"/>
        <v>06:16:31.086</v>
      </c>
      <c r="U1511" t="str">
        <f t="shared" si="215"/>
        <v>A7E2E0</v>
      </c>
      <c r="V1511">
        <v>0</v>
      </c>
      <c r="W1511">
        <v>0</v>
      </c>
      <c r="X1511">
        <v>1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1039</v>
      </c>
      <c r="AJ1511">
        <v>39.015690999999997</v>
      </c>
      <c r="AK1511" t="s">
        <v>1040</v>
      </c>
      <c r="AL1511">
        <v>-87.556014000000005</v>
      </c>
      <c r="AM1511">
        <v>100</v>
      </c>
      <c r="AN1511">
        <v>2800</v>
      </c>
      <c r="AO1511" t="s">
        <v>118</v>
      </c>
      <c r="AP1511">
        <v>-94</v>
      </c>
      <c r="AQ1511">
        <v>-125</v>
      </c>
      <c r="AR1511">
        <v>64</v>
      </c>
      <c r="AZ1511">
        <v>4552</v>
      </c>
      <c r="BA1511">
        <v>1</v>
      </c>
      <c r="BB1511" t="str">
        <f t="shared" si="216"/>
        <v xml:space="preserve">N607SR  </v>
      </c>
      <c r="BC1511">
        <v>1</v>
      </c>
      <c r="BE1511">
        <v>0</v>
      </c>
      <c r="BF1511">
        <v>0</v>
      </c>
      <c r="BG1511">
        <v>0</v>
      </c>
      <c r="BH1511">
        <v>2600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"06:16:31.588"</f>
        <v>06:16:31.588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465</v>
      </c>
      <c r="CR1511">
        <v>0</v>
      </c>
      <c r="CW1511">
        <v>4721164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 t="shared" si="232"/>
        <v>08/29/2020 06:16:28.366</v>
      </c>
      <c r="C1512" t="str">
        <f t="shared" si="214"/>
        <v>FFDFD3C0</v>
      </c>
      <c r="D1512" t="s">
        <v>128</v>
      </c>
      <c r="E1512">
        <v>5</v>
      </c>
      <c r="H1512">
        <v>241</v>
      </c>
      <c r="I1512" t="s">
        <v>129</v>
      </c>
      <c r="J1512" t="s">
        <v>130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233"/>
        <v>06:16:31.586</v>
      </c>
      <c r="T1512" t="str">
        <f t="shared" si="234"/>
        <v>06:16:31.086</v>
      </c>
      <c r="U1512" t="str">
        <f t="shared" si="215"/>
        <v>A7E2E0</v>
      </c>
      <c r="V1512">
        <v>0</v>
      </c>
      <c r="W1512">
        <v>0</v>
      </c>
      <c r="X1512">
        <v>1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1039</v>
      </c>
      <c r="AJ1512">
        <v>39.015690999999997</v>
      </c>
      <c r="AK1512" t="s">
        <v>1040</v>
      </c>
      <c r="AL1512">
        <v>-87.556014000000005</v>
      </c>
      <c r="AM1512">
        <v>100</v>
      </c>
      <c r="AN1512">
        <v>2800</v>
      </c>
      <c r="AO1512" t="s">
        <v>118</v>
      </c>
      <c r="AP1512">
        <v>-94</v>
      </c>
      <c r="AQ1512">
        <v>-125</v>
      </c>
      <c r="AR1512">
        <v>64</v>
      </c>
      <c r="AZ1512">
        <v>4552</v>
      </c>
      <c r="BA1512">
        <v>1</v>
      </c>
      <c r="BB1512" t="str">
        <f t="shared" si="216"/>
        <v xml:space="preserve">N607SR  </v>
      </c>
      <c r="BC1512">
        <v>1</v>
      </c>
      <c r="BE1512">
        <v>0</v>
      </c>
      <c r="BF1512">
        <v>0</v>
      </c>
      <c r="BG1512">
        <v>0</v>
      </c>
      <c r="BH1512">
        <v>2600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"06:16:31.588"</f>
        <v>06:16:31.588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465</v>
      </c>
      <c r="CR1512">
        <v>0</v>
      </c>
      <c r="CW1512">
        <v>4721164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 t="shared" ref="A1513:A1518" si="235">"08/29/2020 06:16:29.407"</f>
        <v>08/29/2020 06:16:29.407</v>
      </c>
      <c r="C1513" t="str">
        <f t="shared" si="214"/>
        <v>FFDFD3C0</v>
      </c>
      <c r="D1513" t="s">
        <v>121</v>
      </c>
      <c r="E1513">
        <v>10</v>
      </c>
      <c r="F1513">
        <v>1010</v>
      </c>
      <c r="G1513" t="s">
        <v>114</v>
      </c>
      <c r="J1513" t="s">
        <v>123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ref="S1513:S1518" si="236">"06:16:32.648"</f>
        <v>06:16:32.648</v>
      </c>
      <c r="T1513" t="str">
        <f t="shared" ref="T1513:T1518" si="237">"06:16:32.148"</f>
        <v>06:16:32.148</v>
      </c>
      <c r="U1513" t="str">
        <f t="shared" si="215"/>
        <v>A7E2E0</v>
      </c>
      <c r="V1513">
        <v>0</v>
      </c>
      <c r="W1513">
        <v>0</v>
      </c>
      <c r="X1513">
        <v>1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1041</v>
      </c>
      <c r="AJ1513">
        <v>39.015048</v>
      </c>
      <c r="AK1513" t="s">
        <v>1042</v>
      </c>
      <c r="AL1513">
        <v>-87.556635999999997</v>
      </c>
      <c r="AM1513">
        <v>100</v>
      </c>
      <c r="AN1513">
        <v>2800</v>
      </c>
      <c r="AO1513" t="s">
        <v>118</v>
      </c>
      <c r="AP1513">
        <v>-94</v>
      </c>
      <c r="AQ1513">
        <v>-125</v>
      </c>
      <c r="AR1513">
        <v>64</v>
      </c>
      <c r="AZ1513">
        <v>4552</v>
      </c>
      <c r="BA1513">
        <v>1</v>
      </c>
      <c r="BB1513" t="str">
        <f t="shared" si="216"/>
        <v xml:space="preserve">N607SR  </v>
      </c>
      <c r="BC1513">
        <v>1</v>
      </c>
      <c r="BE1513">
        <v>0</v>
      </c>
      <c r="BF1513">
        <v>0</v>
      </c>
      <c r="BG1513">
        <v>0</v>
      </c>
      <c r="BH1513">
        <v>2600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 t="shared" ref="BW1513:BW1518" si="238">"06:16:32.651"</f>
        <v>06:16:32.651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6</v>
      </c>
      <c r="CP1513" t="s">
        <v>119</v>
      </c>
      <c r="CQ1513">
        <v>465</v>
      </c>
      <c r="CR1513">
        <v>0</v>
      </c>
      <c r="CW1513">
        <v>4721203</v>
      </c>
      <c r="CY1513">
        <v>1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 t="shared" si="235"/>
        <v>08/29/2020 06:16:29.407</v>
      </c>
      <c r="C1514" t="str">
        <f t="shared" si="214"/>
        <v>FFDFD3C0</v>
      </c>
      <c r="D1514" t="s">
        <v>939</v>
      </c>
      <c r="E1514">
        <v>10</v>
      </c>
      <c r="H1514">
        <v>79</v>
      </c>
      <c r="I1514" t="s">
        <v>940</v>
      </c>
      <c r="J1514" t="s">
        <v>130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236"/>
        <v>06:16:32.648</v>
      </c>
      <c r="T1514" t="str">
        <f t="shared" si="237"/>
        <v>06:16:32.148</v>
      </c>
      <c r="U1514" t="str">
        <f t="shared" si="215"/>
        <v>A7E2E0</v>
      </c>
      <c r="V1514">
        <v>0</v>
      </c>
      <c r="W1514">
        <v>0</v>
      </c>
      <c r="X1514">
        <v>1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1041</v>
      </c>
      <c r="AJ1514">
        <v>39.015048</v>
      </c>
      <c r="AK1514" t="s">
        <v>1042</v>
      </c>
      <c r="AL1514">
        <v>-87.556635999999997</v>
      </c>
      <c r="AM1514">
        <v>100</v>
      </c>
      <c r="AN1514">
        <v>2800</v>
      </c>
      <c r="AO1514" t="s">
        <v>118</v>
      </c>
      <c r="AP1514">
        <v>-94</v>
      </c>
      <c r="AQ1514">
        <v>-125</v>
      </c>
      <c r="AR1514">
        <v>64</v>
      </c>
      <c r="AZ1514">
        <v>4552</v>
      </c>
      <c r="BA1514">
        <v>1</v>
      </c>
      <c r="BB1514" t="str">
        <f t="shared" si="216"/>
        <v xml:space="preserve">N607SR  </v>
      </c>
      <c r="BC1514">
        <v>1</v>
      </c>
      <c r="BE1514">
        <v>0</v>
      </c>
      <c r="BF1514">
        <v>0</v>
      </c>
      <c r="BG1514">
        <v>0</v>
      </c>
      <c r="BH1514">
        <v>2600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 t="shared" si="238"/>
        <v>06:16:32.651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465</v>
      </c>
      <c r="CR1514">
        <v>0</v>
      </c>
      <c r="CW1514">
        <v>4721203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 t="shared" si="235"/>
        <v>08/29/2020 06:16:29.407</v>
      </c>
      <c r="C1515" t="str">
        <f t="shared" si="214"/>
        <v>FFDFD3C0</v>
      </c>
      <c r="D1515" t="s">
        <v>113</v>
      </c>
      <c r="E1515">
        <v>5</v>
      </c>
      <c r="H1515">
        <v>163</v>
      </c>
      <c r="I1515" t="s">
        <v>114</v>
      </c>
      <c r="J1515" t="s">
        <v>115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236"/>
        <v>06:16:32.648</v>
      </c>
      <c r="T1515" t="str">
        <f t="shared" si="237"/>
        <v>06:16:32.148</v>
      </c>
      <c r="U1515" t="str">
        <f t="shared" si="215"/>
        <v>A7E2E0</v>
      </c>
      <c r="V1515">
        <v>0</v>
      </c>
      <c r="W1515">
        <v>0</v>
      </c>
      <c r="X1515">
        <v>1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1041</v>
      </c>
      <c r="AJ1515">
        <v>39.015048</v>
      </c>
      <c r="AK1515" t="s">
        <v>1042</v>
      </c>
      <c r="AL1515">
        <v>-87.556635999999997</v>
      </c>
      <c r="AM1515">
        <v>100</v>
      </c>
      <c r="AN1515">
        <v>2800</v>
      </c>
      <c r="AO1515" t="s">
        <v>118</v>
      </c>
      <c r="AP1515">
        <v>-94</v>
      </c>
      <c r="AQ1515">
        <v>-125</v>
      </c>
      <c r="AR1515">
        <v>64</v>
      </c>
      <c r="AZ1515">
        <v>4552</v>
      </c>
      <c r="BA1515">
        <v>1</v>
      </c>
      <c r="BB1515" t="str">
        <f t="shared" si="216"/>
        <v xml:space="preserve">N607SR  </v>
      </c>
      <c r="BC1515">
        <v>1</v>
      </c>
      <c r="BE1515">
        <v>0</v>
      </c>
      <c r="BF1515">
        <v>0</v>
      </c>
      <c r="BG1515">
        <v>0</v>
      </c>
      <c r="BH1515">
        <v>2600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 t="shared" si="238"/>
        <v>06:16:32.651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465</v>
      </c>
      <c r="CR1515">
        <v>0</v>
      </c>
      <c r="CW1515">
        <v>4721203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 t="shared" si="235"/>
        <v>08/29/2020 06:16:29.407</v>
      </c>
      <c r="C1516" t="str">
        <f t="shared" si="214"/>
        <v>FFDFD3C0</v>
      </c>
      <c r="D1516" t="s">
        <v>128</v>
      </c>
      <c r="E1516">
        <v>5</v>
      </c>
      <c r="H1516">
        <v>241</v>
      </c>
      <c r="I1516" t="s">
        <v>129</v>
      </c>
      <c r="J1516" t="s">
        <v>130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236"/>
        <v>06:16:32.648</v>
      </c>
      <c r="T1516" t="str">
        <f t="shared" si="237"/>
        <v>06:16:32.148</v>
      </c>
      <c r="U1516" t="str">
        <f t="shared" si="215"/>
        <v>A7E2E0</v>
      </c>
      <c r="V1516">
        <v>0</v>
      </c>
      <c r="W1516">
        <v>0</v>
      </c>
      <c r="X1516">
        <v>1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1041</v>
      </c>
      <c r="AJ1516">
        <v>39.015048</v>
      </c>
      <c r="AK1516" t="s">
        <v>1042</v>
      </c>
      <c r="AL1516">
        <v>-87.556635999999997</v>
      </c>
      <c r="AM1516">
        <v>100</v>
      </c>
      <c r="AN1516">
        <v>2800</v>
      </c>
      <c r="AO1516" t="s">
        <v>118</v>
      </c>
      <c r="AP1516">
        <v>-94</v>
      </c>
      <c r="AQ1516">
        <v>-125</v>
      </c>
      <c r="AR1516">
        <v>64</v>
      </c>
      <c r="AZ1516">
        <v>4552</v>
      </c>
      <c r="BA1516">
        <v>1</v>
      </c>
      <c r="BB1516" t="str">
        <f t="shared" si="216"/>
        <v xml:space="preserve">N607SR  </v>
      </c>
      <c r="BC1516">
        <v>1</v>
      </c>
      <c r="BE1516">
        <v>0</v>
      </c>
      <c r="BF1516">
        <v>0</v>
      </c>
      <c r="BG1516">
        <v>0</v>
      </c>
      <c r="BH1516">
        <v>2600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 t="shared" si="238"/>
        <v>06:16:32.651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6</v>
      </c>
      <c r="CP1516" t="s">
        <v>119</v>
      </c>
      <c r="CQ1516">
        <v>465</v>
      </c>
      <c r="CR1516">
        <v>0</v>
      </c>
      <c r="CW1516">
        <v>4721203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 t="shared" si="235"/>
        <v>08/29/2020 06:16:29.407</v>
      </c>
      <c r="C1517" t="str">
        <f t="shared" si="214"/>
        <v>FFDFD3C0</v>
      </c>
      <c r="D1517" t="s">
        <v>121</v>
      </c>
      <c r="E1517">
        <v>11</v>
      </c>
      <c r="F1517">
        <v>1011</v>
      </c>
      <c r="G1517" t="s">
        <v>125</v>
      </c>
      <c r="J1517" t="s">
        <v>123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236"/>
        <v>06:16:32.648</v>
      </c>
      <c r="T1517" t="str">
        <f t="shared" si="237"/>
        <v>06:16:32.148</v>
      </c>
      <c r="U1517" t="str">
        <f t="shared" si="215"/>
        <v>A7E2E0</v>
      </c>
      <c r="V1517">
        <v>0</v>
      </c>
      <c r="W1517">
        <v>0</v>
      </c>
      <c r="X1517">
        <v>1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1041</v>
      </c>
      <c r="AJ1517">
        <v>39.015048</v>
      </c>
      <c r="AK1517" t="s">
        <v>1042</v>
      </c>
      <c r="AL1517">
        <v>-87.556635999999997</v>
      </c>
      <c r="AM1517">
        <v>100</v>
      </c>
      <c r="AN1517">
        <v>2800</v>
      </c>
      <c r="AO1517" t="s">
        <v>118</v>
      </c>
      <c r="AP1517">
        <v>-94</v>
      </c>
      <c r="AQ1517">
        <v>-125</v>
      </c>
      <c r="AR1517">
        <v>64</v>
      </c>
      <c r="AZ1517">
        <v>4552</v>
      </c>
      <c r="BA1517">
        <v>1</v>
      </c>
      <c r="BB1517" t="str">
        <f t="shared" si="216"/>
        <v xml:space="preserve">N607SR  </v>
      </c>
      <c r="BC1517">
        <v>1</v>
      </c>
      <c r="BE1517">
        <v>0</v>
      </c>
      <c r="BF1517">
        <v>0</v>
      </c>
      <c r="BG1517">
        <v>0</v>
      </c>
      <c r="BH1517">
        <v>2600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 t="shared" si="238"/>
        <v>06:16:32.651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6</v>
      </c>
      <c r="CP1517" t="s">
        <v>119</v>
      </c>
      <c r="CQ1517">
        <v>457</v>
      </c>
      <c r="CR1517">
        <v>0</v>
      </c>
      <c r="CW1517">
        <v>15517095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 t="shared" si="235"/>
        <v>08/29/2020 06:16:29.407</v>
      </c>
      <c r="C1518" t="str">
        <f t="shared" si="214"/>
        <v>FFDFD3C0</v>
      </c>
      <c r="D1518" t="s">
        <v>121</v>
      </c>
      <c r="E1518">
        <v>13</v>
      </c>
      <c r="F1518">
        <v>1013</v>
      </c>
      <c r="G1518" t="s">
        <v>122</v>
      </c>
      <c r="J1518" t="s">
        <v>123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236"/>
        <v>06:16:32.648</v>
      </c>
      <c r="T1518" t="str">
        <f t="shared" si="237"/>
        <v>06:16:32.148</v>
      </c>
      <c r="U1518" t="str">
        <f t="shared" si="215"/>
        <v>A7E2E0</v>
      </c>
      <c r="V1518">
        <v>0</v>
      </c>
      <c r="W1518">
        <v>0</v>
      </c>
      <c r="X1518">
        <v>1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1041</v>
      </c>
      <c r="AJ1518">
        <v>39.015048</v>
      </c>
      <c r="AK1518" t="s">
        <v>1042</v>
      </c>
      <c r="AL1518">
        <v>-87.556635999999997</v>
      </c>
      <c r="AM1518">
        <v>100</v>
      </c>
      <c r="AN1518">
        <v>2800</v>
      </c>
      <c r="AO1518" t="s">
        <v>118</v>
      </c>
      <c r="AP1518">
        <v>-94</v>
      </c>
      <c r="AQ1518">
        <v>-125</v>
      </c>
      <c r="AR1518">
        <v>64</v>
      </c>
      <c r="AZ1518">
        <v>4552</v>
      </c>
      <c r="BA1518">
        <v>1</v>
      </c>
      <c r="BB1518" t="str">
        <f t="shared" si="216"/>
        <v xml:space="preserve">N607SR  </v>
      </c>
      <c r="BC1518">
        <v>1</v>
      </c>
      <c r="BE1518">
        <v>0</v>
      </c>
      <c r="BF1518">
        <v>0</v>
      </c>
      <c r="BG1518">
        <v>0</v>
      </c>
      <c r="BH1518">
        <v>2600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 t="shared" si="238"/>
        <v>06:16:32.651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465</v>
      </c>
      <c r="CR1518">
        <v>0</v>
      </c>
      <c r="CW1518">
        <v>4721203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ref="A1519:A1524" si="239">"08/29/2020 06:16:30.413"</f>
        <v>08/29/2020 06:16:30.413</v>
      </c>
      <c r="C1519" t="str">
        <f t="shared" si="214"/>
        <v>FFDFD3C0</v>
      </c>
      <c r="D1519" t="s">
        <v>939</v>
      </c>
      <c r="E1519">
        <v>10</v>
      </c>
      <c r="H1519">
        <v>79</v>
      </c>
      <c r="I1519" t="s">
        <v>940</v>
      </c>
      <c r="J1519" t="s">
        <v>130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ref="S1519:S1524" si="240">"06:16:33.625"</f>
        <v>06:16:33.625</v>
      </c>
      <c r="T1519" t="str">
        <f>"06:16:32.725"</f>
        <v>06:16:32.725</v>
      </c>
      <c r="U1519" t="str">
        <f t="shared" si="215"/>
        <v>A7E2E0</v>
      </c>
      <c r="V1519">
        <v>0</v>
      </c>
      <c r="W1519">
        <v>0</v>
      </c>
      <c r="X1519">
        <v>1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1043</v>
      </c>
      <c r="AJ1519">
        <v>39.014446999999997</v>
      </c>
      <c r="AK1519" t="s">
        <v>1044</v>
      </c>
      <c r="AL1519">
        <v>-87.557193999999996</v>
      </c>
      <c r="AM1519">
        <v>100</v>
      </c>
      <c r="AN1519">
        <v>2800</v>
      </c>
      <c r="AO1519" t="s">
        <v>118</v>
      </c>
      <c r="AP1519">
        <v>-94</v>
      </c>
      <c r="AQ1519">
        <v>-125</v>
      </c>
      <c r="AR1519">
        <v>64</v>
      </c>
      <c r="AZ1519">
        <v>4552</v>
      </c>
      <c r="BA1519">
        <v>1</v>
      </c>
      <c r="BB1519" t="str">
        <f t="shared" si="216"/>
        <v xml:space="preserve">N607SR  </v>
      </c>
      <c r="BC1519">
        <v>1</v>
      </c>
      <c r="BE1519">
        <v>0</v>
      </c>
      <c r="BF1519">
        <v>0</v>
      </c>
      <c r="BG1519">
        <v>0</v>
      </c>
      <c r="BH1519">
        <v>2600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 t="shared" ref="BW1519:BW1524" si="241">"06:16:33.632"</f>
        <v>06:16:33.632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465</v>
      </c>
      <c r="CR1519">
        <v>0</v>
      </c>
      <c r="CW1519">
        <v>4721236</v>
      </c>
      <c r="CY1519">
        <v>1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239"/>
        <v>08/29/2020 06:16:30.413</v>
      </c>
      <c r="C1520" t="str">
        <f t="shared" si="214"/>
        <v>FFDFD3C0</v>
      </c>
      <c r="D1520" t="s">
        <v>121</v>
      </c>
      <c r="E1520">
        <v>10</v>
      </c>
      <c r="F1520">
        <v>1010</v>
      </c>
      <c r="G1520" t="s">
        <v>114</v>
      </c>
      <c r="J1520" t="s">
        <v>123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240"/>
        <v>06:16:33.625</v>
      </c>
      <c r="T1520" t="str">
        <f>"06:16:33.125"</f>
        <v>06:16:33.125</v>
      </c>
      <c r="U1520" t="str">
        <f t="shared" si="215"/>
        <v>A7E2E0</v>
      </c>
      <c r="V1520">
        <v>0</v>
      </c>
      <c r="W1520">
        <v>0</v>
      </c>
      <c r="X1520">
        <v>1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1043</v>
      </c>
      <c r="AJ1520">
        <v>39.014446999999997</v>
      </c>
      <c r="AK1520" t="s">
        <v>1044</v>
      </c>
      <c r="AL1520">
        <v>-87.557193999999996</v>
      </c>
      <c r="AM1520">
        <v>100</v>
      </c>
      <c r="AN1520">
        <v>2800</v>
      </c>
      <c r="AO1520" t="s">
        <v>118</v>
      </c>
      <c r="AP1520">
        <v>-94</v>
      </c>
      <c r="AQ1520">
        <v>-125</v>
      </c>
      <c r="AR1520">
        <v>64</v>
      </c>
      <c r="AZ1520">
        <v>4552</v>
      </c>
      <c r="BA1520">
        <v>1</v>
      </c>
      <c r="BB1520" t="str">
        <f t="shared" si="216"/>
        <v xml:space="preserve">N607SR  </v>
      </c>
      <c r="BC1520">
        <v>1</v>
      </c>
      <c r="BE1520">
        <v>0</v>
      </c>
      <c r="BF1520">
        <v>0</v>
      </c>
      <c r="BG1520">
        <v>0</v>
      </c>
      <c r="BH1520">
        <v>2600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 t="shared" si="241"/>
        <v>06:16:33.632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6</v>
      </c>
      <c r="CP1520" t="s">
        <v>119</v>
      </c>
      <c r="CQ1520">
        <v>457</v>
      </c>
      <c r="CR1520">
        <v>0</v>
      </c>
      <c r="CW1520">
        <v>15517121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239"/>
        <v>08/29/2020 06:16:30.413</v>
      </c>
      <c r="C1521" t="str">
        <f t="shared" si="214"/>
        <v>FFDFD3C0</v>
      </c>
      <c r="D1521" t="s">
        <v>113</v>
      </c>
      <c r="E1521">
        <v>5</v>
      </c>
      <c r="H1521">
        <v>163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240"/>
        <v>06:16:33.625</v>
      </c>
      <c r="T1521" t="str">
        <f>"06:16:33.125"</f>
        <v>06:16:33.125</v>
      </c>
      <c r="U1521" t="str">
        <f t="shared" si="215"/>
        <v>A7E2E0</v>
      </c>
      <c r="V1521">
        <v>0</v>
      </c>
      <c r="W1521">
        <v>0</v>
      </c>
      <c r="X1521">
        <v>1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1043</v>
      </c>
      <c r="AJ1521">
        <v>39.014446999999997</v>
      </c>
      <c r="AK1521" t="s">
        <v>1044</v>
      </c>
      <c r="AL1521">
        <v>-87.557193999999996</v>
      </c>
      <c r="AM1521">
        <v>100</v>
      </c>
      <c r="AN1521">
        <v>2800</v>
      </c>
      <c r="AO1521" t="s">
        <v>118</v>
      </c>
      <c r="AP1521">
        <v>-94</v>
      </c>
      <c r="AQ1521">
        <v>-125</v>
      </c>
      <c r="AR1521">
        <v>64</v>
      </c>
      <c r="AZ1521">
        <v>4552</v>
      </c>
      <c r="BA1521">
        <v>1</v>
      </c>
      <c r="BB1521" t="str">
        <f t="shared" si="216"/>
        <v xml:space="preserve">N607SR  </v>
      </c>
      <c r="BC1521">
        <v>1</v>
      </c>
      <c r="BE1521">
        <v>0</v>
      </c>
      <c r="BF1521">
        <v>0</v>
      </c>
      <c r="BG1521">
        <v>0</v>
      </c>
      <c r="BH1521">
        <v>2600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 t="shared" si="241"/>
        <v>06:16:33.632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457</v>
      </c>
      <c r="CR1521">
        <v>0</v>
      </c>
      <c r="CW1521">
        <v>15517121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239"/>
        <v>08/29/2020 06:16:30.413</v>
      </c>
      <c r="C1522" t="str">
        <f t="shared" si="214"/>
        <v>FFDFD3C0</v>
      </c>
      <c r="D1522" t="s">
        <v>128</v>
      </c>
      <c r="E1522">
        <v>5</v>
      </c>
      <c r="H1522">
        <v>241</v>
      </c>
      <c r="I1522" t="s">
        <v>129</v>
      </c>
      <c r="J1522" t="s">
        <v>130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240"/>
        <v>06:16:33.625</v>
      </c>
      <c r="T1522" t="str">
        <f>"06:16:33.125"</f>
        <v>06:16:33.125</v>
      </c>
      <c r="U1522" t="str">
        <f t="shared" si="215"/>
        <v>A7E2E0</v>
      </c>
      <c r="V1522">
        <v>0</v>
      </c>
      <c r="W1522">
        <v>0</v>
      </c>
      <c r="X1522">
        <v>1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1043</v>
      </c>
      <c r="AJ1522">
        <v>39.014446999999997</v>
      </c>
      <c r="AK1522" t="s">
        <v>1044</v>
      </c>
      <c r="AL1522">
        <v>-87.557193999999996</v>
      </c>
      <c r="AM1522">
        <v>100</v>
      </c>
      <c r="AN1522">
        <v>2800</v>
      </c>
      <c r="AO1522" t="s">
        <v>118</v>
      </c>
      <c r="AP1522">
        <v>-94</v>
      </c>
      <c r="AQ1522">
        <v>-125</v>
      </c>
      <c r="AR1522">
        <v>64</v>
      </c>
      <c r="AZ1522">
        <v>4552</v>
      </c>
      <c r="BA1522">
        <v>1</v>
      </c>
      <c r="BB1522" t="str">
        <f t="shared" si="216"/>
        <v xml:space="preserve">N607SR  </v>
      </c>
      <c r="BC1522">
        <v>1</v>
      </c>
      <c r="BE1522">
        <v>0</v>
      </c>
      <c r="BF1522">
        <v>0</v>
      </c>
      <c r="BG1522">
        <v>0</v>
      </c>
      <c r="BH1522">
        <v>2600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 t="shared" si="241"/>
        <v>06:16:33.632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6</v>
      </c>
      <c r="CP1522" t="s">
        <v>119</v>
      </c>
      <c r="CQ1522">
        <v>457</v>
      </c>
      <c r="CR1522">
        <v>0</v>
      </c>
      <c r="CW1522">
        <v>15517121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 t="shared" si="239"/>
        <v>08/29/2020 06:16:30.413</v>
      </c>
      <c r="C1523" t="str">
        <f t="shared" si="214"/>
        <v>FFDFD3C0</v>
      </c>
      <c r="D1523" t="s">
        <v>121</v>
      </c>
      <c r="E1523">
        <v>11</v>
      </c>
      <c r="F1523">
        <v>1011</v>
      </c>
      <c r="G1523" t="s">
        <v>125</v>
      </c>
      <c r="J1523" t="s">
        <v>123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240"/>
        <v>06:16:33.625</v>
      </c>
      <c r="T1523" t="str">
        <f>"06:16:33.125"</f>
        <v>06:16:33.125</v>
      </c>
      <c r="U1523" t="str">
        <f t="shared" si="215"/>
        <v>A7E2E0</v>
      </c>
      <c r="V1523">
        <v>0</v>
      </c>
      <c r="W1523">
        <v>0</v>
      </c>
      <c r="X1523">
        <v>1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1043</v>
      </c>
      <c r="AJ1523">
        <v>39.014446999999997</v>
      </c>
      <c r="AK1523" t="s">
        <v>1044</v>
      </c>
      <c r="AL1523">
        <v>-87.557193999999996</v>
      </c>
      <c r="AM1523">
        <v>100</v>
      </c>
      <c r="AN1523">
        <v>2800</v>
      </c>
      <c r="AO1523" t="s">
        <v>118</v>
      </c>
      <c r="AP1523">
        <v>-94</v>
      </c>
      <c r="AQ1523">
        <v>-125</v>
      </c>
      <c r="AR1523">
        <v>64</v>
      </c>
      <c r="AZ1523">
        <v>4552</v>
      </c>
      <c r="BA1523">
        <v>1</v>
      </c>
      <c r="BB1523" t="str">
        <f t="shared" si="216"/>
        <v xml:space="preserve">N607SR  </v>
      </c>
      <c r="BC1523">
        <v>1</v>
      </c>
      <c r="BE1523">
        <v>0</v>
      </c>
      <c r="BF1523">
        <v>0</v>
      </c>
      <c r="BG1523">
        <v>0</v>
      </c>
      <c r="BH1523">
        <v>2600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 t="shared" si="241"/>
        <v>06:16:33.632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457</v>
      </c>
      <c r="CR1523">
        <v>0</v>
      </c>
      <c r="CW1523">
        <v>15517121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 t="shared" si="239"/>
        <v>08/29/2020 06:16:30.413</v>
      </c>
      <c r="C1524" t="str">
        <f t="shared" si="214"/>
        <v>FFDFD3C0</v>
      </c>
      <c r="D1524" t="s">
        <v>121</v>
      </c>
      <c r="E1524">
        <v>13</v>
      </c>
      <c r="F1524">
        <v>1013</v>
      </c>
      <c r="G1524" t="s">
        <v>122</v>
      </c>
      <c r="J1524" t="s">
        <v>123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240"/>
        <v>06:16:33.625</v>
      </c>
      <c r="T1524" t="str">
        <f>"06:16:33.125"</f>
        <v>06:16:33.125</v>
      </c>
      <c r="U1524" t="str">
        <f t="shared" si="215"/>
        <v>A7E2E0</v>
      </c>
      <c r="V1524">
        <v>0</v>
      </c>
      <c r="W1524">
        <v>0</v>
      </c>
      <c r="X1524">
        <v>1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1043</v>
      </c>
      <c r="AJ1524">
        <v>39.014446999999997</v>
      </c>
      <c r="AK1524" t="s">
        <v>1044</v>
      </c>
      <c r="AL1524">
        <v>-87.557193999999996</v>
      </c>
      <c r="AM1524">
        <v>100</v>
      </c>
      <c r="AN1524">
        <v>2800</v>
      </c>
      <c r="AO1524" t="s">
        <v>118</v>
      </c>
      <c r="AP1524">
        <v>-94</v>
      </c>
      <c r="AQ1524">
        <v>-125</v>
      </c>
      <c r="AR1524">
        <v>64</v>
      </c>
      <c r="AZ1524">
        <v>4552</v>
      </c>
      <c r="BA1524">
        <v>1</v>
      </c>
      <c r="BB1524" t="str">
        <f t="shared" si="216"/>
        <v xml:space="preserve">N607SR  </v>
      </c>
      <c r="BC1524">
        <v>1</v>
      </c>
      <c r="BE1524">
        <v>0</v>
      </c>
      <c r="BF1524">
        <v>0</v>
      </c>
      <c r="BG1524">
        <v>0</v>
      </c>
      <c r="BH1524">
        <v>2600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 t="shared" si="241"/>
        <v>06:16:33.632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457</v>
      </c>
      <c r="CR1524">
        <v>0</v>
      </c>
      <c r="CW1524">
        <v>15517121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 t="shared" ref="A1525:A1530" si="242">"08/29/2020 06:16:31.460"</f>
        <v>08/29/2020 06:16:31.460</v>
      </c>
      <c r="C1525" t="str">
        <f t="shared" si="214"/>
        <v>FFDFD3C0</v>
      </c>
      <c r="D1525" t="s">
        <v>121</v>
      </c>
      <c r="E1525">
        <v>11</v>
      </c>
      <c r="F1525">
        <v>1011</v>
      </c>
      <c r="G1525" t="s">
        <v>125</v>
      </c>
      <c r="J1525" t="s">
        <v>123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ref="S1525:S1530" si="243">"06:16:34.703"</f>
        <v>06:16:34.703</v>
      </c>
      <c r="T1525" t="str">
        <f t="shared" ref="T1525:T1530" si="244">"06:16:34.303"</f>
        <v>06:16:34.303</v>
      </c>
      <c r="U1525" t="str">
        <f t="shared" si="215"/>
        <v>A7E2E0</v>
      </c>
      <c r="V1525">
        <v>0</v>
      </c>
      <c r="W1525">
        <v>0</v>
      </c>
      <c r="X1525">
        <v>1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1045</v>
      </c>
      <c r="AJ1525">
        <v>39.013824</v>
      </c>
      <c r="AK1525" t="s">
        <v>1046</v>
      </c>
      <c r="AL1525">
        <v>-87.557817</v>
      </c>
      <c r="AM1525">
        <v>100</v>
      </c>
      <c r="AN1525">
        <v>2800</v>
      </c>
      <c r="AO1525" t="s">
        <v>118</v>
      </c>
      <c r="AP1525">
        <v>-93</v>
      </c>
      <c r="AQ1525">
        <v>-125</v>
      </c>
      <c r="AR1525">
        <v>0</v>
      </c>
      <c r="AZ1525">
        <v>4552</v>
      </c>
      <c r="BA1525">
        <v>1</v>
      </c>
      <c r="BB1525" t="str">
        <f t="shared" si="216"/>
        <v xml:space="preserve">N607SR  </v>
      </c>
      <c r="BC1525">
        <v>1</v>
      </c>
      <c r="BE1525">
        <v>0</v>
      </c>
      <c r="BF1525">
        <v>0</v>
      </c>
      <c r="BG1525">
        <v>0</v>
      </c>
      <c r="BH1525">
        <v>2600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 t="shared" ref="BW1525:BW1530" si="245">"06:16:34.709"</f>
        <v>06:16:34.709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457</v>
      </c>
      <c r="CR1525">
        <v>0</v>
      </c>
      <c r="CW1525">
        <v>15517149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 t="shared" si="242"/>
        <v>08/29/2020 06:16:31.460</v>
      </c>
      <c r="C1526" t="str">
        <f t="shared" si="214"/>
        <v>FFDFD3C0</v>
      </c>
      <c r="D1526" t="s">
        <v>939</v>
      </c>
      <c r="E1526">
        <v>10</v>
      </c>
      <c r="H1526">
        <v>79</v>
      </c>
      <c r="I1526" t="s">
        <v>940</v>
      </c>
      <c r="J1526" t="s">
        <v>130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243"/>
        <v>06:16:34.703</v>
      </c>
      <c r="T1526" t="str">
        <f t="shared" si="244"/>
        <v>06:16:34.303</v>
      </c>
      <c r="U1526" t="str">
        <f t="shared" si="215"/>
        <v>A7E2E0</v>
      </c>
      <c r="V1526">
        <v>0</v>
      </c>
      <c r="W1526">
        <v>0</v>
      </c>
      <c r="X1526">
        <v>1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1045</v>
      </c>
      <c r="AJ1526">
        <v>39.013824</v>
      </c>
      <c r="AK1526" t="s">
        <v>1046</v>
      </c>
      <c r="AL1526">
        <v>-87.557817</v>
      </c>
      <c r="AM1526">
        <v>100</v>
      </c>
      <c r="AN1526">
        <v>2800</v>
      </c>
      <c r="AO1526" t="s">
        <v>118</v>
      </c>
      <c r="AP1526">
        <v>-93</v>
      </c>
      <c r="AQ1526">
        <v>-125</v>
      </c>
      <c r="AR1526">
        <v>0</v>
      </c>
      <c r="AZ1526">
        <v>4552</v>
      </c>
      <c r="BA1526">
        <v>1</v>
      </c>
      <c r="BB1526" t="str">
        <f t="shared" si="216"/>
        <v xml:space="preserve">N607SR  </v>
      </c>
      <c r="BC1526">
        <v>1</v>
      </c>
      <c r="BE1526">
        <v>0</v>
      </c>
      <c r="BF1526">
        <v>0</v>
      </c>
      <c r="BG1526">
        <v>0</v>
      </c>
      <c r="BH1526">
        <v>2600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 t="shared" si="245"/>
        <v>06:16:34.709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119</v>
      </c>
      <c r="CQ1526">
        <v>465</v>
      </c>
      <c r="CR1526">
        <v>0</v>
      </c>
      <c r="CW1526">
        <v>4721268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 t="shared" si="242"/>
        <v>08/29/2020 06:16:31.460</v>
      </c>
      <c r="C1527" t="str">
        <f t="shared" si="214"/>
        <v>FFDFD3C0</v>
      </c>
      <c r="D1527" t="s">
        <v>121</v>
      </c>
      <c r="E1527">
        <v>13</v>
      </c>
      <c r="F1527">
        <v>1013</v>
      </c>
      <c r="G1527" t="s">
        <v>122</v>
      </c>
      <c r="J1527" t="s">
        <v>123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243"/>
        <v>06:16:34.703</v>
      </c>
      <c r="T1527" t="str">
        <f t="shared" si="244"/>
        <v>06:16:34.303</v>
      </c>
      <c r="U1527" t="str">
        <f t="shared" si="215"/>
        <v>A7E2E0</v>
      </c>
      <c r="V1527">
        <v>0</v>
      </c>
      <c r="W1527">
        <v>0</v>
      </c>
      <c r="X1527">
        <v>1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1045</v>
      </c>
      <c r="AJ1527">
        <v>39.013824</v>
      </c>
      <c r="AK1527" t="s">
        <v>1046</v>
      </c>
      <c r="AL1527">
        <v>-87.557817</v>
      </c>
      <c r="AM1527">
        <v>100</v>
      </c>
      <c r="AN1527">
        <v>2800</v>
      </c>
      <c r="AO1527" t="s">
        <v>118</v>
      </c>
      <c r="AP1527">
        <v>-93</v>
      </c>
      <c r="AQ1527">
        <v>-125</v>
      </c>
      <c r="AR1527">
        <v>0</v>
      </c>
      <c r="AZ1527">
        <v>4552</v>
      </c>
      <c r="BA1527">
        <v>1</v>
      </c>
      <c r="BB1527" t="str">
        <f t="shared" si="216"/>
        <v xml:space="preserve">N607SR  </v>
      </c>
      <c r="BC1527">
        <v>1</v>
      </c>
      <c r="BE1527">
        <v>0</v>
      </c>
      <c r="BF1527">
        <v>0</v>
      </c>
      <c r="BG1527">
        <v>0</v>
      </c>
      <c r="BH1527">
        <v>2600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 t="shared" si="245"/>
        <v>06:16:34.709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119</v>
      </c>
      <c r="CQ1527">
        <v>465</v>
      </c>
      <c r="CR1527">
        <v>0</v>
      </c>
      <c r="CW1527">
        <v>4721268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 t="shared" si="242"/>
        <v>08/29/2020 06:16:31.460</v>
      </c>
      <c r="C1528" t="str">
        <f t="shared" si="214"/>
        <v>FFDFD3C0</v>
      </c>
      <c r="D1528" t="s">
        <v>121</v>
      </c>
      <c r="E1528">
        <v>10</v>
      </c>
      <c r="F1528">
        <v>1010</v>
      </c>
      <c r="G1528" t="s">
        <v>114</v>
      </c>
      <c r="J1528" t="s">
        <v>123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243"/>
        <v>06:16:34.703</v>
      </c>
      <c r="T1528" t="str">
        <f t="shared" si="244"/>
        <v>06:16:34.303</v>
      </c>
      <c r="U1528" t="str">
        <f t="shared" si="215"/>
        <v>A7E2E0</v>
      </c>
      <c r="V1528">
        <v>0</v>
      </c>
      <c r="W1528">
        <v>0</v>
      </c>
      <c r="X1528">
        <v>1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1045</v>
      </c>
      <c r="AJ1528">
        <v>39.013824</v>
      </c>
      <c r="AK1528" t="s">
        <v>1046</v>
      </c>
      <c r="AL1528">
        <v>-87.557817</v>
      </c>
      <c r="AM1528">
        <v>100</v>
      </c>
      <c r="AN1528">
        <v>2800</v>
      </c>
      <c r="AO1528" t="s">
        <v>118</v>
      </c>
      <c r="AP1528">
        <v>-93</v>
      </c>
      <c r="AQ1528">
        <v>-125</v>
      </c>
      <c r="AR1528">
        <v>0</v>
      </c>
      <c r="AZ1528">
        <v>4552</v>
      </c>
      <c r="BA1528">
        <v>1</v>
      </c>
      <c r="BB1528" t="str">
        <f t="shared" si="216"/>
        <v xml:space="preserve">N607SR  </v>
      </c>
      <c r="BC1528">
        <v>1</v>
      </c>
      <c r="BE1528">
        <v>0</v>
      </c>
      <c r="BF1528">
        <v>0</v>
      </c>
      <c r="BG1528">
        <v>0</v>
      </c>
      <c r="BH1528">
        <v>2600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 t="shared" si="245"/>
        <v>06:16:34.709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119</v>
      </c>
      <c r="CQ1528">
        <v>465</v>
      </c>
      <c r="CR1528">
        <v>0</v>
      </c>
      <c r="CW1528">
        <v>4721268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 t="shared" si="242"/>
        <v>08/29/2020 06:16:31.460</v>
      </c>
      <c r="C1529" t="str">
        <f t="shared" si="214"/>
        <v>FFDFD3C0</v>
      </c>
      <c r="D1529" t="s">
        <v>113</v>
      </c>
      <c r="E1529">
        <v>5</v>
      </c>
      <c r="H1529">
        <v>163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243"/>
        <v>06:16:34.703</v>
      </c>
      <c r="T1529" t="str">
        <f t="shared" si="244"/>
        <v>06:16:34.303</v>
      </c>
      <c r="U1529" t="str">
        <f t="shared" si="215"/>
        <v>A7E2E0</v>
      </c>
      <c r="V1529">
        <v>0</v>
      </c>
      <c r="W1529">
        <v>0</v>
      </c>
      <c r="X1529">
        <v>1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1045</v>
      </c>
      <c r="AJ1529">
        <v>39.013824</v>
      </c>
      <c r="AK1529" t="s">
        <v>1046</v>
      </c>
      <c r="AL1529">
        <v>-87.557817</v>
      </c>
      <c r="AM1529">
        <v>100</v>
      </c>
      <c r="AN1529">
        <v>2800</v>
      </c>
      <c r="AO1529" t="s">
        <v>118</v>
      </c>
      <c r="AP1529">
        <v>-93</v>
      </c>
      <c r="AQ1529">
        <v>-125</v>
      </c>
      <c r="AR1529">
        <v>0</v>
      </c>
      <c r="AZ1529">
        <v>4552</v>
      </c>
      <c r="BA1529">
        <v>1</v>
      </c>
      <c r="BB1529" t="str">
        <f t="shared" si="216"/>
        <v xml:space="preserve">N607SR  </v>
      </c>
      <c r="BC1529">
        <v>1</v>
      </c>
      <c r="BE1529">
        <v>0</v>
      </c>
      <c r="BF1529">
        <v>0</v>
      </c>
      <c r="BG1529">
        <v>0</v>
      </c>
      <c r="BH1529">
        <v>2600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 t="shared" si="245"/>
        <v>06:16:34.709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465</v>
      </c>
      <c r="CR1529">
        <v>0</v>
      </c>
      <c r="CW1529">
        <v>4721268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 t="shared" si="242"/>
        <v>08/29/2020 06:16:31.460</v>
      </c>
      <c r="C1530" t="str">
        <f t="shared" si="214"/>
        <v>FFDFD3C0</v>
      </c>
      <c r="D1530" t="s">
        <v>128</v>
      </c>
      <c r="E1530">
        <v>5</v>
      </c>
      <c r="H1530">
        <v>241</v>
      </c>
      <c r="I1530" t="s">
        <v>129</v>
      </c>
      <c r="J1530" t="s">
        <v>130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243"/>
        <v>06:16:34.703</v>
      </c>
      <c r="T1530" t="str">
        <f t="shared" si="244"/>
        <v>06:16:34.303</v>
      </c>
      <c r="U1530" t="str">
        <f t="shared" si="215"/>
        <v>A7E2E0</v>
      </c>
      <c r="V1530">
        <v>0</v>
      </c>
      <c r="W1530">
        <v>0</v>
      </c>
      <c r="X1530">
        <v>1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1045</v>
      </c>
      <c r="AJ1530">
        <v>39.013824</v>
      </c>
      <c r="AK1530" t="s">
        <v>1046</v>
      </c>
      <c r="AL1530">
        <v>-87.557817</v>
      </c>
      <c r="AM1530">
        <v>100</v>
      </c>
      <c r="AN1530">
        <v>2800</v>
      </c>
      <c r="AO1530" t="s">
        <v>118</v>
      </c>
      <c r="AP1530">
        <v>-93</v>
      </c>
      <c r="AQ1530">
        <v>-125</v>
      </c>
      <c r="AR1530">
        <v>0</v>
      </c>
      <c r="AZ1530">
        <v>4552</v>
      </c>
      <c r="BA1530">
        <v>1</v>
      </c>
      <c r="BB1530" t="str">
        <f t="shared" si="216"/>
        <v xml:space="preserve">N607SR  </v>
      </c>
      <c r="BC1530">
        <v>1</v>
      </c>
      <c r="BE1530">
        <v>0</v>
      </c>
      <c r="BF1530">
        <v>0</v>
      </c>
      <c r="BG1530">
        <v>0</v>
      </c>
      <c r="BH1530">
        <v>2600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 t="shared" si="245"/>
        <v>06:16:34.709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465</v>
      </c>
      <c r="CR1530">
        <v>0</v>
      </c>
      <c r="CW1530">
        <v>4721268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 t="shared" ref="A1531:A1536" si="246">"08/29/2020 06:16:32.464"</f>
        <v>08/29/2020 06:16:32.464</v>
      </c>
      <c r="C1531" t="str">
        <f t="shared" si="214"/>
        <v>FFDFD3C0</v>
      </c>
      <c r="D1531" t="s">
        <v>128</v>
      </c>
      <c r="E1531">
        <v>5</v>
      </c>
      <c r="H1531">
        <v>241</v>
      </c>
      <c r="I1531" t="s">
        <v>129</v>
      </c>
      <c r="J1531" t="s">
        <v>130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ref="S1531:S1536" si="247">"06:16:35.664"</f>
        <v>06:16:35.664</v>
      </c>
      <c r="T1531" t="str">
        <f t="shared" ref="T1531:T1536" si="248">"06:16:35.264"</f>
        <v>06:16:35.264</v>
      </c>
      <c r="U1531" t="str">
        <f t="shared" si="215"/>
        <v>A7E2E0</v>
      </c>
      <c r="V1531">
        <v>0</v>
      </c>
      <c r="W1531">
        <v>0</v>
      </c>
      <c r="X1531">
        <v>1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1047</v>
      </c>
      <c r="AJ1531">
        <v>39.013331000000001</v>
      </c>
      <c r="AK1531" t="s">
        <v>1048</v>
      </c>
      <c r="AL1531">
        <v>-87.558289000000002</v>
      </c>
      <c r="AM1531">
        <v>100</v>
      </c>
      <c r="AN1531">
        <v>2800</v>
      </c>
      <c r="AO1531" t="s">
        <v>118</v>
      </c>
      <c r="AP1531">
        <v>-93</v>
      </c>
      <c r="AQ1531">
        <v>-125</v>
      </c>
      <c r="AR1531">
        <v>0</v>
      </c>
      <c r="AZ1531">
        <v>4552</v>
      </c>
      <c r="BA1531">
        <v>1</v>
      </c>
      <c r="BB1531" t="str">
        <f t="shared" si="216"/>
        <v xml:space="preserve">N607SR  </v>
      </c>
      <c r="BC1531">
        <v>1</v>
      </c>
      <c r="BE1531">
        <v>0</v>
      </c>
      <c r="BF1531">
        <v>0</v>
      </c>
      <c r="BG1531">
        <v>0</v>
      </c>
      <c r="BH1531">
        <v>2600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"06:16:35.671"</f>
        <v>06:16:35.671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6</v>
      </c>
      <c r="CP1531" t="s">
        <v>119</v>
      </c>
      <c r="CQ1531">
        <v>465</v>
      </c>
      <c r="CR1531">
        <v>0</v>
      </c>
      <c r="CW1531">
        <v>4721302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 t="shared" si="246"/>
        <v>08/29/2020 06:16:32.464</v>
      </c>
      <c r="C1532" t="str">
        <f t="shared" si="214"/>
        <v>FFDFD3C0</v>
      </c>
      <c r="D1532" t="s">
        <v>113</v>
      </c>
      <c r="E1532">
        <v>5</v>
      </c>
      <c r="H1532">
        <v>163</v>
      </c>
      <c r="I1532" t="s">
        <v>114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247"/>
        <v>06:16:35.664</v>
      </c>
      <c r="T1532" t="str">
        <f t="shared" si="248"/>
        <v>06:16:35.264</v>
      </c>
      <c r="U1532" t="str">
        <f t="shared" si="215"/>
        <v>A7E2E0</v>
      </c>
      <c r="V1532">
        <v>0</v>
      </c>
      <c r="W1532">
        <v>0</v>
      </c>
      <c r="X1532">
        <v>1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1047</v>
      </c>
      <c r="AJ1532">
        <v>39.013331000000001</v>
      </c>
      <c r="AK1532" t="s">
        <v>1048</v>
      </c>
      <c r="AL1532">
        <v>-87.558289000000002</v>
      </c>
      <c r="AM1532">
        <v>100</v>
      </c>
      <c r="AN1532">
        <v>2800</v>
      </c>
      <c r="AO1532" t="s">
        <v>118</v>
      </c>
      <c r="AP1532">
        <v>-93</v>
      </c>
      <c r="AQ1532">
        <v>-125</v>
      </c>
      <c r="AR1532">
        <v>0</v>
      </c>
      <c r="AZ1532">
        <v>4552</v>
      </c>
      <c r="BA1532">
        <v>1</v>
      </c>
      <c r="BB1532" t="str">
        <f t="shared" si="216"/>
        <v xml:space="preserve">N607SR  </v>
      </c>
      <c r="BC1532">
        <v>1</v>
      </c>
      <c r="BE1532">
        <v>0</v>
      </c>
      <c r="BF1532">
        <v>0</v>
      </c>
      <c r="BG1532">
        <v>0</v>
      </c>
      <c r="BH1532">
        <v>2600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"06:16:35.671"</f>
        <v>06:16:35.671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465</v>
      </c>
      <c r="CR1532">
        <v>0</v>
      </c>
      <c r="CW1532">
        <v>4721302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 t="shared" si="246"/>
        <v>08/29/2020 06:16:32.464</v>
      </c>
      <c r="C1533" t="str">
        <f t="shared" si="214"/>
        <v>FFDFD3C0</v>
      </c>
      <c r="D1533" t="s">
        <v>121</v>
      </c>
      <c r="E1533">
        <v>11</v>
      </c>
      <c r="F1533">
        <v>1011</v>
      </c>
      <c r="G1533" t="s">
        <v>125</v>
      </c>
      <c r="J1533" t="s">
        <v>123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247"/>
        <v>06:16:35.664</v>
      </c>
      <c r="T1533" t="str">
        <f t="shared" si="248"/>
        <v>06:16:35.264</v>
      </c>
      <c r="U1533" t="str">
        <f t="shared" si="215"/>
        <v>A7E2E0</v>
      </c>
      <c r="V1533">
        <v>0</v>
      </c>
      <c r="W1533">
        <v>0</v>
      </c>
      <c r="X1533">
        <v>1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1047</v>
      </c>
      <c r="AJ1533">
        <v>39.013331000000001</v>
      </c>
      <c r="AK1533" t="s">
        <v>1048</v>
      </c>
      <c r="AL1533">
        <v>-87.558289000000002</v>
      </c>
      <c r="AM1533">
        <v>100</v>
      </c>
      <c r="AN1533">
        <v>2800</v>
      </c>
      <c r="AO1533" t="s">
        <v>118</v>
      </c>
      <c r="AP1533">
        <v>-93</v>
      </c>
      <c r="AQ1533">
        <v>-125</v>
      </c>
      <c r="AR1533">
        <v>0</v>
      </c>
      <c r="AZ1533">
        <v>4552</v>
      </c>
      <c r="BA1533">
        <v>1</v>
      </c>
      <c r="BB1533" t="str">
        <f t="shared" si="216"/>
        <v xml:space="preserve">N607SR  </v>
      </c>
      <c r="BC1533">
        <v>1</v>
      </c>
      <c r="BE1533">
        <v>0</v>
      </c>
      <c r="BF1533">
        <v>0</v>
      </c>
      <c r="BG1533">
        <v>0</v>
      </c>
      <c r="BH1533">
        <v>2600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"06:16:35.670"</f>
        <v>06:16:35.670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457</v>
      </c>
      <c r="CR1533">
        <v>0</v>
      </c>
      <c r="CW1533">
        <v>15517173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 t="shared" si="246"/>
        <v>08/29/2020 06:16:32.464</v>
      </c>
      <c r="C1534" t="str">
        <f t="shared" si="214"/>
        <v>FFDFD3C0</v>
      </c>
      <c r="D1534" t="s">
        <v>939</v>
      </c>
      <c r="E1534">
        <v>10</v>
      </c>
      <c r="H1534">
        <v>79</v>
      </c>
      <c r="I1534" t="s">
        <v>940</v>
      </c>
      <c r="J1534" t="s">
        <v>130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247"/>
        <v>06:16:35.664</v>
      </c>
      <c r="T1534" t="str">
        <f t="shared" si="248"/>
        <v>06:16:35.264</v>
      </c>
      <c r="U1534" t="str">
        <f t="shared" si="215"/>
        <v>A7E2E0</v>
      </c>
      <c r="V1534">
        <v>0</v>
      </c>
      <c r="W1534">
        <v>0</v>
      </c>
      <c r="X1534">
        <v>1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1047</v>
      </c>
      <c r="AJ1534">
        <v>39.013331000000001</v>
      </c>
      <c r="AK1534" t="s">
        <v>1048</v>
      </c>
      <c r="AL1534">
        <v>-87.558289000000002</v>
      </c>
      <c r="AM1534">
        <v>100</v>
      </c>
      <c r="AN1534">
        <v>2800</v>
      </c>
      <c r="AO1534" t="s">
        <v>118</v>
      </c>
      <c r="AP1534">
        <v>-93</v>
      </c>
      <c r="AQ1534">
        <v>-125</v>
      </c>
      <c r="AR1534">
        <v>0</v>
      </c>
      <c r="AZ1534">
        <v>4552</v>
      </c>
      <c r="BA1534">
        <v>1</v>
      </c>
      <c r="BB1534" t="str">
        <f t="shared" si="216"/>
        <v xml:space="preserve">N607SR  </v>
      </c>
      <c r="BC1534">
        <v>1</v>
      </c>
      <c r="BE1534">
        <v>0</v>
      </c>
      <c r="BF1534">
        <v>0</v>
      </c>
      <c r="BG1534">
        <v>0</v>
      </c>
      <c r="BH1534">
        <v>2600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"06:16:35.671"</f>
        <v>06:16:35.671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465</v>
      </c>
      <c r="CR1534">
        <v>0</v>
      </c>
      <c r="CW1534">
        <v>4721302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 t="shared" si="246"/>
        <v>08/29/2020 06:16:32.464</v>
      </c>
      <c r="C1535" t="str">
        <f t="shared" si="214"/>
        <v>FFDFD3C0</v>
      </c>
      <c r="D1535" t="s">
        <v>121</v>
      </c>
      <c r="E1535">
        <v>13</v>
      </c>
      <c r="F1535">
        <v>1013</v>
      </c>
      <c r="G1535" t="s">
        <v>122</v>
      </c>
      <c r="J1535" t="s">
        <v>123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247"/>
        <v>06:16:35.664</v>
      </c>
      <c r="T1535" t="str">
        <f t="shared" si="248"/>
        <v>06:16:35.264</v>
      </c>
      <c r="U1535" t="str">
        <f t="shared" si="215"/>
        <v>A7E2E0</v>
      </c>
      <c r="V1535">
        <v>0</v>
      </c>
      <c r="W1535">
        <v>0</v>
      </c>
      <c r="X1535">
        <v>1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1047</v>
      </c>
      <c r="AJ1535">
        <v>39.013331000000001</v>
      </c>
      <c r="AK1535" t="s">
        <v>1048</v>
      </c>
      <c r="AL1535">
        <v>-87.558289000000002</v>
      </c>
      <c r="AM1535">
        <v>100</v>
      </c>
      <c r="AN1535">
        <v>2800</v>
      </c>
      <c r="AO1535" t="s">
        <v>118</v>
      </c>
      <c r="AP1535">
        <v>-93</v>
      </c>
      <c r="AQ1535">
        <v>-125</v>
      </c>
      <c r="AR1535">
        <v>0</v>
      </c>
      <c r="AZ1535">
        <v>4552</v>
      </c>
      <c r="BA1535">
        <v>1</v>
      </c>
      <c r="BB1535" t="str">
        <f t="shared" si="216"/>
        <v xml:space="preserve">N607SR  </v>
      </c>
      <c r="BC1535">
        <v>1</v>
      </c>
      <c r="BE1535">
        <v>0</v>
      </c>
      <c r="BF1535">
        <v>0</v>
      </c>
      <c r="BG1535">
        <v>0</v>
      </c>
      <c r="BH1535">
        <v>2600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"06:16:35.671"</f>
        <v>06:16:35.671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465</v>
      </c>
      <c r="CR1535">
        <v>0</v>
      </c>
      <c r="CW1535">
        <v>4721302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 t="shared" si="246"/>
        <v>08/29/2020 06:16:32.464</v>
      </c>
      <c r="C1536" t="str">
        <f t="shared" si="214"/>
        <v>FFDFD3C0</v>
      </c>
      <c r="D1536" t="s">
        <v>121</v>
      </c>
      <c r="E1536">
        <v>10</v>
      </c>
      <c r="F1536">
        <v>1010</v>
      </c>
      <c r="G1536" t="s">
        <v>114</v>
      </c>
      <c r="J1536" t="s">
        <v>123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247"/>
        <v>06:16:35.664</v>
      </c>
      <c r="T1536" t="str">
        <f t="shared" si="248"/>
        <v>06:16:35.264</v>
      </c>
      <c r="U1536" t="str">
        <f t="shared" si="215"/>
        <v>A7E2E0</v>
      </c>
      <c r="V1536">
        <v>0</v>
      </c>
      <c r="W1536">
        <v>0</v>
      </c>
      <c r="X1536">
        <v>1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1047</v>
      </c>
      <c r="AJ1536">
        <v>39.013331000000001</v>
      </c>
      <c r="AK1536" t="s">
        <v>1048</v>
      </c>
      <c r="AL1536">
        <v>-87.558289000000002</v>
      </c>
      <c r="AM1536">
        <v>100</v>
      </c>
      <c r="AN1536">
        <v>2800</v>
      </c>
      <c r="AO1536" t="s">
        <v>118</v>
      </c>
      <c r="AP1536">
        <v>-93</v>
      </c>
      <c r="AQ1536">
        <v>-125</v>
      </c>
      <c r="AR1536">
        <v>0</v>
      </c>
      <c r="AZ1536">
        <v>4552</v>
      </c>
      <c r="BA1536">
        <v>1</v>
      </c>
      <c r="BB1536" t="str">
        <f t="shared" si="216"/>
        <v xml:space="preserve">N607SR  </v>
      </c>
      <c r="BC1536">
        <v>1</v>
      </c>
      <c r="BE1536">
        <v>0</v>
      </c>
      <c r="BF1536">
        <v>0</v>
      </c>
      <c r="BG1536">
        <v>0</v>
      </c>
      <c r="BH1536">
        <v>2600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"06:16:35.671"</f>
        <v>06:16:35.671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465</v>
      </c>
      <c r="CR1536">
        <v>0</v>
      </c>
      <c r="CW1536">
        <v>4721302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 t="shared" ref="A1537:A1542" si="249">"08/29/2020 06:16:33.372"</f>
        <v>08/29/2020 06:16:33.372</v>
      </c>
      <c r="C1537" t="str">
        <f t="shared" si="214"/>
        <v>FFDFD3C0</v>
      </c>
      <c r="D1537" t="s">
        <v>113</v>
      </c>
      <c r="E1537">
        <v>5</v>
      </c>
      <c r="H1537">
        <v>163</v>
      </c>
      <c r="I1537" t="s">
        <v>114</v>
      </c>
      <c r="J1537" t="s">
        <v>115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ref="S1537:S1542" si="250">"06:16:36.594"</f>
        <v>06:16:36.594</v>
      </c>
      <c r="T1537" t="str">
        <f t="shared" ref="T1537:T1542" si="251">"06:16:36.194"</f>
        <v>06:16:36.194</v>
      </c>
      <c r="U1537" t="str">
        <f t="shared" si="215"/>
        <v>A7E2E0</v>
      </c>
      <c r="V1537">
        <v>0</v>
      </c>
      <c r="W1537">
        <v>0</v>
      </c>
      <c r="X1537">
        <v>1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1049</v>
      </c>
      <c r="AJ1537">
        <v>39.012773000000003</v>
      </c>
      <c r="AK1537" t="s">
        <v>1050</v>
      </c>
      <c r="AL1537">
        <v>-87.558761000000004</v>
      </c>
      <c r="AM1537">
        <v>100</v>
      </c>
      <c r="AN1537">
        <v>2800</v>
      </c>
      <c r="AO1537" t="s">
        <v>118</v>
      </c>
      <c r="AP1537">
        <v>-93</v>
      </c>
      <c r="AQ1537">
        <v>-125</v>
      </c>
      <c r="AR1537">
        <v>0</v>
      </c>
      <c r="AZ1537">
        <v>4552</v>
      </c>
      <c r="BA1537">
        <v>1</v>
      </c>
      <c r="BB1537" t="str">
        <f t="shared" si="216"/>
        <v xml:space="preserve">N607SR  </v>
      </c>
      <c r="BC1537">
        <v>1</v>
      </c>
      <c r="BE1537">
        <v>0</v>
      </c>
      <c r="BF1537">
        <v>0</v>
      </c>
      <c r="BG1537">
        <v>0</v>
      </c>
      <c r="BH1537">
        <v>2600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 t="shared" ref="BW1537:BW1542" si="252">"06:16:36.595"</f>
        <v>06:16:36.595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465</v>
      </c>
      <c r="CR1537">
        <v>0</v>
      </c>
      <c r="CW1537">
        <v>4721334</v>
      </c>
      <c r="CY1537">
        <v>1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 t="shared" si="249"/>
        <v>08/29/2020 06:16:33.372</v>
      </c>
      <c r="C1538" t="str">
        <f t="shared" ref="C1538:C1601" si="253">"FFDFD3C0"</f>
        <v>FFDFD3C0</v>
      </c>
      <c r="D1538" t="s">
        <v>128</v>
      </c>
      <c r="E1538">
        <v>5</v>
      </c>
      <c r="H1538">
        <v>241</v>
      </c>
      <c r="I1538" t="s">
        <v>129</v>
      </c>
      <c r="J1538" t="s">
        <v>130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250"/>
        <v>06:16:36.594</v>
      </c>
      <c r="T1538" t="str">
        <f t="shared" si="251"/>
        <v>06:16:36.194</v>
      </c>
      <c r="U1538" t="str">
        <f t="shared" ref="U1538:U1601" si="254">"A7E2E0"</f>
        <v>A7E2E0</v>
      </c>
      <c r="V1538">
        <v>0</v>
      </c>
      <c r="W1538">
        <v>0</v>
      </c>
      <c r="X1538">
        <v>1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1049</v>
      </c>
      <c r="AJ1538">
        <v>39.012773000000003</v>
      </c>
      <c r="AK1538" t="s">
        <v>1050</v>
      </c>
      <c r="AL1538">
        <v>-87.558761000000004</v>
      </c>
      <c r="AM1538">
        <v>100</v>
      </c>
      <c r="AN1538">
        <v>2800</v>
      </c>
      <c r="AO1538" t="s">
        <v>118</v>
      </c>
      <c r="AP1538">
        <v>-93</v>
      </c>
      <c r="AQ1538">
        <v>-125</v>
      </c>
      <c r="AR1538">
        <v>0</v>
      </c>
      <c r="AZ1538">
        <v>4552</v>
      </c>
      <c r="BA1538">
        <v>1</v>
      </c>
      <c r="BB1538" t="str">
        <f t="shared" ref="BB1538:BB1601" si="255">"N607SR  "</f>
        <v xml:space="preserve">N607SR  </v>
      </c>
      <c r="BC1538">
        <v>1</v>
      </c>
      <c r="BE1538">
        <v>0</v>
      </c>
      <c r="BF1538">
        <v>0</v>
      </c>
      <c r="BG1538">
        <v>0</v>
      </c>
      <c r="BH1538">
        <v>2600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 t="shared" si="252"/>
        <v>06:16:36.595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465</v>
      </c>
      <c r="CR1538">
        <v>0</v>
      </c>
      <c r="CW1538">
        <v>4721334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 t="shared" si="249"/>
        <v>08/29/2020 06:16:33.372</v>
      </c>
      <c r="C1539" t="str">
        <f t="shared" si="253"/>
        <v>FFDFD3C0</v>
      </c>
      <c r="D1539" t="s">
        <v>939</v>
      </c>
      <c r="E1539">
        <v>10</v>
      </c>
      <c r="H1539">
        <v>79</v>
      </c>
      <c r="I1539" t="s">
        <v>940</v>
      </c>
      <c r="J1539" t="s">
        <v>130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250"/>
        <v>06:16:36.594</v>
      </c>
      <c r="T1539" t="str">
        <f t="shared" si="251"/>
        <v>06:16:36.194</v>
      </c>
      <c r="U1539" t="str">
        <f t="shared" si="254"/>
        <v>A7E2E0</v>
      </c>
      <c r="V1539">
        <v>0</v>
      </c>
      <c r="W1539">
        <v>0</v>
      </c>
      <c r="X1539">
        <v>1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1049</v>
      </c>
      <c r="AJ1539">
        <v>39.012773000000003</v>
      </c>
      <c r="AK1539" t="s">
        <v>1050</v>
      </c>
      <c r="AL1539">
        <v>-87.558761000000004</v>
      </c>
      <c r="AM1539">
        <v>100</v>
      </c>
      <c r="AN1539">
        <v>2800</v>
      </c>
      <c r="AO1539" t="s">
        <v>118</v>
      </c>
      <c r="AP1539">
        <v>-93</v>
      </c>
      <c r="AQ1539">
        <v>-125</v>
      </c>
      <c r="AR1539">
        <v>0</v>
      </c>
      <c r="AZ1539">
        <v>4552</v>
      </c>
      <c r="BA1539">
        <v>1</v>
      </c>
      <c r="BB1539" t="str">
        <f t="shared" si="255"/>
        <v xml:space="preserve">N607SR  </v>
      </c>
      <c r="BC1539">
        <v>1</v>
      </c>
      <c r="BE1539">
        <v>0</v>
      </c>
      <c r="BF1539">
        <v>0</v>
      </c>
      <c r="BG1539">
        <v>0</v>
      </c>
      <c r="BH1539">
        <v>2600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 t="shared" si="252"/>
        <v>06:16:36.595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6</v>
      </c>
      <c r="CP1539" t="s">
        <v>119</v>
      </c>
      <c r="CQ1539">
        <v>465</v>
      </c>
      <c r="CR1539">
        <v>0</v>
      </c>
      <c r="CW1539">
        <v>4721334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 t="shared" si="249"/>
        <v>08/29/2020 06:16:33.372</v>
      </c>
      <c r="C1540" t="str">
        <f t="shared" si="253"/>
        <v>FFDFD3C0</v>
      </c>
      <c r="D1540" t="s">
        <v>121</v>
      </c>
      <c r="E1540">
        <v>11</v>
      </c>
      <c r="F1540">
        <v>1011</v>
      </c>
      <c r="G1540" t="s">
        <v>125</v>
      </c>
      <c r="J1540" t="s">
        <v>123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250"/>
        <v>06:16:36.594</v>
      </c>
      <c r="T1540" t="str">
        <f t="shared" si="251"/>
        <v>06:16:36.194</v>
      </c>
      <c r="U1540" t="str">
        <f t="shared" si="254"/>
        <v>A7E2E0</v>
      </c>
      <c r="V1540">
        <v>0</v>
      </c>
      <c r="W1540">
        <v>0</v>
      </c>
      <c r="X1540">
        <v>1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1049</v>
      </c>
      <c r="AJ1540">
        <v>39.012773000000003</v>
      </c>
      <c r="AK1540" t="s">
        <v>1050</v>
      </c>
      <c r="AL1540">
        <v>-87.558761000000004</v>
      </c>
      <c r="AM1540">
        <v>100</v>
      </c>
      <c r="AN1540">
        <v>2800</v>
      </c>
      <c r="AO1540" t="s">
        <v>118</v>
      </c>
      <c r="AP1540">
        <v>-93</v>
      </c>
      <c r="AQ1540">
        <v>-125</v>
      </c>
      <c r="AR1540">
        <v>0</v>
      </c>
      <c r="AZ1540">
        <v>4552</v>
      </c>
      <c r="BA1540">
        <v>1</v>
      </c>
      <c r="BB1540" t="str">
        <f t="shared" si="255"/>
        <v xml:space="preserve">N607SR  </v>
      </c>
      <c r="BC1540">
        <v>1</v>
      </c>
      <c r="BE1540">
        <v>0</v>
      </c>
      <c r="BF1540">
        <v>0</v>
      </c>
      <c r="BG1540">
        <v>0</v>
      </c>
      <c r="BH1540">
        <v>2600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 t="shared" si="252"/>
        <v>06:16:36.595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6</v>
      </c>
      <c r="CP1540" t="s">
        <v>119</v>
      </c>
      <c r="CQ1540">
        <v>457</v>
      </c>
      <c r="CR1540">
        <v>0</v>
      </c>
      <c r="CW1540">
        <v>15517197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si="249"/>
        <v>08/29/2020 06:16:33.372</v>
      </c>
      <c r="C1541" t="str">
        <f t="shared" si="253"/>
        <v>FFDFD3C0</v>
      </c>
      <c r="D1541" t="s">
        <v>121</v>
      </c>
      <c r="E1541">
        <v>13</v>
      </c>
      <c r="F1541">
        <v>1013</v>
      </c>
      <c r="G1541" t="s">
        <v>122</v>
      </c>
      <c r="J1541" t="s">
        <v>123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250"/>
        <v>06:16:36.594</v>
      </c>
      <c r="T1541" t="str">
        <f t="shared" si="251"/>
        <v>06:16:36.194</v>
      </c>
      <c r="U1541" t="str">
        <f t="shared" si="254"/>
        <v>A7E2E0</v>
      </c>
      <c r="V1541">
        <v>0</v>
      </c>
      <c r="W1541">
        <v>0</v>
      </c>
      <c r="X1541">
        <v>1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1049</v>
      </c>
      <c r="AJ1541">
        <v>39.012773000000003</v>
      </c>
      <c r="AK1541" t="s">
        <v>1050</v>
      </c>
      <c r="AL1541">
        <v>-87.558761000000004</v>
      </c>
      <c r="AM1541">
        <v>100</v>
      </c>
      <c r="AN1541">
        <v>2800</v>
      </c>
      <c r="AO1541" t="s">
        <v>118</v>
      </c>
      <c r="AP1541">
        <v>-93</v>
      </c>
      <c r="AQ1541">
        <v>-125</v>
      </c>
      <c r="AR1541">
        <v>0</v>
      </c>
      <c r="AZ1541">
        <v>4552</v>
      </c>
      <c r="BA1541">
        <v>1</v>
      </c>
      <c r="BB1541" t="str">
        <f t="shared" si="255"/>
        <v xml:space="preserve">N607SR  </v>
      </c>
      <c r="BC1541">
        <v>1</v>
      </c>
      <c r="BE1541">
        <v>0</v>
      </c>
      <c r="BF1541">
        <v>0</v>
      </c>
      <c r="BG1541">
        <v>0</v>
      </c>
      <c r="BH1541">
        <v>2600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 t="shared" si="252"/>
        <v>06:16:36.595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6</v>
      </c>
      <c r="CP1541" t="s">
        <v>119</v>
      </c>
      <c r="CQ1541">
        <v>465</v>
      </c>
      <c r="CR1541">
        <v>0</v>
      </c>
      <c r="CW1541">
        <v>4721334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249"/>
        <v>08/29/2020 06:16:33.372</v>
      </c>
      <c r="C1542" t="str">
        <f t="shared" si="253"/>
        <v>FFDFD3C0</v>
      </c>
      <c r="D1542" t="s">
        <v>121</v>
      </c>
      <c r="E1542">
        <v>10</v>
      </c>
      <c r="F1542">
        <v>1010</v>
      </c>
      <c r="G1542" t="s">
        <v>114</v>
      </c>
      <c r="J1542" t="s">
        <v>123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250"/>
        <v>06:16:36.594</v>
      </c>
      <c r="T1542" t="str">
        <f t="shared" si="251"/>
        <v>06:16:36.194</v>
      </c>
      <c r="U1542" t="str">
        <f t="shared" si="254"/>
        <v>A7E2E0</v>
      </c>
      <c r="V1542">
        <v>0</v>
      </c>
      <c r="W1542">
        <v>0</v>
      </c>
      <c r="X1542">
        <v>1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1049</v>
      </c>
      <c r="AJ1542">
        <v>39.012773000000003</v>
      </c>
      <c r="AK1542" t="s">
        <v>1050</v>
      </c>
      <c r="AL1542">
        <v>-87.558761000000004</v>
      </c>
      <c r="AM1542">
        <v>100</v>
      </c>
      <c r="AN1542">
        <v>2800</v>
      </c>
      <c r="AO1542" t="s">
        <v>118</v>
      </c>
      <c r="AP1542">
        <v>-93</v>
      </c>
      <c r="AQ1542">
        <v>-125</v>
      </c>
      <c r="AR1542">
        <v>0</v>
      </c>
      <c r="AZ1542">
        <v>4552</v>
      </c>
      <c r="BA1542">
        <v>1</v>
      </c>
      <c r="BB1542" t="str">
        <f t="shared" si="255"/>
        <v xml:space="preserve">N607SR  </v>
      </c>
      <c r="BC1542">
        <v>1</v>
      </c>
      <c r="BE1542">
        <v>0</v>
      </c>
      <c r="BF1542">
        <v>0</v>
      </c>
      <c r="BG1542">
        <v>0</v>
      </c>
      <c r="BH1542">
        <v>2600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 t="shared" si="252"/>
        <v>06:16:36.595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465</v>
      </c>
      <c r="CR1542">
        <v>0</v>
      </c>
      <c r="CW1542">
        <v>4721334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 t="shared" ref="A1543:A1548" si="256">"08/29/2020 06:16:34.386"</f>
        <v>08/29/2020 06:16:34.386</v>
      </c>
      <c r="C1543" t="str">
        <f t="shared" si="253"/>
        <v>FFDFD3C0</v>
      </c>
      <c r="D1543" t="s">
        <v>113</v>
      </c>
      <c r="E1543">
        <v>5</v>
      </c>
      <c r="H1543">
        <v>163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S1548" si="257">"06:16:37.633"</f>
        <v>06:16:37.633</v>
      </c>
      <c r="T1543" t="str">
        <f t="shared" ref="T1543:T1548" si="258">"06:16:37.133"</f>
        <v>06:16:37.133</v>
      </c>
      <c r="U1543" t="str">
        <f t="shared" si="254"/>
        <v>A7E2E0</v>
      </c>
      <c r="V1543">
        <v>0</v>
      </c>
      <c r="W1543">
        <v>0</v>
      </c>
      <c r="X1543">
        <v>1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1051</v>
      </c>
      <c r="AJ1543">
        <v>39.012172</v>
      </c>
      <c r="AK1543" t="s">
        <v>1052</v>
      </c>
      <c r="AL1543">
        <v>-87.559382999999997</v>
      </c>
      <c r="AM1543">
        <v>100</v>
      </c>
      <c r="AN1543">
        <v>2800</v>
      </c>
      <c r="AO1543" t="s">
        <v>118</v>
      </c>
      <c r="AP1543">
        <v>-93</v>
      </c>
      <c r="AQ1543">
        <v>-125</v>
      </c>
      <c r="AR1543">
        <v>0</v>
      </c>
      <c r="AZ1543">
        <v>4552</v>
      </c>
      <c r="BA1543">
        <v>1</v>
      </c>
      <c r="BB1543" t="str">
        <f t="shared" si="255"/>
        <v xml:space="preserve">N607SR  </v>
      </c>
      <c r="BC1543">
        <v>1</v>
      </c>
      <c r="BE1543">
        <v>0</v>
      </c>
      <c r="BF1543">
        <v>0</v>
      </c>
      <c r="BG1543">
        <v>0</v>
      </c>
      <c r="BH1543">
        <v>2600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 t="shared" ref="BW1543:BW1548" si="259">"06:16:37.640"</f>
        <v>06:16:37.640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465</v>
      </c>
      <c r="CR1543">
        <v>0</v>
      </c>
      <c r="CW1543">
        <v>4721370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 t="shared" si="256"/>
        <v>08/29/2020 06:16:34.386</v>
      </c>
      <c r="C1544" t="str">
        <f t="shared" si="253"/>
        <v>FFDFD3C0</v>
      </c>
      <c r="D1544" t="s">
        <v>128</v>
      </c>
      <c r="E1544">
        <v>5</v>
      </c>
      <c r="H1544">
        <v>241</v>
      </c>
      <c r="I1544" t="s">
        <v>129</v>
      </c>
      <c r="J1544" t="s">
        <v>130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257"/>
        <v>06:16:37.633</v>
      </c>
      <c r="T1544" t="str">
        <f t="shared" si="258"/>
        <v>06:16:37.133</v>
      </c>
      <c r="U1544" t="str">
        <f t="shared" si="254"/>
        <v>A7E2E0</v>
      </c>
      <c r="V1544">
        <v>0</v>
      </c>
      <c r="W1544">
        <v>0</v>
      </c>
      <c r="X1544">
        <v>1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1051</v>
      </c>
      <c r="AJ1544">
        <v>39.012172</v>
      </c>
      <c r="AK1544" t="s">
        <v>1052</v>
      </c>
      <c r="AL1544">
        <v>-87.559382999999997</v>
      </c>
      <c r="AM1544">
        <v>100</v>
      </c>
      <c r="AN1544">
        <v>2800</v>
      </c>
      <c r="AO1544" t="s">
        <v>118</v>
      </c>
      <c r="AP1544">
        <v>-93</v>
      </c>
      <c r="AQ1544">
        <v>-125</v>
      </c>
      <c r="AR1544">
        <v>0</v>
      </c>
      <c r="AZ1544">
        <v>4552</v>
      </c>
      <c r="BA1544">
        <v>1</v>
      </c>
      <c r="BB1544" t="str">
        <f t="shared" si="255"/>
        <v xml:space="preserve">N607SR  </v>
      </c>
      <c r="BC1544">
        <v>1</v>
      </c>
      <c r="BE1544">
        <v>0</v>
      </c>
      <c r="BF1544">
        <v>0</v>
      </c>
      <c r="BG1544">
        <v>0</v>
      </c>
      <c r="BH1544">
        <v>2600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 t="shared" si="259"/>
        <v>06:16:37.640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465</v>
      </c>
      <c r="CR1544">
        <v>0</v>
      </c>
      <c r="CW1544">
        <v>4721370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 t="shared" si="256"/>
        <v>08/29/2020 06:16:34.386</v>
      </c>
      <c r="C1545" t="str">
        <f t="shared" si="253"/>
        <v>FFDFD3C0</v>
      </c>
      <c r="D1545" t="s">
        <v>939</v>
      </c>
      <c r="E1545">
        <v>10</v>
      </c>
      <c r="H1545">
        <v>79</v>
      </c>
      <c r="I1545" t="s">
        <v>940</v>
      </c>
      <c r="J1545" t="s">
        <v>130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257"/>
        <v>06:16:37.633</v>
      </c>
      <c r="T1545" t="str">
        <f t="shared" si="258"/>
        <v>06:16:37.133</v>
      </c>
      <c r="U1545" t="str">
        <f t="shared" si="254"/>
        <v>A7E2E0</v>
      </c>
      <c r="V1545">
        <v>0</v>
      </c>
      <c r="W1545">
        <v>0</v>
      </c>
      <c r="X1545">
        <v>1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1051</v>
      </c>
      <c r="AJ1545">
        <v>39.012172</v>
      </c>
      <c r="AK1545" t="s">
        <v>1052</v>
      </c>
      <c r="AL1545">
        <v>-87.559382999999997</v>
      </c>
      <c r="AM1545">
        <v>100</v>
      </c>
      <c r="AN1545">
        <v>2800</v>
      </c>
      <c r="AO1545" t="s">
        <v>118</v>
      </c>
      <c r="AP1545">
        <v>-93</v>
      </c>
      <c r="AQ1545">
        <v>-125</v>
      </c>
      <c r="AR1545">
        <v>0</v>
      </c>
      <c r="AZ1545">
        <v>4552</v>
      </c>
      <c r="BA1545">
        <v>1</v>
      </c>
      <c r="BB1545" t="str">
        <f t="shared" si="255"/>
        <v xml:space="preserve">N607SR  </v>
      </c>
      <c r="BC1545">
        <v>1</v>
      </c>
      <c r="BE1545">
        <v>0</v>
      </c>
      <c r="BF1545">
        <v>0</v>
      </c>
      <c r="BG1545">
        <v>0</v>
      </c>
      <c r="BH1545">
        <v>2600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 t="shared" si="259"/>
        <v>06:16:37.640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465</v>
      </c>
      <c r="CR1545">
        <v>0</v>
      </c>
      <c r="CW1545">
        <v>4721370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 t="shared" si="256"/>
        <v>08/29/2020 06:16:34.386</v>
      </c>
      <c r="C1546" t="str">
        <f t="shared" si="253"/>
        <v>FFDFD3C0</v>
      </c>
      <c r="D1546" t="s">
        <v>121</v>
      </c>
      <c r="E1546">
        <v>11</v>
      </c>
      <c r="F1546">
        <v>1011</v>
      </c>
      <c r="G1546" t="s">
        <v>125</v>
      </c>
      <c r="J1546" t="s">
        <v>123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257"/>
        <v>06:16:37.633</v>
      </c>
      <c r="T1546" t="str">
        <f t="shared" si="258"/>
        <v>06:16:37.133</v>
      </c>
      <c r="U1546" t="str">
        <f t="shared" si="254"/>
        <v>A7E2E0</v>
      </c>
      <c r="V1546">
        <v>0</v>
      </c>
      <c r="W1546">
        <v>0</v>
      </c>
      <c r="X1546">
        <v>1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1051</v>
      </c>
      <c r="AJ1546">
        <v>39.012172</v>
      </c>
      <c r="AK1546" t="s">
        <v>1052</v>
      </c>
      <c r="AL1546">
        <v>-87.559382999999997</v>
      </c>
      <c r="AM1546">
        <v>100</v>
      </c>
      <c r="AN1546">
        <v>2800</v>
      </c>
      <c r="AO1546" t="s">
        <v>118</v>
      </c>
      <c r="AP1546">
        <v>-93</v>
      </c>
      <c r="AQ1546">
        <v>-125</v>
      </c>
      <c r="AR1546">
        <v>0</v>
      </c>
      <c r="AZ1546">
        <v>4552</v>
      </c>
      <c r="BA1546">
        <v>1</v>
      </c>
      <c r="BB1546" t="str">
        <f t="shared" si="255"/>
        <v xml:space="preserve">N607SR  </v>
      </c>
      <c r="BC1546">
        <v>1</v>
      </c>
      <c r="BE1546">
        <v>0</v>
      </c>
      <c r="BF1546">
        <v>0</v>
      </c>
      <c r="BG1546">
        <v>0</v>
      </c>
      <c r="BH1546">
        <v>2600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 t="shared" si="259"/>
        <v>06:16:37.640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457</v>
      </c>
      <c r="CR1546">
        <v>0</v>
      </c>
      <c r="CW1546">
        <v>15517226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 t="shared" si="256"/>
        <v>08/29/2020 06:16:34.386</v>
      </c>
      <c r="C1547" t="str">
        <f t="shared" si="253"/>
        <v>FFDFD3C0</v>
      </c>
      <c r="D1547" t="s">
        <v>121</v>
      </c>
      <c r="E1547">
        <v>13</v>
      </c>
      <c r="F1547">
        <v>1013</v>
      </c>
      <c r="G1547" t="s">
        <v>122</v>
      </c>
      <c r="J1547" t="s">
        <v>123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257"/>
        <v>06:16:37.633</v>
      </c>
      <c r="T1547" t="str">
        <f t="shared" si="258"/>
        <v>06:16:37.133</v>
      </c>
      <c r="U1547" t="str">
        <f t="shared" si="254"/>
        <v>A7E2E0</v>
      </c>
      <c r="V1547">
        <v>0</v>
      </c>
      <c r="W1547">
        <v>0</v>
      </c>
      <c r="X1547">
        <v>1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1051</v>
      </c>
      <c r="AJ1547">
        <v>39.012172</v>
      </c>
      <c r="AK1547" t="s">
        <v>1052</v>
      </c>
      <c r="AL1547">
        <v>-87.559382999999997</v>
      </c>
      <c r="AM1547">
        <v>100</v>
      </c>
      <c r="AN1547">
        <v>2800</v>
      </c>
      <c r="AO1547" t="s">
        <v>118</v>
      </c>
      <c r="AP1547">
        <v>-93</v>
      </c>
      <c r="AQ1547">
        <v>-125</v>
      </c>
      <c r="AR1547">
        <v>0</v>
      </c>
      <c r="AZ1547">
        <v>4552</v>
      </c>
      <c r="BA1547">
        <v>1</v>
      </c>
      <c r="BB1547" t="str">
        <f t="shared" si="255"/>
        <v xml:space="preserve">N607SR  </v>
      </c>
      <c r="BC1547">
        <v>1</v>
      </c>
      <c r="BE1547">
        <v>0</v>
      </c>
      <c r="BF1547">
        <v>0</v>
      </c>
      <c r="BG1547">
        <v>0</v>
      </c>
      <c r="BH1547">
        <v>2600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 t="shared" si="259"/>
        <v>06:16:37.640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465</v>
      </c>
      <c r="CR1547">
        <v>0</v>
      </c>
      <c r="CW1547">
        <v>4721370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 t="shared" si="256"/>
        <v>08/29/2020 06:16:34.386</v>
      </c>
      <c r="C1548" t="str">
        <f t="shared" si="253"/>
        <v>FFDFD3C0</v>
      </c>
      <c r="D1548" t="s">
        <v>121</v>
      </c>
      <c r="E1548">
        <v>10</v>
      </c>
      <c r="F1548">
        <v>1010</v>
      </c>
      <c r="G1548" t="s">
        <v>114</v>
      </c>
      <c r="J1548" t="s">
        <v>123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257"/>
        <v>06:16:37.633</v>
      </c>
      <c r="T1548" t="str">
        <f t="shared" si="258"/>
        <v>06:16:37.133</v>
      </c>
      <c r="U1548" t="str">
        <f t="shared" si="254"/>
        <v>A7E2E0</v>
      </c>
      <c r="V1548">
        <v>0</v>
      </c>
      <c r="W1548">
        <v>0</v>
      </c>
      <c r="X1548">
        <v>1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1051</v>
      </c>
      <c r="AJ1548">
        <v>39.012172</v>
      </c>
      <c r="AK1548" t="s">
        <v>1052</v>
      </c>
      <c r="AL1548">
        <v>-87.559382999999997</v>
      </c>
      <c r="AM1548">
        <v>100</v>
      </c>
      <c r="AN1548">
        <v>2800</v>
      </c>
      <c r="AO1548" t="s">
        <v>118</v>
      </c>
      <c r="AP1548">
        <v>-93</v>
      </c>
      <c r="AQ1548">
        <v>-125</v>
      </c>
      <c r="AR1548">
        <v>0</v>
      </c>
      <c r="AZ1548">
        <v>4552</v>
      </c>
      <c r="BA1548">
        <v>1</v>
      </c>
      <c r="BB1548" t="str">
        <f t="shared" si="255"/>
        <v xml:space="preserve">N607SR  </v>
      </c>
      <c r="BC1548">
        <v>1</v>
      </c>
      <c r="BE1548">
        <v>0</v>
      </c>
      <c r="BF1548">
        <v>0</v>
      </c>
      <c r="BG1548">
        <v>0</v>
      </c>
      <c r="BH1548">
        <v>2600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 t="shared" si="259"/>
        <v>06:16:37.640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465</v>
      </c>
      <c r="CR1548">
        <v>0</v>
      </c>
      <c r="CW1548">
        <v>4721370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 t="shared" ref="A1549:A1554" si="260">"08/29/2020 06:16:35.594"</f>
        <v>08/29/2020 06:16:35.594</v>
      </c>
      <c r="C1549" t="str">
        <f t="shared" si="253"/>
        <v>FFDFD3C0</v>
      </c>
      <c r="D1549" t="s">
        <v>939</v>
      </c>
      <c r="E1549">
        <v>10</v>
      </c>
      <c r="H1549">
        <v>79</v>
      </c>
      <c r="I1549" t="s">
        <v>940</v>
      </c>
      <c r="J1549" t="s">
        <v>130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ref="S1549:S1554" si="261">"06:16:38.797"</f>
        <v>06:16:38.797</v>
      </c>
      <c r="T1549" t="str">
        <f t="shared" ref="T1549:T1554" si="262">"06:16:38.297"</f>
        <v>06:16:38.297</v>
      </c>
      <c r="U1549" t="str">
        <f t="shared" si="254"/>
        <v>A7E2E0</v>
      </c>
      <c r="V1549">
        <v>0</v>
      </c>
      <c r="W1549">
        <v>0</v>
      </c>
      <c r="X1549">
        <v>1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1053</v>
      </c>
      <c r="AJ1549">
        <v>39.011527999999998</v>
      </c>
      <c r="AK1549" t="s">
        <v>1054</v>
      </c>
      <c r="AL1549">
        <v>-87.560027000000005</v>
      </c>
      <c r="AM1549">
        <v>100</v>
      </c>
      <c r="AN1549">
        <v>2800</v>
      </c>
      <c r="AO1549" t="s">
        <v>118</v>
      </c>
      <c r="AP1549">
        <v>-93</v>
      </c>
      <c r="AQ1549">
        <v>-125</v>
      </c>
      <c r="AR1549">
        <v>0</v>
      </c>
      <c r="AZ1549">
        <v>4552</v>
      </c>
      <c r="BA1549">
        <v>1</v>
      </c>
      <c r="BB1549" t="str">
        <f t="shared" si="255"/>
        <v xml:space="preserve">N607SR  </v>
      </c>
      <c r="BC1549">
        <v>1</v>
      </c>
      <c r="BE1549">
        <v>0</v>
      </c>
      <c r="BF1549">
        <v>0</v>
      </c>
      <c r="BG1549">
        <v>0</v>
      </c>
      <c r="BH1549">
        <v>2600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 t="shared" ref="BW1549:BW1554" si="263">"06:16:38.802"</f>
        <v>06:16:38.802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465</v>
      </c>
      <c r="CR1549">
        <v>0</v>
      </c>
      <c r="CW1549">
        <v>4721411</v>
      </c>
      <c r="CY1549">
        <v>1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 t="shared" si="260"/>
        <v>08/29/2020 06:16:35.594</v>
      </c>
      <c r="C1550" t="str">
        <f t="shared" si="253"/>
        <v>FFDFD3C0</v>
      </c>
      <c r="D1550" t="s">
        <v>113</v>
      </c>
      <c r="E1550">
        <v>5</v>
      </c>
      <c r="H1550">
        <v>163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261"/>
        <v>06:16:38.797</v>
      </c>
      <c r="T1550" t="str">
        <f t="shared" si="262"/>
        <v>06:16:38.297</v>
      </c>
      <c r="U1550" t="str">
        <f t="shared" si="254"/>
        <v>A7E2E0</v>
      </c>
      <c r="V1550">
        <v>0</v>
      </c>
      <c r="W1550">
        <v>0</v>
      </c>
      <c r="X1550">
        <v>1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1053</v>
      </c>
      <c r="AJ1550">
        <v>39.011527999999998</v>
      </c>
      <c r="AK1550" t="s">
        <v>1054</v>
      </c>
      <c r="AL1550">
        <v>-87.560027000000005</v>
      </c>
      <c r="AM1550">
        <v>100</v>
      </c>
      <c r="AN1550">
        <v>2800</v>
      </c>
      <c r="AO1550" t="s">
        <v>118</v>
      </c>
      <c r="AP1550">
        <v>-93</v>
      </c>
      <c r="AQ1550">
        <v>-125</v>
      </c>
      <c r="AR1550">
        <v>0</v>
      </c>
      <c r="AZ1550">
        <v>4552</v>
      </c>
      <c r="BA1550">
        <v>1</v>
      </c>
      <c r="BB1550" t="str">
        <f t="shared" si="255"/>
        <v xml:space="preserve">N607SR  </v>
      </c>
      <c r="BC1550">
        <v>1</v>
      </c>
      <c r="BE1550">
        <v>0</v>
      </c>
      <c r="BF1550">
        <v>0</v>
      </c>
      <c r="BG1550">
        <v>0</v>
      </c>
      <c r="BH1550">
        <v>2600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 t="shared" si="263"/>
        <v>06:16:38.802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465</v>
      </c>
      <c r="CR1550">
        <v>0</v>
      </c>
      <c r="CW1550">
        <v>4721411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 t="shared" si="260"/>
        <v>08/29/2020 06:16:35.594</v>
      </c>
      <c r="C1551" t="str">
        <f t="shared" si="253"/>
        <v>FFDFD3C0</v>
      </c>
      <c r="D1551" t="s">
        <v>128</v>
      </c>
      <c r="E1551">
        <v>5</v>
      </c>
      <c r="H1551">
        <v>241</v>
      </c>
      <c r="I1551" t="s">
        <v>129</v>
      </c>
      <c r="J1551" t="s">
        <v>130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261"/>
        <v>06:16:38.797</v>
      </c>
      <c r="T1551" t="str">
        <f t="shared" si="262"/>
        <v>06:16:38.297</v>
      </c>
      <c r="U1551" t="str">
        <f t="shared" si="254"/>
        <v>A7E2E0</v>
      </c>
      <c r="V1551">
        <v>0</v>
      </c>
      <c r="W1551">
        <v>0</v>
      </c>
      <c r="X1551">
        <v>1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1053</v>
      </c>
      <c r="AJ1551">
        <v>39.011527999999998</v>
      </c>
      <c r="AK1551" t="s">
        <v>1054</v>
      </c>
      <c r="AL1551">
        <v>-87.560027000000005</v>
      </c>
      <c r="AM1551">
        <v>100</v>
      </c>
      <c r="AN1551">
        <v>2800</v>
      </c>
      <c r="AO1551" t="s">
        <v>118</v>
      </c>
      <c r="AP1551">
        <v>-93</v>
      </c>
      <c r="AQ1551">
        <v>-125</v>
      </c>
      <c r="AR1551">
        <v>0</v>
      </c>
      <c r="AZ1551">
        <v>4552</v>
      </c>
      <c r="BA1551">
        <v>1</v>
      </c>
      <c r="BB1551" t="str">
        <f t="shared" si="255"/>
        <v xml:space="preserve">N607SR  </v>
      </c>
      <c r="BC1551">
        <v>1</v>
      </c>
      <c r="BE1551">
        <v>0</v>
      </c>
      <c r="BF1551">
        <v>0</v>
      </c>
      <c r="BG1551">
        <v>0</v>
      </c>
      <c r="BH1551">
        <v>2600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 t="shared" si="263"/>
        <v>06:16:38.802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465</v>
      </c>
      <c r="CR1551">
        <v>0</v>
      </c>
      <c r="CW1551">
        <v>4721411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 t="shared" si="260"/>
        <v>08/29/2020 06:16:35.594</v>
      </c>
      <c r="C1552" t="str">
        <f t="shared" si="253"/>
        <v>FFDFD3C0</v>
      </c>
      <c r="D1552" t="s">
        <v>121</v>
      </c>
      <c r="E1552">
        <v>11</v>
      </c>
      <c r="F1552">
        <v>1011</v>
      </c>
      <c r="G1552" t="s">
        <v>125</v>
      </c>
      <c r="J1552" t="s">
        <v>123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261"/>
        <v>06:16:38.797</v>
      </c>
      <c r="T1552" t="str">
        <f t="shared" si="262"/>
        <v>06:16:38.297</v>
      </c>
      <c r="U1552" t="str">
        <f t="shared" si="254"/>
        <v>A7E2E0</v>
      </c>
      <c r="V1552">
        <v>0</v>
      </c>
      <c r="W1552">
        <v>0</v>
      </c>
      <c r="X1552">
        <v>1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1053</v>
      </c>
      <c r="AJ1552">
        <v>39.011527999999998</v>
      </c>
      <c r="AK1552" t="s">
        <v>1054</v>
      </c>
      <c r="AL1552">
        <v>-87.560027000000005</v>
      </c>
      <c r="AM1552">
        <v>100</v>
      </c>
      <c r="AN1552">
        <v>2800</v>
      </c>
      <c r="AO1552" t="s">
        <v>118</v>
      </c>
      <c r="AP1552">
        <v>-93</v>
      </c>
      <c r="AQ1552">
        <v>-125</v>
      </c>
      <c r="AR1552">
        <v>0</v>
      </c>
      <c r="AZ1552">
        <v>4552</v>
      </c>
      <c r="BA1552">
        <v>1</v>
      </c>
      <c r="BB1552" t="str">
        <f t="shared" si="255"/>
        <v xml:space="preserve">N607SR  </v>
      </c>
      <c r="BC1552">
        <v>1</v>
      </c>
      <c r="BE1552">
        <v>0</v>
      </c>
      <c r="BF1552">
        <v>0</v>
      </c>
      <c r="BG1552">
        <v>0</v>
      </c>
      <c r="BH1552">
        <v>2600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 t="shared" si="263"/>
        <v>06:16:38.802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457</v>
      </c>
      <c r="CR1552">
        <v>0</v>
      </c>
      <c r="CW1552">
        <v>15517262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 t="shared" si="260"/>
        <v>08/29/2020 06:16:35.594</v>
      </c>
      <c r="C1553" t="str">
        <f t="shared" si="253"/>
        <v>FFDFD3C0</v>
      </c>
      <c r="D1553" t="s">
        <v>121</v>
      </c>
      <c r="E1553">
        <v>13</v>
      </c>
      <c r="F1553">
        <v>1013</v>
      </c>
      <c r="G1553" t="s">
        <v>122</v>
      </c>
      <c r="J1553" t="s">
        <v>123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261"/>
        <v>06:16:38.797</v>
      </c>
      <c r="T1553" t="str">
        <f t="shared" si="262"/>
        <v>06:16:38.297</v>
      </c>
      <c r="U1553" t="str">
        <f t="shared" si="254"/>
        <v>A7E2E0</v>
      </c>
      <c r="V1553">
        <v>0</v>
      </c>
      <c r="W1553">
        <v>0</v>
      </c>
      <c r="X1553">
        <v>1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1053</v>
      </c>
      <c r="AJ1553">
        <v>39.011527999999998</v>
      </c>
      <c r="AK1553" t="s">
        <v>1054</v>
      </c>
      <c r="AL1553">
        <v>-87.560027000000005</v>
      </c>
      <c r="AM1553">
        <v>100</v>
      </c>
      <c r="AN1553">
        <v>2800</v>
      </c>
      <c r="AO1553" t="s">
        <v>118</v>
      </c>
      <c r="AP1553">
        <v>-93</v>
      </c>
      <c r="AQ1553">
        <v>-125</v>
      </c>
      <c r="AR1553">
        <v>0</v>
      </c>
      <c r="AZ1553">
        <v>4552</v>
      </c>
      <c r="BA1553">
        <v>1</v>
      </c>
      <c r="BB1553" t="str">
        <f t="shared" si="255"/>
        <v xml:space="preserve">N607SR  </v>
      </c>
      <c r="BC1553">
        <v>1</v>
      </c>
      <c r="BE1553">
        <v>0</v>
      </c>
      <c r="BF1553">
        <v>0</v>
      </c>
      <c r="BG1553">
        <v>0</v>
      </c>
      <c r="BH1553">
        <v>2600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 t="shared" si="263"/>
        <v>06:16:38.802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465</v>
      </c>
      <c r="CR1553">
        <v>0</v>
      </c>
      <c r="CW1553">
        <v>4721411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 t="shared" si="260"/>
        <v>08/29/2020 06:16:35.594</v>
      </c>
      <c r="C1554" t="str">
        <f t="shared" si="253"/>
        <v>FFDFD3C0</v>
      </c>
      <c r="D1554" t="s">
        <v>121</v>
      </c>
      <c r="E1554">
        <v>10</v>
      </c>
      <c r="F1554">
        <v>1010</v>
      </c>
      <c r="G1554" t="s">
        <v>114</v>
      </c>
      <c r="J1554" t="s">
        <v>123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261"/>
        <v>06:16:38.797</v>
      </c>
      <c r="T1554" t="str">
        <f t="shared" si="262"/>
        <v>06:16:38.297</v>
      </c>
      <c r="U1554" t="str">
        <f t="shared" si="254"/>
        <v>A7E2E0</v>
      </c>
      <c r="V1554">
        <v>0</v>
      </c>
      <c r="W1554">
        <v>0</v>
      </c>
      <c r="X1554">
        <v>1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1053</v>
      </c>
      <c r="AJ1554">
        <v>39.011527999999998</v>
      </c>
      <c r="AK1554" t="s">
        <v>1054</v>
      </c>
      <c r="AL1554">
        <v>-87.560027000000005</v>
      </c>
      <c r="AM1554">
        <v>100</v>
      </c>
      <c r="AN1554">
        <v>2800</v>
      </c>
      <c r="AO1554" t="s">
        <v>118</v>
      </c>
      <c r="AP1554">
        <v>-93</v>
      </c>
      <c r="AQ1554">
        <v>-125</v>
      </c>
      <c r="AR1554">
        <v>0</v>
      </c>
      <c r="AZ1554">
        <v>4552</v>
      </c>
      <c r="BA1554">
        <v>1</v>
      </c>
      <c r="BB1554" t="str">
        <f t="shared" si="255"/>
        <v xml:space="preserve">N607SR  </v>
      </c>
      <c r="BC1554">
        <v>1</v>
      </c>
      <c r="BE1554">
        <v>0</v>
      </c>
      <c r="BF1554">
        <v>0</v>
      </c>
      <c r="BG1554">
        <v>0</v>
      </c>
      <c r="BH1554">
        <v>2600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 t="shared" si="263"/>
        <v>06:16:38.802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465</v>
      </c>
      <c r="CR1554">
        <v>0</v>
      </c>
      <c r="CW1554">
        <v>4721411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 t="shared" ref="A1555:A1560" si="264">"08/29/2020 06:16:36.700"</f>
        <v>08/29/2020 06:16:36.700</v>
      </c>
      <c r="C1555" t="str">
        <f t="shared" si="253"/>
        <v>FFDFD3C0</v>
      </c>
      <c r="D1555" t="s">
        <v>939</v>
      </c>
      <c r="E1555">
        <v>10</v>
      </c>
      <c r="H1555">
        <v>79</v>
      </c>
      <c r="I1555" t="s">
        <v>940</v>
      </c>
      <c r="J1555" t="s">
        <v>130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ref="S1555:S1560" si="265">"06:16:39.898"</f>
        <v>06:16:39.898</v>
      </c>
      <c r="T1555" t="str">
        <f>"06:16:39.398"</f>
        <v>06:16:39.398</v>
      </c>
      <c r="U1555" t="str">
        <f t="shared" si="254"/>
        <v>A7E2E0</v>
      </c>
      <c r="V1555">
        <v>0</v>
      </c>
      <c r="W1555">
        <v>0</v>
      </c>
      <c r="X1555">
        <v>1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1055</v>
      </c>
      <c r="AJ1555">
        <v>39.010863000000001</v>
      </c>
      <c r="AK1555" t="s">
        <v>1056</v>
      </c>
      <c r="AL1555">
        <v>-87.560606000000007</v>
      </c>
      <c r="AM1555">
        <v>100</v>
      </c>
      <c r="AN1555">
        <v>2800</v>
      </c>
      <c r="AO1555" t="s">
        <v>118</v>
      </c>
      <c r="AP1555">
        <v>-93</v>
      </c>
      <c r="AQ1555">
        <v>-125</v>
      </c>
      <c r="AR1555">
        <v>0</v>
      </c>
      <c r="AZ1555">
        <v>4552</v>
      </c>
      <c r="BA1555">
        <v>1</v>
      </c>
      <c r="BB1555" t="str">
        <f t="shared" si="255"/>
        <v xml:space="preserve">N607SR  </v>
      </c>
      <c r="BC1555">
        <v>1</v>
      </c>
      <c r="BE1555">
        <v>0</v>
      </c>
      <c r="BF1555">
        <v>0</v>
      </c>
      <c r="BG1555">
        <v>0</v>
      </c>
      <c r="BH1555">
        <v>2600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 t="shared" ref="BW1555:BW1560" si="266">"06:16:39.901"</f>
        <v>06:16:39.901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6</v>
      </c>
      <c r="CP1555" t="s">
        <v>119</v>
      </c>
      <c r="CQ1555">
        <v>465</v>
      </c>
      <c r="CR1555">
        <v>0</v>
      </c>
      <c r="CW1555">
        <v>4721443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 t="shared" si="264"/>
        <v>08/29/2020 06:16:36.700</v>
      </c>
      <c r="C1556" t="str">
        <f t="shared" si="253"/>
        <v>FFDFD3C0</v>
      </c>
      <c r="D1556" t="s">
        <v>121</v>
      </c>
      <c r="E1556">
        <v>10</v>
      </c>
      <c r="F1556">
        <v>1010</v>
      </c>
      <c r="G1556" t="s">
        <v>114</v>
      </c>
      <c r="J1556" t="s">
        <v>123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265"/>
        <v>06:16:39.898</v>
      </c>
      <c r="U1556" t="str">
        <f t="shared" si="254"/>
        <v>A7E2E0</v>
      </c>
      <c r="V1556">
        <v>0</v>
      </c>
      <c r="W1556">
        <v>0</v>
      </c>
      <c r="X1556">
        <v>1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1055</v>
      </c>
      <c r="AJ1556">
        <v>39.010863000000001</v>
      </c>
      <c r="AK1556" t="s">
        <v>1056</v>
      </c>
      <c r="AL1556">
        <v>-87.560606000000007</v>
      </c>
      <c r="AM1556">
        <v>100</v>
      </c>
      <c r="AN1556">
        <v>2800</v>
      </c>
      <c r="AO1556" t="s">
        <v>118</v>
      </c>
      <c r="AP1556">
        <v>-93</v>
      </c>
      <c r="AQ1556">
        <v>-125</v>
      </c>
      <c r="AR1556">
        <v>0</v>
      </c>
      <c r="AZ1556">
        <v>4552</v>
      </c>
      <c r="BA1556">
        <v>1</v>
      </c>
      <c r="BB1556" t="str">
        <f t="shared" si="255"/>
        <v xml:space="preserve">N607SR  </v>
      </c>
      <c r="BC1556">
        <v>1</v>
      </c>
      <c r="BE1556">
        <v>0</v>
      </c>
      <c r="BF1556">
        <v>0</v>
      </c>
      <c r="BG1556">
        <v>0</v>
      </c>
      <c r="BH1556">
        <v>2600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 t="shared" si="266"/>
        <v>06:16:39.901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4</v>
      </c>
      <c r="CP1556" t="s">
        <v>119</v>
      </c>
      <c r="CQ1556">
        <v>528</v>
      </c>
      <c r="CR1556">
        <v>1</v>
      </c>
      <c r="CW1556">
        <v>13098005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 t="shared" si="264"/>
        <v>08/29/2020 06:16:36.700</v>
      </c>
      <c r="C1557" t="str">
        <f t="shared" si="253"/>
        <v>FFDFD3C0</v>
      </c>
      <c r="D1557" t="s">
        <v>121</v>
      </c>
      <c r="E1557">
        <v>13</v>
      </c>
      <c r="F1557">
        <v>1013</v>
      </c>
      <c r="G1557" t="s">
        <v>122</v>
      </c>
      <c r="J1557" t="s">
        <v>123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265"/>
        <v>06:16:39.898</v>
      </c>
      <c r="U1557" t="str">
        <f t="shared" si="254"/>
        <v>A7E2E0</v>
      </c>
      <c r="V1557">
        <v>0</v>
      </c>
      <c r="W1557">
        <v>0</v>
      </c>
      <c r="X1557">
        <v>1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1055</v>
      </c>
      <c r="AJ1557">
        <v>39.010863000000001</v>
      </c>
      <c r="AK1557" t="s">
        <v>1056</v>
      </c>
      <c r="AL1557">
        <v>-87.560606000000007</v>
      </c>
      <c r="AM1557">
        <v>100</v>
      </c>
      <c r="AN1557">
        <v>2800</v>
      </c>
      <c r="AO1557" t="s">
        <v>118</v>
      </c>
      <c r="AP1557">
        <v>-93</v>
      </c>
      <c r="AQ1557">
        <v>-125</v>
      </c>
      <c r="AR1557">
        <v>0</v>
      </c>
      <c r="AZ1557">
        <v>4552</v>
      </c>
      <c r="BA1557">
        <v>1</v>
      </c>
      <c r="BB1557" t="str">
        <f t="shared" si="255"/>
        <v xml:space="preserve">N607SR  </v>
      </c>
      <c r="BC1557">
        <v>1</v>
      </c>
      <c r="BE1557">
        <v>0</v>
      </c>
      <c r="BF1557">
        <v>0</v>
      </c>
      <c r="BG1557">
        <v>0</v>
      </c>
      <c r="BH1557">
        <v>2600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 t="shared" si="266"/>
        <v>06:16:39.901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4</v>
      </c>
      <c r="CP1557" t="s">
        <v>119</v>
      </c>
      <c r="CQ1557">
        <v>528</v>
      </c>
      <c r="CR1557">
        <v>1</v>
      </c>
      <c r="CW1557">
        <v>13098005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 t="shared" si="264"/>
        <v>08/29/2020 06:16:36.700</v>
      </c>
      <c r="C1558" t="str">
        <f t="shared" si="253"/>
        <v>FFDFD3C0</v>
      </c>
      <c r="D1558" t="s">
        <v>121</v>
      </c>
      <c r="E1558">
        <v>11</v>
      </c>
      <c r="F1558">
        <v>1011</v>
      </c>
      <c r="G1558" t="s">
        <v>125</v>
      </c>
      <c r="J1558" t="s">
        <v>123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265"/>
        <v>06:16:39.898</v>
      </c>
      <c r="U1558" t="str">
        <f t="shared" si="254"/>
        <v>A7E2E0</v>
      </c>
      <c r="V1558">
        <v>0</v>
      </c>
      <c r="W1558">
        <v>0</v>
      </c>
      <c r="X1558">
        <v>1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1055</v>
      </c>
      <c r="AJ1558">
        <v>39.010863000000001</v>
      </c>
      <c r="AK1558" t="s">
        <v>1056</v>
      </c>
      <c r="AL1558">
        <v>-87.560606000000007</v>
      </c>
      <c r="AM1558">
        <v>100</v>
      </c>
      <c r="AN1558">
        <v>2800</v>
      </c>
      <c r="AO1558" t="s">
        <v>118</v>
      </c>
      <c r="AP1558">
        <v>-93</v>
      </c>
      <c r="AQ1558">
        <v>-125</v>
      </c>
      <c r="AR1558">
        <v>0</v>
      </c>
      <c r="AZ1558">
        <v>4552</v>
      </c>
      <c r="BA1558">
        <v>1</v>
      </c>
      <c r="BB1558" t="str">
        <f t="shared" si="255"/>
        <v xml:space="preserve">N607SR  </v>
      </c>
      <c r="BC1558">
        <v>1</v>
      </c>
      <c r="BE1558">
        <v>0</v>
      </c>
      <c r="BF1558">
        <v>0</v>
      </c>
      <c r="BG1558">
        <v>0</v>
      </c>
      <c r="BH1558">
        <v>2600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 t="shared" si="266"/>
        <v>06:16:39.901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4</v>
      </c>
      <c r="CP1558" t="s">
        <v>119</v>
      </c>
      <c r="CQ1558">
        <v>528</v>
      </c>
      <c r="CR1558">
        <v>1</v>
      </c>
      <c r="CW1558">
        <v>13098005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 t="shared" si="264"/>
        <v>08/29/2020 06:16:36.700</v>
      </c>
      <c r="C1559" t="str">
        <f t="shared" si="253"/>
        <v>FFDFD3C0</v>
      </c>
      <c r="D1559" t="s">
        <v>113</v>
      </c>
      <c r="E1559">
        <v>5</v>
      </c>
      <c r="H1559">
        <v>163</v>
      </c>
      <c r="I1559" t="s">
        <v>114</v>
      </c>
      <c r="J1559" t="s">
        <v>115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265"/>
        <v>06:16:39.898</v>
      </c>
      <c r="T1559" t="str">
        <f>"06:16:39.398"</f>
        <v>06:16:39.398</v>
      </c>
      <c r="U1559" t="str">
        <f t="shared" si="254"/>
        <v>A7E2E0</v>
      </c>
      <c r="V1559">
        <v>0</v>
      </c>
      <c r="W1559">
        <v>0</v>
      </c>
      <c r="X1559">
        <v>1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1055</v>
      </c>
      <c r="AJ1559">
        <v>39.010863000000001</v>
      </c>
      <c r="AK1559" t="s">
        <v>1056</v>
      </c>
      <c r="AL1559">
        <v>-87.560606000000007</v>
      </c>
      <c r="AM1559">
        <v>100</v>
      </c>
      <c r="AN1559">
        <v>2800</v>
      </c>
      <c r="AO1559" t="s">
        <v>118</v>
      </c>
      <c r="AP1559">
        <v>-93</v>
      </c>
      <c r="AQ1559">
        <v>-125</v>
      </c>
      <c r="AR1559">
        <v>0</v>
      </c>
      <c r="AZ1559">
        <v>4552</v>
      </c>
      <c r="BA1559">
        <v>1</v>
      </c>
      <c r="BB1559" t="str">
        <f t="shared" si="255"/>
        <v xml:space="preserve">N607SR  </v>
      </c>
      <c r="BC1559">
        <v>1</v>
      </c>
      <c r="BE1559">
        <v>0</v>
      </c>
      <c r="BF1559">
        <v>0</v>
      </c>
      <c r="BG1559">
        <v>0</v>
      </c>
      <c r="BH1559">
        <v>2600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 t="shared" si="266"/>
        <v>06:16:39.901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6</v>
      </c>
      <c r="CP1559" t="s">
        <v>119</v>
      </c>
      <c r="CQ1559">
        <v>465</v>
      </c>
      <c r="CR1559">
        <v>0</v>
      </c>
      <c r="CW1559">
        <v>4721443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 t="shared" si="264"/>
        <v>08/29/2020 06:16:36.700</v>
      </c>
      <c r="C1560" t="str">
        <f t="shared" si="253"/>
        <v>FFDFD3C0</v>
      </c>
      <c r="D1560" t="s">
        <v>128</v>
      </c>
      <c r="E1560">
        <v>5</v>
      </c>
      <c r="H1560">
        <v>241</v>
      </c>
      <c r="I1560" t="s">
        <v>129</v>
      </c>
      <c r="J1560" t="s">
        <v>130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265"/>
        <v>06:16:39.898</v>
      </c>
      <c r="U1560" t="str">
        <f t="shared" si="254"/>
        <v>A7E2E0</v>
      </c>
      <c r="V1560">
        <v>0</v>
      </c>
      <c r="W1560">
        <v>0</v>
      </c>
      <c r="X1560">
        <v>1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1055</v>
      </c>
      <c r="AJ1560">
        <v>39.010863000000001</v>
      </c>
      <c r="AK1560" t="s">
        <v>1056</v>
      </c>
      <c r="AL1560">
        <v>-87.560606000000007</v>
      </c>
      <c r="AM1560">
        <v>100</v>
      </c>
      <c r="AN1560">
        <v>2800</v>
      </c>
      <c r="AO1560" t="s">
        <v>118</v>
      </c>
      <c r="AP1560">
        <v>-93</v>
      </c>
      <c r="AQ1560">
        <v>-125</v>
      </c>
      <c r="AR1560">
        <v>0</v>
      </c>
      <c r="AZ1560">
        <v>4552</v>
      </c>
      <c r="BA1560">
        <v>1</v>
      </c>
      <c r="BB1560" t="str">
        <f t="shared" si="255"/>
        <v xml:space="preserve">N607SR  </v>
      </c>
      <c r="BC1560">
        <v>1</v>
      </c>
      <c r="BE1560">
        <v>0</v>
      </c>
      <c r="BF1560">
        <v>0</v>
      </c>
      <c r="BG1560">
        <v>0</v>
      </c>
      <c r="BH1560">
        <v>2600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 t="shared" si="266"/>
        <v>06:16:39.901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4</v>
      </c>
      <c r="CP1560" t="s">
        <v>119</v>
      </c>
      <c r="CQ1560">
        <v>528</v>
      </c>
      <c r="CR1560">
        <v>1</v>
      </c>
      <c r="CW1560">
        <v>13098005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 t="shared" ref="A1561:A1566" si="267">"08/29/2020 06:16:37.628"</f>
        <v>08/29/2020 06:16:37.628</v>
      </c>
      <c r="C1561" t="str">
        <f t="shared" si="253"/>
        <v>FFDFD3C0</v>
      </c>
      <c r="D1561" t="s">
        <v>128</v>
      </c>
      <c r="E1561">
        <v>5</v>
      </c>
      <c r="H1561">
        <v>241</v>
      </c>
      <c r="I1561" t="s">
        <v>129</v>
      </c>
      <c r="J1561" t="s">
        <v>130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ref="S1561:S1566" si="268">"06:16:40.852"</f>
        <v>06:16:40.852</v>
      </c>
      <c r="U1561" t="str">
        <f t="shared" si="254"/>
        <v>A7E2E0</v>
      </c>
      <c r="V1561">
        <v>0</v>
      </c>
      <c r="W1561">
        <v>0</v>
      </c>
      <c r="X1561">
        <v>1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1057</v>
      </c>
      <c r="AJ1561">
        <v>39.010305000000002</v>
      </c>
      <c r="AK1561" t="s">
        <v>1058</v>
      </c>
      <c r="AL1561">
        <v>-87.561164000000005</v>
      </c>
      <c r="AM1561">
        <v>100</v>
      </c>
      <c r="AN1561">
        <v>2800</v>
      </c>
      <c r="AO1561" t="s">
        <v>118</v>
      </c>
      <c r="AP1561">
        <v>-93</v>
      </c>
      <c r="AQ1561">
        <v>-125</v>
      </c>
      <c r="AR1561">
        <v>0</v>
      </c>
      <c r="AZ1561">
        <v>4552</v>
      </c>
      <c r="BA1561">
        <v>1</v>
      </c>
      <c r="BB1561" t="str">
        <f t="shared" si="255"/>
        <v xml:space="preserve">N607SR  </v>
      </c>
      <c r="BC1561">
        <v>1</v>
      </c>
      <c r="BE1561">
        <v>0</v>
      </c>
      <c r="BF1561">
        <v>0</v>
      </c>
      <c r="BG1561">
        <v>0</v>
      </c>
      <c r="BH1561">
        <v>2600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 t="shared" ref="BW1561:BW1566" si="269">"06:16:40.858"</f>
        <v>06:16:40.858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6</v>
      </c>
      <c r="CP1561" t="s">
        <v>119</v>
      </c>
      <c r="CQ1561">
        <v>465</v>
      </c>
      <c r="CR1561">
        <v>0</v>
      </c>
      <c r="CW1561">
        <v>4721479</v>
      </c>
      <c r="CY1561">
        <v>1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 t="shared" si="267"/>
        <v>08/29/2020 06:16:37.628</v>
      </c>
      <c r="C1562" t="str">
        <f t="shared" si="253"/>
        <v>FFDFD3C0</v>
      </c>
      <c r="D1562" t="s">
        <v>121</v>
      </c>
      <c r="E1562">
        <v>11</v>
      </c>
      <c r="F1562">
        <v>1011</v>
      </c>
      <c r="G1562" t="s">
        <v>125</v>
      </c>
      <c r="J1562" t="s">
        <v>123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268"/>
        <v>06:16:40.852</v>
      </c>
      <c r="T1562" t="str">
        <f>"06:16:40.452"</f>
        <v>06:16:40.452</v>
      </c>
      <c r="U1562" t="str">
        <f t="shared" si="254"/>
        <v>A7E2E0</v>
      </c>
      <c r="V1562">
        <v>0</v>
      </c>
      <c r="W1562">
        <v>0</v>
      </c>
      <c r="X1562">
        <v>1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1057</v>
      </c>
      <c r="AJ1562">
        <v>39.010305000000002</v>
      </c>
      <c r="AK1562" t="s">
        <v>1058</v>
      </c>
      <c r="AL1562">
        <v>-87.561164000000005</v>
      </c>
      <c r="AM1562">
        <v>100</v>
      </c>
      <c r="AN1562">
        <v>2800</v>
      </c>
      <c r="AO1562" t="s">
        <v>118</v>
      </c>
      <c r="AP1562">
        <v>-93</v>
      </c>
      <c r="AQ1562">
        <v>-125</v>
      </c>
      <c r="AR1562">
        <v>0</v>
      </c>
      <c r="AZ1562">
        <v>4552</v>
      </c>
      <c r="BA1562">
        <v>1</v>
      </c>
      <c r="BB1562" t="str">
        <f t="shared" si="255"/>
        <v xml:space="preserve">N607SR  </v>
      </c>
      <c r="BC1562">
        <v>1</v>
      </c>
      <c r="BE1562">
        <v>0</v>
      </c>
      <c r="BF1562">
        <v>0</v>
      </c>
      <c r="BG1562">
        <v>0</v>
      </c>
      <c r="BH1562">
        <v>2600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 t="shared" si="269"/>
        <v>06:16:40.858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6</v>
      </c>
      <c r="CP1562" t="s">
        <v>119</v>
      </c>
      <c r="CQ1562">
        <v>457</v>
      </c>
      <c r="CR1562">
        <v>0</v>
      </c>
      <c r="CW1562">
        <v>15517316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 t="shared" si="267"/>
        <v>08/29/2020 06:16:37.628</v>
      </c>
      <c r="C1563" t="str">
        <f t="shared" si="253"/>
        <v>FFDFD3C0</v>
      </c>
      <c r="D1563" t="s">
        <v>121</v>
      </c>
      <c r="E1563">
        <v>10</v>
      </c>
      <c r="F1563">
        <v>1010</v>
      </c>
      <c r="G1563" t="s">
        <v>114</v>
      </c>
      <c r="J1563" t="s">
        <v>123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268"/>
        <v>06:16:40.852</v>
      </c>
      <c r="U1563" t="str">
        <f t="shared" si="254"/>
        <v>A7E2E0</v>
      </c>
      <c r="V1563">
        <v>0</v>
      </c>
      <c r="W1563">
        <v>0</v>
      </c>
      <c r="X1563">
        <v>1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1057</v>
      </c>
      <c r="AJ1563">
        <v>39.010305000000002</v>
      </c>
      <c r="AK1563" t="s">
        <v>1058</v>
      </c>
      <c r="AL1563">
        <v>-87.561164000000005</v>
      </c>
      <c r="AM1563">
        <v>100</v>
      </c>
      <c r="AN1563">
        <v>2800</v>
      </c>
      <c r="AO1563" t="s">
        <v>118</v>
      </c>
      <c r="AP1563">
        <v>-93</v>
      </c>
      <c r="AQ1563">
        <v>-125</v>
      </c>
      <c r="AR1563">
        <v>0</v>
      </c>
      <c r="AZ1563">
        <v>4552</v>
      </c>
      <c r="BA1563">
        <v>1</v>
      </c>
      <c r="BB1563" t="str">
        <f t="shared" si="255"/>
        <v xml:space="preserve">N607SR  </v>
      </c>
      <c r="BC1563">
        <v>1</v>
      </c>
      <c r="BE1563">
        <v>0</v>
      </c>
      <c r="BF1563">
        <v>0</v>
      </c>
      <c r="BG1563">
        <v>0</v>
      </c>
      <c r="BH1563">
        <v>2600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 t="shared" si="269"/>
        <v>06:16:40.858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6</v>
      </c>
      <c r="CP1563" t="s">
        <v>119</v>
      </c>
      <c r="CQ1563">
        <v>465</v>
      </c>
      <c r="CR1563">
        <v>0</v>
      </c>
      <c r="CW1563">
        <v>4721479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 t="shared" si="267"/>
        <v>08/29/2020 06:16:37.628</v>
      </c>
      <c r="C1564" t="str">
        <f t="shared" si="253"/>
        <v>FFDFD3C0</v>
      </c>
      <c r="D1564" t="s">
        <v>121</v>
      </c>
      <c r="E1564">
        <v>13</v>
      </c>
      <c r="F1564">
        <v>1013</v>
      </c>
      <c r="G1564" t="s">
        <v>122</v>
      </c>
      <c r="J1564" t="s">
        <v>123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268"/>
        <v>06:16:40.852</v>
      </c>
      <c r="U1564" t="str">
        <f t="shared" si="254"/>
        <v>A7E2E0</v>
      </c>
      <c r="V1564">
        <v>0</v>
      </c>
      <c r="W1564">
        <v>0</v>
      </c>
      <c r="X1564">
        <v>1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1057</v>
      </c>
      <c r="AJ1564">
        <v>39.010305000000002</v>
      </c>
      <c r="AK1564" t="s">
        <v>1058</v>
      </c>
      <c r="AL1564">
        <v>-87.561164000000005</v>
      </c>
      <c r="AM1564">
        <v>100</v>
      </c>
      <c r="AN1564">
        <v>2800</v>
      </c>
      <c r="AO1564" t="s">
        <v>118</v>
      </c>
      <c r="AP1564">
        <v>-93</v>
      </c>
      <c r="AQ1564">
        <v>-125</v>
      </c>
      <c r="AR1564">
        <v>0</v>
      </c>
      <c r="AZ1564">
        <v>4552</v>
      </c>
      <c r="BA1564">
        <v>1</v>
      </c>
      <c r="BB1564" t="str">
        <f t="shared" si="255"/>
        <v xml:space="preserve">N607SR  </v>
      </c>
      <c r="BC1564">
        <v>1</v>
      </c>
      <c r="BE1564">
        <v>0</v>
      </c>
      <c r="BF1564">
        <v>0</v>
      </c>
      <c r="BG1564">
        <v>0</v>
      </c>
      <c r="BH1564">
        <v>2600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 t="shared" si="269"/>
        <v>06:16:40.858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6</v>
      </c>
      <c r="CP1564" t="s">
        <v>119</v>
      </c>
      <c r="CQ1564">
        <v>465</v>
      </c>
      <c r="CR1564">
        <v>0</v>
      </c>
      <c r="CW1564">
        <v>4721479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 t="shared" si="267"/>
        <v>08/29/2020 06:16:37.628</v>
      </c>
      <c r="C1565" t="str">
        <f t="shared" si="253"/>
        <v>FFDFD3C0</v>
      </c>
      <c r="D1565" t="s">
        <v>939</v>
      </c>
      <c r="E1565">
        <v>10</v>
      </c>
      <c r="H1565">
        <v>79</v>
      </c>
      <c r="I1565" t="s">
        <v>940</v>
      </c>
      <c r="J1565" t="s">
        <v>130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268"/>
        <v>06:16:40.852</v>
      </c>
      <c r="U1565" t="str">
        <f t="shared" si="254"/>
        <v>A7E2E0</v>
      </c>
      <c r="V1565">
        <v>0</v>
      </c>
      <c r="W1565">
        <v>0</v>
      </c>
      <c r="X1565">
        <v>1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1057</v>
      </c>
      <c r="AJ1565">
        <v>39.010305000000002</v>
      </c>
      <c r="AK1565" t="s">
        <v>1058</v>
      </c>
      <c r="AL1565">
        <v>-87.561164000000005</v>
      </c>
      <c r="AM1565">
        <v>100</v>
      </c>
      <c r="AN1565">
        <v>2800</v>
      </c>
      <c r="AO1565" t="s">
        <v>118</v>
      </c>
      <c r="AP1565">
        <v>-93</v>
      </c>
      <c r="AQ1565">
        <v>-125</v>
      </c>
      <c r="AR1565">
        <v>0</v>
      </c>
      <c r="AZ1565">
        <v>4552</v>
      </c>
      <c r="BA1565">
        <v>1</v>
      </c>
      <c r="BB1565" t="str">
        <f t="shared" si="255"/>
        <v xml:space="preserve">N607SR  </v>
      </c>
      <c r="BC1565">
        <v>1</v>
      </c>
      <c r="BE1565">
        <v>0</v>
      </c>
      <c r="BF1565">
        <v>0</v>
      </c>
      <c r="BG1565">
        <v>0</v>
      </c>
      <c r="BH1565">
        <v>2600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 t="shared" si="269"/>
        <v>06:16:40.858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6</v>
      </c>
      <c r="CP1565" t="s">
        <v>119</v>
      </c>
      <c r="CQ1565">
        <v>465</v>
      </c>
      <c r="CR1565">
        <v>0</v>
      </c>
      <c r="CW1565">
        <v>4721479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 t="shared" si="267"/>
        <v>08/29/2020 06:16:37.628</v>
      </c>
      <c r="C1566" t="str">
        <f t="shared" si="253"/>
        <v>FFDFD3C0</v>
      </c>
      <c r="D1566" t="s">
        <v>113</v>
      </c>
      <c r="E1566">
        <v>5</v>
      </c>
      <c r="H1566">
        <v>163</v>
      </c>
      <c r="I1566" t="s">
        <v>114</v>
      </c>
      <c r="J1566" t="s">
        <v>115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268"/>
        <v>06:16:40.852</v>
      </c>
      <c r="U1566" t="str">
        <f t="shared" si="254"/>
        <v>A7E2E0</v>
      </c>
      <c r="V1566">
        <v>0</v>
      </c>
      <c r="W1566">
        <v>0</v>
      </c>
      <c r="X1566">
        <v>1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1057</v>
      </c>
      <c r="AJ1566">
        <v>39.010305000000002</v>
      </c>
      <c r="AK1566" t="s">
        <v>1058</v>
      </c>
      <c r="AL1566">
        <v>-87.561164000000005</v>
      </c>
      <c r="AM1566">
        <v>100</v>
      </c>
      <c r="AN1566">
        <v>2800</v>
      </c>
      <c r="AO1566" t="s">
        <v>118</v>
      </c>
      <c r="AP1566">
        <v>-93</v>
      </c>
      <c r="AQ1566">
        <v>-125</v>
      </c>
      <c r="AR1566">
        <v>0</v>
      </c>
      <c r="AZ1566">
        <v>4552</v>
      </c>
      <c r="BA1566">
        <v>1</v>
      </c>
      <c r="BB1566" t="str">
        <f t="shared" si="255"/>
        <v xml:space="preserve">N607SR  </v>
      </c>
      <c r="BC1566">
        <v>1</v>
      </c>
      <c r="BE1566">
        <v>0</v>
      </c>
      <c r="BF1566">
        <v>0</v>
      </c>
      <c r="BG1566">
        <v>0</v>
      </c>
      <c r="BH1566">
        <v>2600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 t="shared" si="269"/>
        <v>06:16:40.858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6</v>
      </c>
      <c r="CP1566" t="s">
        <v>119</v>
      </c>
      <c r="CQ1566">
        <v>465</v>
      </c>
      <c r="CR1566">
        <v>0</v>
      </c>
      <c r="CW1566">
        <v>4721479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 t="shared" ref="A1567:A1572" si="270">"08/29/2020 06:16:38.712"</f>
        <v>08/29/2020 06:16:38.712</v>
      </c>
      <c r="C1567" t="str">
        <f t="shared" si="253"/>
        <v>FFDFD3C0</v>
      </c>
      <c r="D1567" t="s">
        <v>121</v>
      </c>
      <c r="E1567">
        <v>10</v>
      </c>
      <c r="F1567">
        <v>1010</v>
      </c>
      <c r="G1567" t="s">
        <v>114</v>
      </c>
      <c r="J1567" t="s">
        <v>123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S1572" si="271">"06:16:41.938"</f>
        <v>06:16:41.938</v>
      </c>
      <c r="U1567" t="str">
        <f t="shared" si="254"/>
        <v>A7E2E0</v>
      </c>
      <c r="V1567">
        <v>0</v>
      </c>
      <c r="W1567">
        <v>0</v>
      </c>
      <c r="X1567">
        <v>1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1059</v>
      </c>
      <c r="AJ1567">
        <v>39.009661999999999</v>
      </c>
      <c r="AK1567" t="s">
        <v>1060</v>
      </c>
      <c r="AL1567">
        <v>-87.561807999999999</v>
      </c>
      <c r="AM1567">
        <v>100</v>
      </c>
      <c r="AN1567">
        <v>2800</v>
      </c>
      <c r="AO1567" t="s">
        <v>118</v>
      </c>
      <c r="AP1567">
        <v>-93</v>
      </c>
      <c r="AQ1567">
        <v>-125</v>
      </c>
      <c r="AR1567">
        <v>0</v>
      </c>
      <c r="AZ1567">
        <v>4552</v>
      </c>
      <c r="BA1567">
        <v>1</v>
      </c>
      <c r="BB1567" t="str">
        <f t="shared" si="255"/>
        <v xml:space="preserve">N607SR  </v>
      </c>
      <c r="BC1567">
        <v>1</v>
      </c>
      <c r="BE1567">
        <v>0</v>
      </c>
      <c r="BF1567">
        <v>0</v>
      </c>
      <c r="BG1567">
        <v>0</v>
      </c>
      <c r="BH1567">
        <v>2600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 t="shared" ref="BW1567:BW1572" si="272">"06:16:41.944"</f>
        <v>06:16:41.944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119</v>
      </c>
      <c r="CQ1567">
        <v>465</v>
      </c>
      <c r="CR1567">
        <v>0</v>
      </c>
      <c r="CW1567">
        <v>4721515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 t="shared" si="270"/>
        <v>08/29/2020 06:16:38.712</v>
      </c>
      <c r="C1568" t="str">
        <f t="shared" si="253"/>
        <v>FFDFD3C0</v>
      </c>
      <c r="D1568" t="s">
        <v>939</v>
      </c>
      <c r="E1568">
        <v>10</v>
      </c>
      <c r="H1568">
        <v>79</v>
      </c>
      <c r="I1568" t="s">
        <v>940</v>
      </c>
      <c r="J1568" t="s">
        <v>130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271"/>
        <v>06:16:41.938</v>
      </c>
      <c r="U1568" t="str">
        <f t="shared" si="254"/>
        <v>A7E2E0</v>
      </c>
      <c r="V1568">
        <v>0</v>
      </c>
      <c r="W1568">
        <v>0</v>
      </c>
      <c r="X1568">
        <v>1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1059</v>
      </c>
      <c r="AJ1568">
        <v>39.009661999999999</v>
      </c>
      <c r="AK1568" t="s">
        <v>1060</v>
      </c>
      <c r="AL1568">
        <v>-87.561807999999999</v>
      </c>
      <c r="AM1568">
        <v>100</v>
      </c>
      <c r="AN1568">
        <v>2800</v>
      </c>
      <c r="AO1568" t="s">
        <v>118</v>
      </c>
      <c r="AP1568">
        <v>-93</v>
      </c>
      <c r="AQ1568">
        <v>-125</v>
      </c>
      <c r="AR1568">
        <v>0</v>
      </c>
      <c r="AZ1568">
        <v>4552</v>
      </c>
      <c r="BA1568">
        <v>1</v>
      </c>
      <c r="BB1568" t="str">
        <f t="shared" si="255"/>
        <v xml:space="preserve">N607SR  </v>
      </c>
      <c r="BC1568">
        <v>1</v>
      </c>
      <c r="BE1568">
        <v>0</v>
      </c>
      <c r="BF1568">
        <v>0</v>
      </c>
      <c r="BG1568">
        <v>0</v>
      </c>
      <c r="BH1568">
        <v>2600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 t="shared" si="272"/>
        <v>06:16:41.944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465</v>
      </c>
      <c r="CR1568">
        <v>0</v>
      </c>
      <c r="CW1568">
        <v>4721515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 t="shared" si="270"/>
        <v>08/29/2020 06:16:38.712</v>
      </c>
      <c r="C1569" t="str">
        <f t="shared" si="253"/>
        <v>FFDFD3C0</v>
      </c>
      <c r="D1569" t="s">
        <v>121</v>
      </c>
      <c r="E1569">
        <v>13</v>
      </c>
      <c r="F1569">
        <v>1013</v>
      </c>
      <c r="G1569" t="s">
        <v>122</v>
      </c>
      <c r="J1569" t="s">
        <v>123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271"/>
        <v>06:16:41.938</v>
      </c>
      <c r="U1569" t="str">
        <f t="shared" si="254"/>
        <v>A7E2E0</v>
      </c>
      <c r="V1569">
        <v>0</v>
      </c>
      <c r="W1569">
        <v>0</v>
      </c>
      <c r="X1569">
        <v>1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1059</v>
      </c>
      <c r="AJ1569">
        <v>39.009661999999999</v>
      </c>
      <c r="AK1569" t="s">
        <v>1060</v>
      </c>
      <c r="AL1569">
        <v>-87.561807999999999</v>
      </c>
      <c r="AM1569">
        <v>100</v>
      </c>
      <c r="AN1569">
        <v>2800</v>
      </c>
      <c r="AO1569" t="s">
        <v>118</v>
      </c>
      <c r="AP1569">
        <v>-93</v>
      </c>
      <c r="AQ1569">
        <v>-125</v>
      </c>
      <c r="AR1569">
        <v>0</v>
      </c>
      <c r="AZ1569">
        <v>4552</v>
      </c>
      <c r="BA1569">
        <v>1</v>
      </c>
      <c r="BB1569" t="str">
        <f t="shared" si="255"/>
        <v xml:space="preserve">N607SR  </v>
      </c>
      <c r="BC1569">
        <v>1</v>
      </c>
      <c r="BE1569">
        <v>0</v>
      </c>
      <c r="BF1569">
        <v>0</v>
      </c>
      <c r="BG1569">
        <v>0</v>
      </c>
      <c r="BH1569">
        <v>2600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 t="shared" si="272"/>
        <v>06:16:41.944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465</v>
      </c>
      <c r="CR1569">
        <v>0</v>
      </c>
      <c r="CW1569">
        <v>4721515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 t="shared" si="270"/>
        <v>08/29/2020 06:16:38.712</v>
      </c>
      <c r="C1570" t="str">
        <f t="shared" si="253"/>
        <v>FFDFD3C0</v>
      </c>
      <c r="D1570" t="s">
        <v>113</v>
      </c>
      <c r="E1570">
        <v>5</v>
      </c>
      <c r="H1570">
        <v>163</v>
      </c>
      <c r="I1570" t="s">
        <v>114</v>
      </c>
      <c r="J1570" t="s">
        <v>115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271"/>
        <v>06:16:41.938</v>
      </c>
      <c r="U1570" t="str">
        <f t="shared" si="254"/>
        <v>A7E2E0</v>
      </c>
      <c r="V1570">
        <v>0</v>
      </c>
      <c r="W1570">
        <v>0</v>
      </c>
      <c r="X1570">
        <v>1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1059</v>
      </c>
      <c r="AJ1570">
        <v>39.009661999999999</v>
      </c>
      <c r="AK1570" t="s">
        <v>1060</v>
      </c>
      <c r="AL1570">
        <v>-87.561807999999999</v>
      </c>
      <c r="AM1570">
        <v>100</v>
      </c>
      <c r="AN1570">
        <v>2800</v>
      </c>
      <c r="AO1570" t="s">
        <v>118</v>
      </c>
      <c r="AP1570">
        <v>-93</v>
      </c>
      <c r="AQ1570">
        <v>-125</v>
      </c>
      <c r="AR1570">
        <v>0</v>
      </c>
      <c r="AZ1570">
        <v>4552</v>
      </c>
      <c r="BA1570">
        <v>1</v>
      </c>
      <c r="BB1570" t="str">
        <f t="shared" si="255"/>
        <v xml:space="preserve">N607SR  </v>
      </c>
      <c r="BC1570">
        <v>1</v>
      </c>
      <c r="BE1570">
        <v>0</v>
      </c>
      <c r="BF1570">
        <v>0</v>
      </c>
      <c r="BG1570">
        <v>0</v>
      </c>
      <c r="BH1570">
        <v>2600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 t="shared" si="272"/>
        <v>06:16:41.944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6</v>
      </c>
      <c r="CP1570" t="s">
        <v>119</v>
      </c>
      <c r="CQ1570">
        <v>465</v>
      </c>
      <c r="CR1570">
        <v>0</v>
      </c>
      <c r="CW1570">
        <v>4721515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 t="shared" si="270"/>
        <v>08/29/2020 06:16:38.712</v>
      </c>
      <c r="C1571" t="str">
        <f t="shared" si="253"/>
        <v>FFDFD3C0</v>
      </c>
      <c r="D1571" t="s">
        <v>128</v>
      </c>
      <c r="E1571">
        <v>5</v>
      </c>
      <c r="H1571">
        <v>241</v>
      </c>
      <c r="I1571" t="s">
        <v>129</v>
      </c>
      <c r="J1571" t="s">
        <v>130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271"/>
        <v>06:16:41.938</v>
      </c>
      <c r="U1571" t="str">
        <f t="shared" si="254"/>
        <v>A7E2E0</v>
      </c>
      <c r="V1571">
        <v>0</v>
      </c>
      <c r="W1571">
        <v>0</v>
      </c>
      <c r="X1571">
        <v>1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1059</v>
      </c>
      <c r="AJ1571">
        <v>39.009661999999999</v>
      </c>
      <c r="AK1571" t="s">
        <v>1060</v>
      </c>
      <c r="AL1571">
        <v>-87.561807999999999</v>
      </c>
      <c r="AM1571">
        <v>100</v>
      </c>
      <c r="AN1571">
        <v>2800</v>
      </c>
      <c r="AO1571" t="s">
        <v>118</v>
      </c>
      <c r="AP1571">
        <v>-93</v>
      </c>
      <c r="AQ1571">
        <v>-125</v>
      </c>
      <c r="AR1571">
        <v>0</v>
      </c>
      <c r="AZ1571">
        <v>4552</v>
      </c>
      <c r="BA1571">
        <v>1</v>
      </c>
      <c r="BB1571" t="str">
        <f t="shared" si="255"/>
        <v xml:space="preserve">N607SR  </v>
      </c>
      <c r="BC1571">
        <v>1</v>
      </c>
      <c r="BE1571">
        <v>0</v>
      </c>
      <c r="BF1571">
        <v>0</v>
      </c>
      <c r="BG1571">
        <v>0</v>
      </c>
      <c r="BH1571">
        <v>2600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 t="shared" si="272"/>
        <v>06:16:41.944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6</v>
      </c>
      <c r="CP1571" t="s">
        <v>119</v>
      </c>
      <c r="CQ1571">
        <v>465</v>
      </c>
      <c r="CR1571">
        <v>0</v>
      </c>
      <c r="CW1571">
        <v>4721515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 t="shared" si="270"/>
        <v>08/29/2020 06:16:38.712</v>
      </c>
      <c r="C1572" t="str">
        <f t="shared" si="253"/>
        <v>FFDFD3C0</v>
      </c>
      <c r="D1572" t="s">
        <v>121</v>
      </c>
      <c r="E1572">
        <v>11</v>
      </c>
      <c r="F1572">
        <v>1011</v>
      </c>
      <c r="G1572" t="s">
        <v>125</v>
      </c>
      <c r="J1572" t="s">
        <v>123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271"/>
        <v>06:16:41.938</v>
      </c>
      <c r="T1572" t="str">
        <f>"06:16:41.438"</f>
        <v>06:16:41.438</v>
      </c>
      <c r="U1572" t="str">
        <f t="shared" si="254"/>
        <v>A7E2E0</v>
      </c>
      <c r="V1572">
        <v>0</v>
      </c>
      <c r="W1572">
        <v>0</v>
      </c>
      <c r="X1572">
        <v>1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1059</v>
      </c>
      <c r="AJ1572">
        <v>39.009661999999999</v>
      </c>
      <c r="AK1572" t="s">
        <v>1060</v>
      </c>
      <c r="AL1572">
        <v>-87.561807999999999</v>
      </c>
      <c r="AM1572">
        <v>100</v>
      </c>
      <c r="AN1572">
        <v>2800</v>
      </c>
      <c r="AO1572" t="s">
        <v>118</v>
      </c>
      <c r="AP1572">
        <v>-93</v>
      </c>
      <c r="AQ1572">
        <v>-125</v>
      </c>
      <c r="AR1572">
        <v>0</v>
      </c>
      <c r="AZ1572">
        <v>4552</v>
      </c>
      <c r="BA1572">
        <v>1</v>
      </c>
      <c r="BB1572" t="str">
        <f t="shared" si="255"/>
        <v xml:space="preserve">N607SR  </v>
      </c>
      <c r="BC1572">
        <v>1</v>
      </c>
      <c r="BE1572">
        <v>0</v>
      </c>
      <c r="BF1572">
        <v>0</v>
      </c>
      <c r="BG1572">
        <v>0</v>
      </c>
      <c r="BH1572">
        <v>2600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 t="shared" si="272"/>
        <v>06:16:41.944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6</v>
      </c>
      <c r="CP1572" t="s">
        <v>119</v>
      </c>
      <c r="CQ1572">
        <v>457</v>
      </c>
      <c r="CR1572">
        <v>0</v>
      </c>
      <c r="CW1572">
        <v>15517348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 t="shared" ref="A1573:A1578" si="273">"08/29/2020 06:16:39.805"</f>
        <v>08/29/2020 06:16:39.805</v>
      </c>
      <c r="C1573" t="str">
        <f t="shared" si="253"/>
        <v>FFDFD3C0</v>
      </c>
      <c r="D1573" t="s">
        <v>113</v>
      </c>
      <c r="E1573">
        <v>5</v>
      </c>
      <c r="H1573">
        <v>163</v>
      </c>
      <c r="I1573" t="s">
        <v>114</v>
      </c>
      <c r="J1573" t="s">
        <v>115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ref="S1573:S1578" si="274">"06:16:43.016"</f>
        <v>06:16:43.016</v>
      </c>
      <c r="T1573" t="str">
        <f>"06:16:42.516"</f>
        <v>06:16:42.516</v>
      </c>
      <c r="U1573" t="str">
        <f t="shared" si="254"/>
        <v>A7E2E0</v>
      </c>
      <c r="V1573">
        <v>0</v>
      </c>
      <c r="W1573">
        <v>0</v>
      </c>
      <c r="X1573">
        <v>1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1061</v>
      </c>
      <c r="AJ1573">
        <v>39.008996000000003</v>
      </c>
      <c r="AK1573" t="s">
        <v>1062</v>
      </c>
      <c r="AL1573">
        <v>-87.562387000000001</v>
      </c>
      <c r="AM1573">
        <v>100</v>
      </c>
      <c r="AN1573">
        <v>2800</v>
      </c>
      <c r="AO1573" t="s">
        <v>118</v>
      </c>
      <c r="AP1573">
        <v>-93</v>
      </c>
      <c r="AQ1573">
        <v>-125</v>
      </c>
      <c r="AR1573">
        <v>0</v>
      </c>
      <c r="AZ1573">
        <v>4552</v>
      </c>
      <c r="BA1573">
        <v>1</v>
      </c>
      <c r="BB1573" t="str">
        <f t="shared" si="255"/>
        <v xml:space="preserve">N607SR  </v>
      </c>
      <c r="BC1573">
        <v>1</v>
      </c>
      <c r="BE1573">
        <v>0</v>
      </c>
      <c r="BF1573">
        <v>0</v>
      </c>
      <c r="BG1573">
        <v>0</v>
      </c>
      <c r="BH1573">
        <v>2600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 t="shared" ref="BW1573:BW1578" si="275">"06:16:43.019"</f>
        <v>06:16:43.019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119</v>
      </c>
      <c r="CQ1573">
        <v>465</v>
      </c>
      <c r="CR1573">
        <v>0</v>
      </c>
      <c r="CW1573">
        <v>4721548</v>
      </c>
      <c r="CY1573">
        <v>1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 t="shared" si="273"/>
        <v>08/29/2020 06:16:39.805</v>
      </c>
      <c r="C1574" t="str">
        <f t="shared" si="253"/>
        <v>FFDFD3C0</v>
      </c>
      <c r="D1574" t="s">
        <v>128</v>
      </c>
      <c r="E1574">
        <v>5</v>
      </c>
      <c r="H1574">
        <v>241</v>
      </c>
      <c r="I1574" t="s">
        <v>129</v>
      </c>
      <c r="J1574" t="s">
        <v>130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274"/>
        <v>06:16:43.016</v>
      </c>
      <c r="U1574" t="str">
        <f t="shared" si="254"/>
        <v>A7E2E0</v>
      </c>
      <c r="V1574">
        <v>0</v>
      </c>
      <c r="W1574">
        <v>0</v>
      </c>
      <c r="X1574">
        <v>1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1061</v>
      </c>
      <c r="AJ1574">
        <v>39.008996000000003</v>
      </c>
      <c r="AK1574" t="s">
        <v>1062</v>
      </c>
      <c r="AL1574">
        <v>-87.562387000000001</v>
      </c>
      <c r="AM1574">
        <v>100</v>
      </c>
      <c r="AN1574">
        <v>2800</v>
      </c>
      <c r="AO1574" t="s">
        <v>118</v>
      </c>
      <c r="AP1574">
        <v>-93</v>
      </c>
      <c r="AQ1574">
        <v>-125</v>
      </c>
      <c r="AR1574">
        <v>0</v>
      </c>
      <c r="AZ1574">
        <v>4552</v>
      </c>
      <c r="BA1574">
        <v>1</v>
      </c>
      <c r="BB1574" t="str">
        <f t="shared" si="255"/>
        <v xml:space="preserve">N607SR  </v>
      </c>
      <c r="BC1574">
        <v>1</v>
      </c>
      <c r="BE1574">
        <v>0</v>
      </c>
      <c r="BF1574">
        <v>0</v>
      </c>
      <c r="BG1574">
        <v>0</v>
      </c>
      <c r="BH1574">
        <v>2600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 t="shared" si="275"/>
        <v>06:16:43.019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5</v>
      </c>
      <c r="CP1574" t="s">
        <v>119</v>
      </c>
      <c r="CQ1574">
        <v>528</v>
      </c>
      <c r="CR1574">
        <v>1</v>
      </c>
      <c r="CW1574">
        <v>13098091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 t="shared" si="273"/>
        <v>08/29/2020 06:16:39.805</v>
      </c>
      <c r="C1575" t="str">
        <f t="shared" si="253"/>
        <v>FFDFD3C0</v>
      </c>
      <c r="D1575" t="s">
        <v>939</v>
      </c>
      <c r="E1575">
        <v>10</v>
      </c>
      <c r="H1575">
        <v>79</v>
      </c>
      <c r="I1575" t="s">
        <v>940</v>
      </c>
      <c r="J1575" t="s">
        <v>130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274"/>
        <v>06:16:43.016</v>
      </c>
      <c r="T1575" t="str">
        <f>"06:16:42.516"</f>
        <v>06:16:42.516</v>
      </c>
      <c r="U1575" t="str">
        <f t="shared" si="254"/>
        <v>A7E2E0</v>
      </c>
      <c r="V1575">
        <v>0</v>
      </c>
      <c r="W1575">
        <v>0</v>
      </c>
      <c r="X1575">
        <v>1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1061</v>
      </c>
      <c r="AJ1575">
        <v>39.008996000000003</v>
      </c>
      <c r="AK1575" t="s">
        <v>1062</v>
      </c>
      <c r="AL1575">
        <v>-87.562387000000001</v>
      </c>
      <c r="AM1575">
        <v>100</v>
      </c>
      <c r="AN1575">
        <v>2800</v>
      </c>
      <c r="AO1575" t="s">
        <v>118</v>
      </c>
      <c r="AP1575">
        <v>-93</v>
      </c>
      <c r="AQ1575">
        <v>-125</v>
      </c>
      <c r="AR1575">
        <v>0</v>
      </c>
      <c r="AZ1575">
        <v>4552</v>
      </c>
      <c r="BA1575">
        <v>1</v>
      </c>
      <c r="BB1575" t="str">
        <f t="shared" si="255"/>
        <v xml:space="preserve">N607SR  </v>
      </c>
      <c r="BC1575">
        <v>1</v>
      </c>
      <c r="BE1575">
        <v>0</v>
      </c>
      <c r="BF1575">
        <v>0</v>
      </c>
      <c r="BG1575">
        <v>0</v>
      </c>
      <c r="BH1575">
        <v>2600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 t="shared" si="275"/>
        <v>06:16:43.019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465</v>
      </c>
      <c r="CR1575">
        <v>0</v>
      </c>
      <c r="CW1575">
        <v>4721548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 t="shared" si="273"/>
        <v>08/29/2020 06:16:39.805</v>
      </c>
      <c r="C1576" t="str">
        <f t="shared" si="253"/>
        <v>FFDFD3C0</v>
      </c>
      <c r="D1576" t="s">
        <v>121</v>
      </c>
      <c r="E1576">
        <v>10</v>
      </c>
      <c r="F1576">
        <v>1010</v>
      </c>
      <c r="G1576" t="s">
        <v>114</v>
      </c>
      <c r="J1576" t="s">
        <v>123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274"/>
        <v>06:16:43.016</v>
      </c>
      <c r="U1576" t="str">
        <f t="shared" si="254"/>
        <v>A7E2E0</v>
      </c>
      <c r="V1576">
        <v>0</v>
      </c>
      <c r="W1576">
        <v>0</v>
      </c>
      <c r="X1576">
        <v>1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1061</v>
      </c>
      <c r="AJ1576">
        <v>39.008996000000003</v>
      </c>
      <c r="AK1576" t="s">
        <v>1062</v>
      </c>
      <c r="AL1576">
        <v>-87.562387000000001</v>
      </c>
      <c r="AM1576">
        <v>100</v>
      </c>
      <c r="AN1576">
        <v>2800</v>
      </c>
      <c r="AO1576" t="s">
        <v>118</v>
      </c>
      <c r="AP1576">
        <v>-93</v>
      </c>
      <c r="AQ1576">
        <v>-125</v>
      </c>
      <c r="AR1576">
        <v>0</v>
      </c>
      <c r="AZ1576">
        <v>4552</v>
      </c>
      <c r="BA1576">
        <v>1</v>
      </c>
      <c r="BB1576" t="str">
        <f t="shared" si="255"/>
        <v xml:space="preserve">N607SR  </v>
      </c>
      <c r="BC1576">
        <v>1</v>
      </c>
      <c r="BE1576">
        <v>0</v>
      </c>
      <c r="BF1576">
        <v>0</v>
      </c>
      <c r="BG1576">
        <v>0</v>
      </c>
      <c r="BH1576">
        <v>2600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 t="shared" si="275"/>
        <v>06:16:43.019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5</v>
      </c>
      <c r="CP1576" t="s">
        <v>119</v>
      </c>
      <c r="CQ1576">
        <v>528</v>
      </c>
      <c r="CR1576">
        <v>1</v>
      </c>
      <c r="CW1576">
        <v>13098091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 t="shared" si="273"/>
        <v>08/29/2020 06:16:39.805</v>
      </c>
      <c r="C1577" t="str">
        <f t="shared" si="253"/>
        <v>FFDFD3C0</v>
      </c>
      <c r="D1577" t="s">
        <v>121</v>
      </c>
      <c r="E1577">
        <v>11</v>
      </c>
      <c r="F1577">
        <v>1011</v>
      </c>
      <c r="G1577" t="s">
        <v>125</v>
      </c>
      <c r="J1577" t="s">
        <v>123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274"/>
        <v>06:16:43.016</v>
      </c>
      <c r="U1577" t="str">
        <f t="shared" si="254"/>
        <v>A7E2E0</v>
      </c>
      <c r="V1577">
        <v>0</v>
      </c>
      <c r="W1577">
        <v>0</v>
      </c>
      <c r="X1577">
        <v>1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1061</v>
      </c>
      <c r="AJ1577">
        <v>39.008996000000003</v>
      </c>
      <c r="AK1577" t="s">
        <v>1062</v>
      </c>
      <c r="AL1577">
        <v>-87.562387000000001</v>
      </c>
      <c r="AM1577">
        <v>100</v>
      </c>
      <c r="AN1577">
        <v>2800</v>
      </c>
      <c r="AO1577" t="s">
        <v>118</v>
      </c>
      <c r="AP1577">
        <v>-93</v>
      </c>
      <c r="AQ1577">
        <v>-125</v>
      </c>
      <c r="AR1577">
        <v>0</v>
      </c>
      <c r="AZ1577">
        <v>4552</v>
      </c>
      <c r="BA1577">
        <v>1</v>
      </c>
      <c r="BB1577" t="str">
        <f t="shared" si="255"/>
        <v xml:space="preserve">N607SR  </v>
      </c>
      <c r="BC1577">
        <v>1</v>
      </c>
      <c r="BE1577">
        <v>0</v>
      </c>
      <c r="BF1577">
        <v>0</v>
      </c>
      <c r="BG1577">
        <v>0</v>
      </c>
      <c r="BH1577">
        <v>2600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 t="shared" si="275"/>
        <v>06:16:43.019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5</v>
      </c>
      <c r="CP1577" t="s">
        <v>119</v>
      </c>
      <c r="CQ1577">
        <v>528</v>
      </c>
      <c r="CR1577">
        <v>1</v>
      </c>
      <c r="CW1577">
        <v>13098091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 t="shared" si="273"/>
        <v>08/29/2020 06:16:39.805</v>
      </c>
      <c r="C1578" t="str">
        <f t="shared" si="253"/>
        <v>FFDFD3C0</v>
      </c>
      <c r="D1578" t="s">
        <v>121</v>
      </c>
      <c r="E1578">
        <v>13</v>
      </c>
      <c r="F1578">
        <v>1013</v>
      </c>
      <c r="G1578" t="s">
        <v>122</v>
      </c>
      <c r="J1578" t="s">
        <v>123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274"/>
        <v>06:16:43.016</v>
      </c>
      <c r="U1578" t="str">
        <f t="shared" si="254"/>
        <v>A7E2E0</v>
      </c>
      <c r="V1578">
        <v>0</v>
      </c>
      <c r="W1578">
        <v>0</v>
      </c>
      <c r="X1578">
        <v>1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1061</v>
      </c>
      <c r="AJ1578">
        <v>39.008996000000003</v>
      </c>
      <c r="AK1578" t="s">
        <v>1062</v>
      </c>
      <c r="AL1578">
        <v>-87.562387000000001</v>
      </c>
      <c r="AM1578">
        <v>100</v>
      </c>
      <c r="AN1578">
        <v>2800</v>
      </c>
      <c r="AO1578" t="s">
        <v>118</v>
      </c>
      <c r="AP1578">
        <v>-93</v>
      </c>
      <c r="AQ1578">
        <v>-125</v>
      </c>
      <c r="AR1578">
        <v>0</v>
      </c>
      <c r="AZ1578">
        <v>4552</v>
      </c>
      <c r="BA1578">
        <v>1</v>
      </c>
      <c r="BB1578" t="str">
        <f t="shared" si="255"/>
        <v xml:space="preserve">N607SR  </v>
      </c>
      <c r="BC1578">
        <v>1</v>
      </c>
      <c r="BE1578">
        <v>0</v>
      </c>
      <c r="BF1578">
        <v>0</v>
      </c>
      <c r="BG1578">
        <v>0</v>
      </c>
      <c r="BH1578">
        <v>2600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 t="shared" si="275"/>
        <v>06:16:43.019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5</v>
      </c>
      <c r="CP1578" t="s">
        <v>119</v>
      </c>
      <c r="CQ1578">
        <v>528</v>
      </c>
      <c r="CR1578">
        <v>1</v>
      </c>
      <c r="CW1578">
        <v>13098091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 t="shared" ref="A1579:A1584" si="276">"08/29/2020 06:16:40.919"</f>
        <v>08/29/2020 06:16:40.919</v>
      </c>
      <c r="C1579" t="str">
        <f t="shared" si="253"/>
        <v>FFDFD3C0</v>
      </c>
      <c r="D1579" t="s">
        <v>113</v>
      </c>
      <c r="E1579">
        <v>5</v>
      </c>
      <c r="H1579">
        <v>163</v>
      </c>
      <c r="I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ref="S1579:S1584" si="277">"06:16:44.141"</f>
        <v>06:16:44.141</v>
      </c>
      <c r="T1579" t="str">
        <f>"06:16:43.641"</f>
        <v>06:16:43.641</v>
      </c>
      <c r="U1579" t="str">
        <f t="shared" si="254"/>
        <v>A7E2E0</v>
      </c>
      <c r="V1579">
        <v>0</v>
      </c>
      <c r="W1579">
        <v>0</v>
      </c>
      <c r="X1579">
        <v>1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1063</v>
      </c>
      <c r="AJ1579">
        <v>39.008374000000003</v>
      </c>
      <c r="AK1579" t="s">
        <v>1064</v>
      </c>
      <c r="AL1579">
        <v>-87.563008999999994</v>
      </c>
      <c r="AM1579">
        <v>100</v>
      </c>
      <c r="AN1579">
        <v>2800</v>
      </c>
      <c r="AO1579" t="s">
        <v>118</v>
      </c>
      <c r="AP1579">
        <v>-93</v>
      </c>
      <c r="AQ1579">
        <v>-125</v>
      </c>
      <c r="AR1579">
        <v>0</v>
      </c>
      <c r="AZ1579">
        <v>4552</v>
      </c>
      <c r="BA1579">
        <v>1</v>
      </c>
      <c r="BB1579" t="str">
        <f t="shared" si="255"/>
        <v xml:space="preserve">N607SR  </v>
      </c>
      <c r="BC1579">
        <v>1</v>
      </c>
      <c r="BE1579">
        <v>0</v>
      </c>
      <c r="BF1579">
        <v>0</v>
      </c>
      <c r="BG1579">
        <v>0</v>
      </c>
      <c r="BH1579">
        <v>2600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 t="shared" ref="BW1579:BW1584" si="278">"06:16:44.145"</f>
        <v>06:16:44.145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465</v>
      </c>
      <c r="CR1579">
        <v>0</v>
      </c>
      <c r="CW1579">
        <v>4721582</v>
      </c>
      <c r="CY1579">
        <v>1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 t="shared" si="276"/>
        <v>08/29/2020 06:16:40.919</v>
      </c>
      <c r="C1580" t="str">
        <f t="shared" si="253"/>
        <v>FFDFD3C0</v>
      </c>
      <c r="D1580" t="s">
        <v>121</v>
      </c>
      <c r="E1580">
        <v>13</v>
      </c>
      <c r="F1580">
        <v>1013</v>
      </c>
      <c r="G1580" t="s">
        <v>122</v>
      </c>
      <c r="J1580" t="s">
        <v>123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277"/>
        <v>06:16:44.141</v>
      </c>
      <c r="U1580" t="str">
        <f t="shared" si="254"/>
        <v>A7E2E0</v>
      </c>
      <c r="V1580">
        <v>0</v>
      </c>
      <c r="W1580">
        <v>0</v>
      </c>
      <c r="X1580">
        <v>1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1063</v>
      </c>
      <c r="AJ1580">
        <v>39.008374000000003</v>
      </c>
      <c r="AK1580" t="s">
        <v>1064</v>
      </c>
      <c r="AL1580">
        <v>-87.563008999999994</v>
      </c>
      <c r="AM1580">
        <v>100</v>
      </c>
      <c r="AN1580">
        <v>2800</v>
      </c>
      <c r="AO1580" t="s">
        <v>118</v>
      </c>
      <c r="AP1580">
        <v>-93</v>
      </c>
      <c r="AQ1580">
        <v>-125</v>
      </c>
      <c r="AR1580">
        <v>0</v>
      </c>
      <c r="AZ1580">
        <v>4552</v>
      </c>
      <c r="BA1580">
        <v>1</v>
      </c>
      <c r="BB1580" t="str">
        <f t="shared" si="255"/>
        <v xml:space="preserve">N607SR  </v>
      </c>
      <c r="BC1580">
        <v>1</v>
      </c>
      <c r="BE1580">
        <v>0</v>
      </c>
      <c r="BF1580">
        <v>0</v>
      </c>
      <c r="BG1580">
        <v>0</v>
      </c>
      <c r="BH1580">
        <v>2600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 t="shared" si="278"/>
        <v>06:16:44.145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4</v>
      </c>
      <c r="CP1580" t="s">
        <v>119</v>
      </c>
      <c r="CQ1580">
        <v>528</v>
      </c>
      <c r="CR1580">
        <v>1</v>
      </c>
      <c r="CW1580">
        <v>13098120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 t="shared" si="276"/>
        <v>08/29/2020 06:16:40.919</v>
      </c>
      <c r="C1581" t="str">
        <f t="shared" si="253"/>
        <v>FFDFD3C0</v>
      </c>
      <c r="D1581" t="s">
        <v>121</v>
      </c>
      <c r="E1581">
        <v>11</v>
      </c>
      <c r="F1581">
        <v>1011</v>
      </c>
      <c r="G1581" t="s">
        <v>125</v>
      </c>
      <c r="J1581" t="s">
        <v>123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277"/>
        <v>06:16:44.141</v>
      </c>
      <c r="U1581" t="str">
        <f t="shared" si="254"/>
        <v>A7E2E0</v>
      </c>
      <c r="V1581">
        <v>0</v>
      </c>
      <c r="W1581">
        <v>0</v>
      </c>
      <c r="X1581">
        <v>1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1063</v>
      </c>
      <c r="AJ1581">
        <v>39.008374000000003</v>
      </c>
      <c r="AK1581" t="s">
        <v>1064</v>
      </c>
      <c r="AL1581">
        <v>-87.563008999999994</v>
      </c>
      <c r="AM1581">
        <v>100</v>
      </c>
      <c r="AN1581">
        <v>2800</v>
      </c>
      <c r="AO1581" t="s">
        <v>118</v>
      </c>
      <c r="AP1581">
        <v>-93</v>
      </c>
      <c r="AQ1581">
        <v>-125</v>
      </c>
      <c r="AR1581">
        <v>0</v>
      </c>
      <c r="AZ1581">
        <v>4552</v>
      </c>
      <c r="BA1581">
        <v>1</v>
      </c>
      <c r="BB1581" t="str">
        <f t="shared" si="255"/>
        <v xml:space="preserve">N607SR  </v>
      </c>
      <c r="BC1581">
        <v>1</v>
      </c>
      <c r="BE1581">
        <v>0</v>
      </c>
      <c r="BF1581">
        <v>0</v>
      </c>
      <c r="BG1581">
        <v>0</v>
      </c>
      <c r="BH1581">
        <v>2600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 t="shared" si="278"/>
        <v>06:16:44.145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4</v>
      </c>
      <c r="CP1581" t="s">
        <v>119</v>
      </c>
      <c r="CQ1581">
        <v>528</v>
      </c>
      <c r="CR1581">
        <v>1</v>
      </c>
      <c r="CW1581">
        <v>13098120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 t="shared" si="276"/>
        <v>08/29/2020 06:16:40.919</v>
      </c>
      <c r="C1582" t="str">
        <f t="shared" si="253"/>
        <v>FFDFD3C0</v>
      </c>
      <c r="D1582" t="s">
        <v>128</v>
      </c>
      <c r="E1582">
        <v>5</v>
      </c>
      <c r="H1582">
        <v>241</v>
      </c>
      <c r="I1582" t="s">
        <v>129</v>
      </c>
      <c r="J1582" t="s">
        <v>130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277"/>
        <v>06:16:44.141</v>
      </c>
      <c r="U1582" t="str">
        <f t="shared" si="254"/>
        <v>A7E2E0</v>
      </c>
      <c r="V1582">
        <v>0</v>
      </c>
      <c r="W1582">
        <v>0</v>
      </c>
      <c r="X1582">
        <v>1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1063</v>
      </c>
      <c r="AJ1582">
        <v>39.008374000000003</v>
      </c>
      <c r="AK1582" t="s">
        <v>1064</v>
      </c>
      <c r="AL1582">
        <v>-87.563008999999994</v>
      </c>
      <c r="AM1582">
        <v>100</v>
      </c>
      <c r="AN1582">
        <v>2800</v>
      </c>
      <c r="AO1582" t="s">
        <v>118</v>
      </c>
      <c r="AP1582">
        <v>-93</v>
      </c>
      <c r="AQ1582">
        <v>-125</v>
      </c>
      <c r="AR1582">
        <v>0</v>
      </c>
      <c r="AZ1582">
        <v>4552</v>
      </c>
      <c r="BA1582">
        <v>1</v>
      </c>
      <c r="BB1582" t="str">
        <f t="shared" si="255"/>
        <v xml:space="preserve">N607SR  </v>
      </c>
      <c r="BC1582">
        <v>1</v>
      </c>
      <c r="BE1582">
        <v>0</v>
      </c>
      <c r="BF1582">
        <v>0</v>
      </c>
      <c r="BG1582">
        <v>0</v>
      </c>
      <c r="BH1582">
        <v>2600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 t="shared" si="278"/>
        <v>06:16:44.145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4</v>
      </c>
      <c r="CP1582" t="s">
        <v>119</v>
      </c>
      <c r="CQ1582">
        <v>528</v>
      </c>
      <c r="CR1582">
        <v>1</v>
      </c>
      <c r="CW1582">
        <v>13098120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si="276"/>
        <v>08/29/2020 06:16:40.919</v>
      </c>
      <c r="C1583" t="str">
        <f t="shared" si="253"/>
        <v>FFDFD3C0</v>
      </c>
      <c r="D1583" t="s">
        <v>939</v>
      </c>
      <c r="E1583">
        <v>10</v>
      </c>
      <c r="H1583">
        <v>79</v>
      </c>
      <c r="I1583" t="s">
        <v>940</v>
      </c>
      <c r="J1583" t="s">
        <v>130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277"/>
        <v>06:16:44.141</v>
      </c>
      <c r="T1583" t="str">
        <f>"06:16:43.641"</f>
        <v>06:16:43.641</v>
      </c>
      <c r="U1583" t="str">
        <f t="shared" si="254"/>
        <v>A7E2E0</v>
      </c>
      <c r="V1583">
        <v>0</v>
      </c>
      <c r="W1583">
        <v>0</v>
      </c>
      <c r="X1583">
        <v>1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1063</v>
      </c>
      <c r="AJ1583">
        <v>39.008374000000003</v>
      </c>
      <c r="AK1583" t="s">
        <v>1064</v>
      </c>
      <c r="AL1583">
        <v>-87.563008999999994</v>
      </c>
      <c r="AM1583">
        <v>100</v>
      </c>
      <c r="AN1583">
        <v>2800</v>
      </c>
      <c r="AO1583" t="s">
        <v>118</v>
      </c>
      <c r="AP1583">
        <v>-93</v>
      </c>
      <c r="AQ1583">
        <v>-125</v>
      </c>
      <c r="AR1583">
        <v>0</v>
      </c>
      <c r="AZ1583">
        <v>4552</v>
      </c>
      <c r="BA1583">
        <v>1</v>
      </c>
      <c r="BB1583" t="str">
        <f t="shared" si="255"/>
        <v xml:space="preserve">N607SR  </v>
      </c>
      <c r="BC1583">
        <v>1</v>
      </c>
      <c r="BE1583">
        <v>0</v>
      </c>
      <c r="BF1583">
        <v>0</v>
      </c>
      <c r="BG1583">
        <v>0</v>
      </c>
      <c r="BH1583">
        <v>2600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 t="shared" si="278"/>
        <v>06:16:44.145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6</v>
      </c>
      <c r="CP1583" t="s">
        <v>119</v>
      </c>
      <c r="CQ1583">
        <v>465</v>
      </c>
      <c r="CR1583">
        <v>0</v>
      </c>
      <c r="CW1583">
        <v>4721582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276"/>
        <v>08/29/2020 06:16:40.919</v>
      </c>
      <c r="C1584" t="str">
        <f t="shared" si="253"/>
        <v>FFDFD3C0</v>
      </c>
      <c r="D1584" t="s">
        <v>121</v>
      </c>
      <c r="E1584">
        <v>10</v>
      </c>
      <c r="F1584">
        <v>1010</v>
      </c>
      <c r="G1584" t="s">
        <v>114</v>
      </c>
      <c r="J1584" t="s">
        <v>123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277"/>
        <v>06:16:44.141</v>
      </c>
      <c r="U1584" t="str">
        <f t="shared" si="254"/>
        <v>A7E2E0</v>
      </c>
      <c r="V1584">
        <v>0</v>
      </c>
      <c r="W1584">
        <v>0</v>
      </c>
      <c r="X1584">
        <v>1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1063</v>
      </c>
      <c r="AJ1584">
        <v>39.008374000000003</v>
      </c>
      <c r="AK1584" t="s">
        <v>1064</v>
      </c>
      <c r="AL1584">
        <v>-87.563008999999994</v>
      </c>
      <c r="AM1584">
        <v>100</v>
      </c>
      <c r="AN1584">
        <v>2800</v>
      </c>
      <c r="AO1584" t="s">
        <v>118</v>
      </c>
      <c r="AP1584">
        <v>-93</v>
      </c>
      <c r="AQ1584">
        <v>-125</v>
      </c>
      <c r="AR1584">
        <v>0</v>
      </c>
      <c r="AZ1584">
        <v>4552</v>
      </c>
      <c r="BA1584">
        <v>1</v>
      </c>
      <c r="BB1584" t="str">
        <f t="shared" si="255"/>
        <v xml:space="preserve">N607SR  </v>
      </c>
      <c r="BC1584">
        <v>1</v>
      </c>
      <c r="BE1584">
        <v>0</v>
      </c>
      <c r="BF1584">
        <v>0</v>
      </c>
      <c r="BG1584">
        <v>0</v>
      </c>
      <c r="BH1584">
        <v>2600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 t="shared" si="278"/>
        <v>06:16:44.145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4</v>
      </c>
      <c r="CP1584" t="s">
        <v>119</v>
      </c>
      <c r="CQ1584">
        <v>528</v>
      </c>
      <c r="CR1584">
        <v>1</v>
      </c>
      <c r="CW1584">
        <v>13098120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ref="A1585:A1590" si="279">"08/29/2020 06:16:41.861"</f>
        <v>08/29/2020 06:16:41.861</v>
      </c>
      <c r="C1585" t="str">
        <f t="shared" si="253"/>
        <v>FFDFD3C0</v>
      </c>
      <c r="D1585" t="s">
        <v>121</v>
      </c>
      <c r="E1585">
        <v>13</v>
      </c>
      <c r="F1585">
        <v>1013</v>
      </c>
      <c r="G1585" t="s">
        <v>122</v>
      </c>
      <c r="J1585" t="s">
        <v>123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ref="S1585:S1590" si="280">"06:16:45.109"</f>
        <v>06:16:45.109</v>
      </c>
      <c r="T1585" t="str">
        <f t="shared" ref="T1585:T1590" si="281">"06:16:44.709"</f>
        <v>06:16:44.709</v>
      </c>
      <c r="U1585" t="str">
        <f t="shared" si="254"/>
        <v>A7E2E0</v>
      </c>
      <c r="V1585">
        <v>0</v>
      </c>
      <c r="W1585">
        <v>0</v>
      </c>
      <c r="X1585">
        <v>1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1065</v>
      </c>
      <c r="AJ1585">
        <v>39.007838</v>
      </c>
      <c r="AK1585" t="s">
        <v>1066</v>
      </c>
      <c r="AL1585">
        <v>-87.563546000000002</v>
      </c>
      <c r="AM1585">
        <v>100</v>
      </c>
      <c r="AN1585">
        <v>2800</v>
      </c>
      <c r="AO1585" t="s">
        <v>118</v>
      </c>
      <c r="AP1585">
        <v>-93</v>
      </c>
      <c r="AQ1585">
        <v>-125</v>
      </c>
      <c r="AR1585">
        <v>0</v>
      </c>
      <c r="AZ1585">
        <v>4552</v>
      </c>
      <c r="BA1585">
        <v>1</v>
      </c>
      <c r="BB1585" t="str">
        <f t="shared" si="255"/>
        <v xml:space="preserve">N607SR  </v>
      </c>
      <c r="BC1585">
        <v>1</v>
      </c>
      <c r="BE1585">
        <v>0</v>
      </c>
      <c r="BF1585">
        <v>0</v>
      </c>
      <c r="BG1585">
        <v>0</v>
      </c>
      <c r="BH1585">
        <v>2600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 t="shared" ref="BW1585:BW1590" si="282">"06:16:45.113"</f>
        <v>06:16:45.113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6</v>
      </c>
      <c r="CP1585" t="s">
        <v>119</v>
      </c>
      <c r="CQ1585">
        <v>465</v>
      </c>
      <c r="CR1585">
        <v>0</v>
      </c>
      <c r="CW1585">
        <v>4721612</v>
      </c>
      <c r="CY1585">
        <v>1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279"/>
        <v>08/29/2020 06:16:41.861</v>
      </c>
      <c r="C1586" t="str">
        <f t="shared" si="253"/>
        <v>FFDFD3C0</v>
      </c>
      <c r="D1586" t="s">
        <v>121</v>
      </c>
      <c r="E1586">
        <v>11</v>
      </c>
      <c r="F1586">
        <v>1011</v>
      </c>
      <c r="G1586" t="s">
        <v>125</v>
      </c>
      <c r="J1586" t="s">
        <v>123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280"/>
        <v>06:16:45.109</v>
      </c>
      <c r="T1586" t="str">
        <f t="shared" si="281"/>
        <v>06:16:44.709</v>
      </c>
      <c r="U1586" t="str">
        <f t="shared" si="254"/>
        <v>A7E2E0</v>
      </c>
      <c r="V1586">
        <v>0</v>
      </c>
      <c r="W1586">
        <v>0</v>
      </c>
      <c r="X1586">
        <v>1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1065</v>
      </c>
      <c r="AJ1586">
        <v>39.007838</v>
      </c>
      <c r="AK1586" t="s">
        <v>1066</v>
      </c>
      <c r="AL1586">
        <v>-87.563546000000002</v>
      </c>
      <c r="AM1586">
        <v>100</v>
      </c>
      <c r="AN1586">
        <v>2800</v>
      </c>
      <c r="AO1586" t="s">
        <v>118</v>
      </c>
      <c r="AP1586">
        <v>-93</v>
      </c>
      <c r="AQ1586">
        <v>-125</v>
      </c>
      <c r="AR1586">
        <v>0</v>
      </c>
      <c r="AZ1586">
        <v>4552</v>
      </c>
      <c r="BA1586">
        <v>1</v>
      </c>
      <c r="BB1586" t="str">
        <f t="shared" si="255"/>
        <v xml:space="preserve">N607SR  </v>
      </c>
      <c r="BC1586">
        <v>1</v>
      </c>
      <c r="BE1586">
        <v>0</v>
      </c>
      <c r="BF1586">
        <v>0</v>
      </c>
      <c r="BG1586">
        <v>0</v>
      </c>
      <c r="BH1586">
        <v>2600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 t="shared" si="282"/>
        <v>06:16:45.113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5</v>
      </c>
      <c r="CP1586" t="s">
        <v>119</v>
      </c>
      <c r="CQ1586">
        <v>177</v>
      </c>
      <c r="CR1586">
        <v>2</v>
      </c>
      <c r="CW1586">
        <v>1648175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 t="shared" si="279"/>
        <v>08/29/2020 06:16:41.861</v>
      </c>
      <c r="C1587" t="str">
        <f t="shared" si="253"/>
        <v>FFDFD3C0</v>
      </c>
      <c r="D1587" t="s">
        <v>113</v>
      </c>
      <c r="E1587">
        <v>5</v>
      </c>
      <c r="H1587">
        <v>163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280"/>
        <v>06:16:45.109</v>
      </c>
      <c r="T1587" t="str">
        <f t="shared" si="281"/>
        <v>06:16:44.709</v>
      </c>
      <c r="U1587" t="str">
        <f t="shared" si="254"/>
        <v>A7E2E0</v>
      </c>
      <c r="V1587">
        <v>0</v>
      </c>
      <c r="W1587">
        <v>0</v>
      </c>
      <c r="X1587">
        <v>1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1065</v>
      </c>
      <c r="AJ1587">
        <v>39.007838</v>
      </c>
      <c r="AK1587" t="s">
        <v>1066</v>
      </c>
      <c r="AL1587">
        <v>-87.563546000000002</v>
      </c>
      <c r="AM1587">
        <v>100</v>
      </c>
      <c r="AN1587">
        <v>2800</v>
      </c>
      <c r="AO1587" t="s">
        <v>118</v>
      </c>
      <c r="AP1587">
        <v>-93</v>
      </c>
      <c r="AQ1587">
        <v>-125</v>
      </c>
      <c r="AR1587">
        <v>0</v>
      </c>
      <c r="AZ1587">
        <v>4552</v>
      </c>
      <c r="BA1587">
        <v>1</v>
      </c>
      <c r="BB1587" t="str">
        <f t="shared" si="255"/>
        <v xml:space="preserve">N607SR  </v>
      </c>
      <c r="BC1587">
        <v>1</v>
      </c>
      <c r="BE1587">
        <v>0</v>
      </c>
      <c r="BF1587">
        <v>0</v>
      </c>
      <c r="BG1587">
        <v>0</v>
      </c>
      <c r="BH1587">
        <v>2600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 t="shared" si="282"/>
        <v>06:16:45.113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6</v>
      </c>
      <c r="CP1587" t="s">
        <v>119</v>
      </c>
      <c r="CQ1587">
        <v>465</v>
      </c>
      <c r="CR1587">
        <v>0</v>
      </c>
      <c r="CW1587">
        <v>4721612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si="279"/>
        <v>08/29/2020 06:16:41.861</v>
      </c>
      <c r="C1588" t="str">
        <f t="shared" si="253"/>
        <v>FFDFD3C0</v>
      </c>
      <c r="D1588" t="s">
        <v>128</v>
      </c>
      <c r="E1588">
        <v>5</v>
      </c>
      <c r="H1588">
        <v>241</v>
      </c>
      <c r="I1588" t="s">
        <v>129</v>
      </c>
      <c r="J1588" t="s">
        <v>130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280"/>
        <v>06:16:45.109</v>
      </c>
      <c r="T1588" t="str">
        <f t="shared" si="281"/>
        <v>06:16:44.709</v>
      </c>
      <c r="U1588" t="str">
        <f t="shared" si="254"/>
        <v>A7E2E0</v>
      </c>
      <c r="V1588">
        <v>0</v>
      </c>
      <c r="W1588">
        <v>0</v>
      </c>
      <c r="X1588">
        <v>1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1065</v>
      </c>
      <c r="AJ1588">
        <v>39.007838</v>
      </c>
      <c r="AK1588" t="s">
        <v>1066</v>
      </c>
      <c r="AL1588">
        <v>-87.563546000000002</v>
      </c>
      <c r="AM1588">
        <v>100</v>
      </c>
      <c r="AN1588">
        <v>2800</v>
      </c>
      <c r="AO1588" t="s">
        <v>118</v>
      </c>
      <c r="AP1588">
        <v>-93</v>
      </c>
      <c r="AQ1588">
        <v>-125</v>
      </c>
      <c r="AR1588">
        <v>0</v>
      </c>
      <c r="AZ1588">
        <v>4552</v>
      </c>
      <c r="BA1588">
        <v>1</v>
      </c>
      <c r="BB1588" t="str">
        <f t="shared" si="255"/>
        <v xml:space="preserve">N607SR  </v>
      </c>
      <c r="BC1588">
        <v>1</v>
      </c>
      <c r="BE1588">
        <v>0</v>
      </c>
      <c r="BF1588">
        <v>0</v>
      </c>
      <c r="BG1588">
        <v>0</v>
      </c>
      <c r="BH1588">
        <v>2600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 t="shared" si="282"/>
        <v>06:16:45.113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119</v>
      </c>
      <c r="CQ1588">
        <v>465</v>
      </c>
      <c r="CR1588">
        <v>0</v>
      </c>
      <c r="CW1588">
        <v>4721612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 t="shared" si="279"/>
        <v>08/29/2020 06:16:41.861</v>
      </c>
      <c r="C1589" t="str">
        <f t="shared" si="253"/>
        <v>FFDFD3C0</v>
      </c>
      <c r="D1589" t="s">
        <v>939</v>
      </c>
      <c r="E1589">
        <v>10</v>
      </c>
      <c r="H1589">
        <v>79</v>
      </c>
      <c r="I1589" t="s">
        <v>940</v>
      </c>
      <c r="J1589" t="s">
        <v>130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280"/>
        <v>06:16:45.109</v>
      </c>
      <c r="T1589" t="str">
        <f t="shared" si="281"/>
        <v>06:16:44.709</v>
      </c>
      <c r="U1589" t="str">
        <f t="shared" si="254"/>
        <v>A7E2E0</v>
      </c>
      <c r="V1589">
        <v>0</v>
      </c>
      <c r="W1589">
        <v>0</v>
      </c>
      <c r="X1589">
        <v>1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1065</v>
      </c>
      <c r="AJ1589">
        <v>39.007838</v>
      </c>
      <c r="AK1589" t="s">
        <v>1066</v>
      </c>
      <c r="AL1589">
        <v>-87.563546000000002</v>
      </c>
      <c r="AM1589">
        <v>100</v>
      </c>
      <c r="AN1589">
        <v>2800</v>
      </c>
      <c r="AO1589" t="s">
        <v>118</v>
      </c>
      <c r="AP1589">
        <v>-93</v>
      </c>
      <c r="AQ1589">
        <v>-125</v>
      </c>
      <c r="AR1589">
        <v>0</v>
      </c>
      <c r="AZ1589">
        <v>4552</v>
      </c>
      <c r="BA1589">
        <v>1</v>
      </c>
      <c r="BB1589" t="str">
        <f t="shared" si="255"/>
        <v xml:space="preserve">N607SR  </v>
      </c>
      <c r="BC1589">
        <v>1</v>
      </c>
      <c r="BE1589">
        <v>0</v>
      </c>
      <c r="BF1589">
        <v>0</v>
      </c>
      <c r="BG1589">
        <v>0</v>
      </c>
      <c r="BH1589">
        <v>2600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 t="shared" si="282"/>
        <v>06:16:45.113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465</v>
      </c>
      <c r="CR1589">
        <v>0</v>
      </c>
      <c r="CW1589">
        <v>4721612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 t="shared" si="279"/>
        <v>08/29/2020 06:16:41.861</v>
      </c>
      <c r="C1590" t="str">
        <f t="shared" si="253"/>
        <v>FFDFD3C0</v>
      </c>
      <c r="D1590" t="s">
        <v>121</v>
      </c>
      <c r="E1590">
        <v>10</v>
      </c>
      <c r="F1590">
        <v>1010</v>
      </c>
      <c r="G1590" t="s">
        <v>114</v>
      </c>
      <c r="J1590" t="s">
        <v>123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280"/>
        <v>06:16:45.109</v>
      </c>
      <c r="T1590" t="str">
        <f t="shared" si="281"/>
        <v>06:16:44.709</v>
      </c>
      <c r="U1590" t="str">
        <f t="shared" si="254"/>
        <v>A7E2E0</v>
      </c>
      <c r="V1590">
        <v>0</v>
      </c>
      <c r="W1590">
        <v>0</v>
      </c>
      <c r="X1590">
        <v>1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1065</v>
      </c>
      <c r="AJ1590">
        <v>39.007838</v>
      </c>
      <c r="AK1590" t="s">
        <v>1066</v>
      </c>
      <c r="AL1590">
        <v>-87.563546000000002</v>
      </c>
      <c r="AM1590">
        <v>100</v>
      </c>
      <c r="AN1590">
        <v>2800</v>
      </c>
      <c r="AO1590" t="s">
        <v>118</v>
      </c>
      <c r="AP1590">
        <v>-93</v>
      </c>
      <c r="AQ1590">
        <v>-125</v>
      </c>
      <c r="AR1590">
        <v>0</v>
      </c>
      <c r="AZ1590">
        <v>4552</v>
      </c>
      <c r="BA1590">
        <v>1</v>
      </c>
      <c r="BB1590" t="str">
        <f t="shared" si="255"/>
        <v xml:space="preserve">N607SR  </v>
      </c>
      <c r="BC1590">
        <v>1</v>
      </c>
      <c r="BE1590">
        <v>0</v>
      </c>
      <c r="BF1590">
        <v>0</v>
      </c>
      <c r="BG1590">
        <v>0</v>
      </c>
      <c r="BH1590">
        <v>2600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 t="shared" si="282"/>
        <v>06:16:45.113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6</v>
      </c>
      <c r="CP1590" t="s">
        <v>119</v>
      </c>
      <c r="CQ1590">
        <v>465</v>
      </c>
      <c r="CR1590">
        <v>0</v>
      </c>
      <c r="CW1590">
        <v>4721612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 t="shared" ref="A1591:A1596" si="283">"08/29/2020 06:16:42.869"</f>
        <v>08/29/2020 06:16:42.869</v>
      </c>
      <c r="C1591" t="str">
        <f t="shared" si="253"/>
        <v>FFDFD3C0</v>
      </c>
      <c r="D1591" t="s">
        <v>121</v>
      </c>
      <c r="E1591">
        <v>11</v>
      </c>
      <c r="F1591">
        <v>1011</v>
      </c>
      <c r="G1591" t="s">
        <v>125</v>
      </c>
      <c r="J1591" t="s">
        <v>123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ref="S1591:S1596" si="284">"06:16:46.094"</f>
        <v>06:16:46.094</v>
      </c>
      <c r="T1591" t="str">
        <f t="shared" ref="T1591:T1596" si="285">"06:16:45.694"</f>
        <v>06:16:45.694</v>
      </c>
      <c r="U1591" t="str">
        <f t="shared" si="254"/>
        <v>A7E2E0</v>
      </c>
      <c r="V1591">
        <v>0</v>
      </c>
      <c r="W1591">
        <v>0</v>
      </c>
      <c r="X1591">
        <v>1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1067</v>
      </c>
      <c r="AJ1591">
        <v>39.007280000000002</v>
      </c>
      <c r="AK1591" t="s">
        <v>1068</v>
      </c>
      <c r="AL1591">
        <v>-87.564018000000004</v>
      </c>
      <c r="AM1591">
        <v>100</v>
      </c>
      <c r="AN1591">
        <v>2800</v>
      </c>
      <c r="AO1591" t="s">
        <v>118</v>
      </c>
      <c r="AP1591">
        <v>-93</v>
      </c>
      <c r="AQ1591">
        <v>-125</v>
      </c>
      <c r="AR1591">
        <v>0</v>
      </c>
      <c r="AZ1591">
        <v>4552</v>
      </c>
      <c r="BA1591">
        <v>1</v>
      </c>
      <c r="BB1591" t="str">
        <f t="shared" si="255"/>
        <v xml:space="preserve">N607SR  </v>
      </c>
      <c r="BC1591">
        <v>1</v>
      </c>
      <c r="BE1591">
        <v>0</v>
      </c>
      <c r="BF1591">
        <v>0</v>
      </c>
      <c r="BG1591">
        <v>0</v>
      </c>
      <c r="BH1591">
        <v>2600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 t="shared" ref="BW1591:BW1596" si="286">"06:16:46.098"</f>
        <v>06:16:46.098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6</v>
      </c>
      <c r="CP1591" t="s">
        <v>119</v>
      </c>
      <c r="CQ1591">
        <v>457</v>
      </c>
      <c r="CR1591">
        <v>0</v>
      </c>
      <c r="CW1591">
        <v>15517456</v>
      </c>
      <c r="CY1591">
        <v>1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 t="shared" si="283"/>
        <v>08/29/2020 06:16:42.869</v>
      </c>
      <c r="C1592" t="str">
        <f t="shared" si="253"/>
        <v>FFDFD3C0</v>
      </c>
      <c r="D1592" t="s">
        <v>121</v>
      </c>
      <c r="E1592">
        <v>13</v>
      </c>
      <c r="F1592">
        <v>1013</v>
      </c>
      <c r="G1592" t="s">
        <v>122</v>
      </c>
      <c r="J1592" t="s">
        <v>123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284"/>
        <v>06:16:46.094</v>
      </c>
      <c r="T1592" t="str">
        <f t="shared" si="285"/>
        <v>06:16:45.694</v>
      </c>
      <c r="U1592" t="str">
        <f t="shared" si="254"/>
        <v>A7E2E0</v>
      </c>
      <c r="V1592">
        <v>0</v>
      </c>
      <c r="W1592">
        <v>0</v>
      </c>
      <c r="X1592">
        <v>1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1067</v>
      </c>
      <c r="AJ1592">
        <v>39.007280000000002</v>
      </c>
      <c r="AK1592" t="s">
        <v>1068</v>
      </c>
      <c r="AL1592">
        <v>-87.564018000000004</v>
      </c>
      <c r="AM1592">
        <v>100</v>
      </c>
      <c r="AN1592">
        <v>2800</v>
      </c>
      <c r="AO1592" t="s">
        <v>118</v>
      </c>
      <c r="AP1592">
        <v>-93</v>
      </c>
      <c r="AQ1592">
        <v>-125</v>
      </c>
      <c r="AR1592">
        <v>0</v>
      </c>
      <c r="AZ1592">
        <v>4552</v>
      </c>
      <c r="BA1592">
        <v>1</v>
      </c>
      <c r="BB1592" t="str">
        <f t="shared" si="255"/>
        <v xml:space="preserve">N607SR  </v>
      </c>
      <c r="BC1592">
        <v>1</v>
      </c>
      <c r="BE1592">
        <v>0</v>
      </c>
      <c r="BF1592">
        <v>0</v>
      </c>
      <c r="BG1592">
        <v>0</v>
      </c>
      <c r="BH1592">
        <v>2600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 t="shared" si="286"/>
        <v>06:16:46.098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6</v>
      </c>
      <c r="CP1592" t="s">
        <v>119</v>
      </c>
      <c r="CQ1592">
        <v>465</v>
      </c>
      <c r="CR1592">
        <v>0</v>
      </c>
      <c r="CW1592">
        <v>4721639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 t="shared" si="283"/>
        <v>08/29/2020 06:16:42.869</v>
      </c>
      <c r="C1593" t="str">
        <f t="shared" si="253"/>
        <v>FFDFD3C0</v>
      </c>
      <c r="D1593" t="s">
        <v>939</v>
      </c>
      <c r="E1593">
        <v>10</v>
      </c>
      <c r="H1593">
        <v>79</v>
      </c>
      <c r="I1593" t="s">
        <v>940</v>
      </c>
      <c r="J1593" t="s">
        <v>130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284"/>
        <v>06:16:46.094</v>
      </c>
      <c r="T1593" t="str">
        <f t="shared" si="285"/>
        <v>06:16:45.694</v>
      </c>
      <c r="U1593" t="str">
        <f t="shared" si="254"/>
        <v>A7E2E0</v>
      </c>
      <c r="V1593">
        <v>0</v>
      </c>
      <c r="W1593">
        <v>0</v>
      </c>
      <c r="X1593">
        <v>1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1067</v>
      </c>
      <c r="AJ1593">
        <v>39.007280000000002</v>
      </c>
      <c r="AK1593" t="s">
        <v>1068</v>
      </c>
      <c r="AL1593">
        <v>-87.564018000000004</v>
      </c>
      <c r="AM1593">
        <v>100</v>
      </c>
      <c r="AN1593">
        <v>2800</v>
      </c>
      <c r="AO1593" t="s">
        <v>118</v>
      </c>
      <c r="AP1593">
        <v>-93</v>
      </c>
      <c r="AQ1593">
        <v>-125</v>
      </c>
      <c r="AR1593">
        <v>0</v>
      </c>
      <c r="AZ1593">
        <v>4552</v>
      </c>
      <c r="BA1593">
        <v>1</v>
      </c>
      <c r="BB1593" t="str">
        <f t="shared" si="255"/>
        <v xml:space="preserve">N607SR  </v>
      </c>
      <c r="BC1593">
        <v>1</v>
      </c>
      <c r="BE1593">
        <v>0</v>
      </c>
      <c r="BF1593">
        <v>0</v>
      </c>
      <c r="BG1593">
        <v>0</v>
      </c>
      <c r="BH1593">
        <v>2600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 t="shared" si="286"/>
        <v>06:16:46.098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119</v>
      </c>
      <c r="CQ1593">
        <v>465</v>
      </c>
      <c r="CR1593">
        <v>0</v>
      </c>
      <c r="CW1593">
        <v>4721639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 t="shared" si="283"/>
        <v>08/29/2020 06:16:42.869</v>
      </c>
      <c r="C1594" t="str">
        <f t="shared" si="253"/>
        <v>FFDFD3C0</v>
      </c>
      <c r="D1594" t="s">
        <v>113</v>
      </c>
      <c r="E1594">
        <v>5</v>
      </c>
      <c r="H1594">
        <v>163</v>
      </c>
      <c r="I1594" t="s">
        <v>114</v>
      </c>
      <c r="J1594" t="s">
        <v>115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284"/>
        <v>06:16:46.094</v>
      </c>
      <c r="T1594" t="str">
        <f t="shared" si="285"/>
        <v>06:16:45.694</v>
      </c>
      <c r="U1594" t="str">
        <f t="shared" si="254"/>
        <v>A7E2E0</v>
      </c>
      <c r="V1594">
        <v>0</v>
      </c>
      <c r="W1594">
        <v>0</v>
      </c>
      <c r="X1594">
        <v>1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1067</v>
      </c>
      <c r="AJ1594">
        <v>39.007280000000002</v>
      </c>
      <c r="AK1594" t="s">
        <v>1068</v>
      </c>
      <c r="AL1594">
        <v>-87.564018000000004</v>
      </c>
      <c r="AM1594">
        <v>100</v>
      </c>
      <c r="AN1594">
        <v>2800</v>
      </c>
      <c r="AO1594" t="s">
        <v>118</v>
      </c>
      <c r="AP1594">
        <v>-93</v>
      </c>
      <c r="AQ1594">
        <v>-125</v>
      </c>
      <c r="AR1594">
        <v>0</v>
      </c>
      <c r="AZ1594">
        <v>4552</v>
      </c>
      <c r="BA1594">
        <v>1</v>
      </c>
      <c r="BB1594" t="str">
        <f t="shared" si="255"/>
        <v xml:space="preserve">N607SR  </v>
      </c>
      <c r="BC1594">
        <v>1</v>
      </c>
      <c r="BE1594">
        <v>0</v>
      </c>
      <c r="BF1594">
        <v>0</v>
      </c>
      <c r="BG1594">
        <v>0</v>
      </c>
      <c r="BH1594">
        <v>2600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 t="shared" si="286"/>
        <v>06:16:46.098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465</v>
      </c>
      <c r="CR1594">
        <v>0</v>
      </c>
      <c r="CW1594">
        <v>4721639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 t="shared" si="283"/>
        <v>08/29/2020 06:16:42.869</v>
      </c>
      <c r="C1595" t="str">
        <f t="shared" si="253"/>
        <v>FFDFD3C0</v>
      </c>
      <c r="D1595" t="s">
        <v>128</v>
      </c>
      <c r="E1595">
        <v>5</v>
      </c>
      <c r="H1595">
        <v>241</v>
      </c>
      <c r="I1595" t="s">
        <v>129</v>
      </c>
      <c r="J1595" t="s">
        <v>130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284"/>
        <v>06:16:46.094</v>
      </c>
      <c r="T1595" t="str">
        <f t="shared" si="285"/>
        <v>06:16:45.694</v>
      </c>
      <c r="U1595" t="str">
        <f t="shared" si="254"/>
        <v>A7E2E0</v>
      </c>
      <c r="V1595">
        <v>0</v>
      </c>
      <c r="W1595">
        <v>0</v>
      </c>
      <c r="X1595">
        <v>1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1067</v>
      </c>
      <c r="AJ1595">
        <v>39.007280000000002</v>
      </c>
      <c r="AK1595" t="s">
        <v>1068</v>
      </c>
      <c r="AL1595">
        <v>-87.564018000000004</v>
      </c>
      <c r="AM1595">
        <v>100</v>
      </c>
      <c r="AN1595">
        <v>2800</v>
      </c>
      <c r="AO1595" t="s">
        <v>118</v>
      </c>
      <c r="AP1595">
        <v>-93</v>
      </c>
      <c r="AQ1595">
        <v>-125</v>
      </c>
      <c r="AR1595">
        <v>0</v>
      </c>
      <c r="AZ1595">
        <v>4552</v>
      </c>
      <c r="BA1595">
        <v>1</v>
      </c>
      <c r="BB1595" t="str">
        <f t="shared" si="255"/>
        <v xml:space="preserve">N607SR  </v>
      </c>
      <c r="BC1595">
        <v>1</v>
      </c>
      <c r="BE1595">
        <v>0</v>
      </c>
      <c r="BF1595">
        <v>0</v>
      </c>
      <c r="BG1595">
        <v>0</v>
      </c>
      <c r="BH1595">
        <v>2600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 t="shared" si="286"/>
        <v>06:16:46.098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465</v>
      </c>
      <c r="CR1595">
        <v>0</v>
      </c>
      <c r="CW1595">
        <v>4721639</v>
      </c>
      <c r="CY1595">
        <v>1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 t="shared" si="283"/>
        <v>08/29/2020 06:16:42.869</v>
      </c>
      <c r="C1596" t="str">
        <f t="shared" si="253"/>
        <v>FFDFD3C0</v>
      </c>
      <c r="D1596" t="s">
        <v>121</v>
      </c>
      <c r="E1596">
        <v>10</v>
      </c>
      <c r="F1596">
        <v>1010</v>
      </c>
      <c r="G1596" t="s">
        <v>114</v>
      </c>
      <c r="J1596" t="s">
        <v>123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284"/>
        <v>06:16:46.094</v>
      </c>
      <c r="T1596" t="str">
        <f t="shared" si="285"/>
        <v>06:16:45.694</v>
      </c>
      <c r="U1596" t="str">
        <f t="shared" si="254"/>
        <v>A7E2E0</v>
      </c>
      <c r="V1596">
        <v>0</v>
      </c>
      <c r="W1596">
        <v>0</v>
      </c>
      <c r="X1596">
        <v>1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1067</v>
      </c>
      <c r="AJ1596">
        <v>39.007280000000002</v>
      </c>
      <c r="AK1596" t="s">
        <v>1068</v>
      </c>
      <c r="AL1596">
        <v>-87.564018000000004</v>
      </c>
      <c r="AM1596">
        <v>100</v>
      </c>
      <c r="AN1596">
        <v>2800</v>
      </c>
      <c r="AO1596" t="s">
        <v>118</v>
      </c>
      <c r="AP1596">
        <v>-93</v>
      </c>
      <c r="AQ1596">
        <v>-125</v>
      </c>
      <c r="AR1596">
        <v>0</v>
      </c>
      <c r="AZ1596">
        <v>4552</v>
      </c>
      <c r="BA1596">
        <v>1</v>
      </c>
      <c r="BB1596" t="str">
        <f t="shared" si="255"/>
        <v xml:space="preserve">N607SR  </v>
      </c>
      <c r="BC1596">
        <v>1</v>
      </c>
      <c r="BE1596">
        <v>0</v>
      </c>
      <c r="BF1596">
        <v>0</v>
      </c>
      <c r="BG1596">
        <v>0</v>
      </c>
      <c r="BH1596">
        <v>2600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 t="shared" si="286"/>
        <v>06:16:46.098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465</v>
      </c>
      <c r="CR1596">
        <v>0</v>
      </c>
      <c r="CW1596">
        <v>4721639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 t="shared" ref="A1597:A1602" si="287">"08/29/2020 06:16:43.910"</f>
        <v>08/29/2020 06:16:43.910</v>
      </c>
      <c r="C1597" t="str">
        <f t="shared" si="253"/>
        <v>FFDFD3C0</v>
      </c>
      <c r="D1597" t="s">
        <v>113</v>
      </c>
      <c r="E1597">
        <v>5</v>
      </c>
      <c r="H1597">
        <v>163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ref="S1597:S1602" si="288">"06:16:47.148"</f>
        <v>06:16:47.148</v>
      </c>
      <c r="T1597" t="str">
        <f t="shared" ref="T1597:T1602" si="289">"06:16:46.648"</f>
        <v>06:16:46.648</v>
      </c>
      <c r="U1597" t="str">
        <f t="shared" si="254"/>
        <v>A7E2E0</v>
      </c>
      <c r="V1597">
        <v>0</v>
      </c>
      <c r="W1597">
        <v>0</v>
      </c>
      <c r="X1597">
        <v>1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1069</v>
      </c>
      <c r="AJ1597">
        <v>39.006636</v>
      </c>
      <c r="AK1597" t="s">
        <v>1070</v>
      </c>
      <c r="AL1597">
        <v>-87.564683000000002</v>
      </c>
      <c r="AM1597">
        <v>100</v>
      </c>
      <c r="AN1597">
        <v>2800</v>
      </c>
      <c r="AO1597" t="s">
        <v>118</v>
      </c>
      <c r="AP1597">
        <v>-93</v>
      </c>
      <c r="AQ1597">
        <v>-125</v>
      </c>
      <c r="AR1597">
        <v>0</v>
      </c>
      <c r="AZ1597">
        <v>4552</v>
      </c>
      <c r="BA1597">
        <v>1</v>
      </c>
      <c r="BB1597" t="str">
        <f t="shared" si="255"/>
        <v xml:space="preserve">N607SR  </v>
      </c>
      <c r="BC1597">
        <v>1</v>
      </c>
      <c r="BE1597">
        <v>0</v>
      </c>
      <c r="BF1597">
        <v>0</v>
      </c>
      <c r="BG1597">
        <v>0</v>
      </c>
      <c r="BH1597">
        <v>2600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"06:16:47.150"</f>
        <v>06:16:47.150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465</v>
      </c>
      <c r="CR1597">
        <v>0</v>
      </c>
      <c r="CW1597">
        <v>4721668</v>
      </c>
      <c r="CY1597">
        <v>1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 t="shared" si="287"/>
        <v>08/29/2020 06:16:43.910</v>
      </c>
      <c r="C1598" t="str">
        <f t="shared" si="253"/>
        <v>FFDFD3C0</v>
      </c>
      <c r="D1598" t="s">
        <v>128</v>
      </c>
      <c r="E1598">
        <v>5</v>
      </c>
      <c r="H1598">
        <v>241</v>
      </c>
      <c r="I1598" t="s">
        <v>129</v>
      </c>
      <c r="J1598" t="s">
        <v>130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288"/>
        <v>06:16:47.148</v>
      </c>
      <c r="T1598" t="str">
        <f t="shared" si="289"/>
        <v>06:16:46.648</v>
      </c>
      <c r="U1598" t="str">
        <f t="shared" si="254"/>
        <v>A7E2E0</v>
      </c>
      <c r="V1598">
        <v>0</v>
      </c>
      <c r="W1598">
        <v>0</v>
      </c>
      <c r="X1598">
        <v>1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1069</v>
      </c>
      <c r="AJ1598">
        <v>39.006636</v>
      </c>
      <c r="AK1598" t="s">
        <v>1070</v>
      </c>
      <c r="AL1598">
        <v>-87.564683000000002</v>
      </c>
      <c r="AM1598">
        <v>100</v>
      </c>
      <c r="AN1598">
        <v>2800</v>
      </c>
      <c r="AO1598" t="s">
        <v>118</v>
      </c>
      <c r="AP1598">
        <v>-93</v>
      </c>
      <c r="AQ1598">
        <v>-125</v>
      </c>
      <c r="AR1598">
        <v>0</v>
      </c>
      <c r="AZ1598">
        <v>4552</v>
      </c>
      <c r="BA1598">
        <v>1</v>
      </c>
      <c r="BB1598" t="str">
        <f t="shared" si="255"/>
        <v xml:space="preserve">N607SR  </v>
      </c>
      <c r="BC1598">
        <v>1</v>
      </c>
      <c r="BE1598">
        <v>0</v>
      </c>
      <c r="BF1598">
        <v>0</v>
      </c>
      <c r="BG1598">
        <v>0</v>
      </c>
      <c r="BH1598">
        <v>2600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"06:16:47.150"</f>
        <v>06:16:47.150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6</v>
      </c>
      <c r="CP1598" t="s">
        <v>119</v>
      </c>
      <c r="CQ1598">
        <v>465</v>
      </c>
      <c r="CR1598">
        <v>0</v>
      </c>
      <c r="CW1598">
        <v>4721668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 t="shared" si="287"/>
        <v>08/29/2020 06:16:43.910</v>
      </c>
      <c r="C1599" t="str">
        <f t="shared" si="253"/>
        <v>FFDFD3C0</v>
      </c>
      <c r="D1599" t="s">
        <v>121</v>
      </c>
      <c r="E1599">
        <v>10</v>
      </c>
      <c r="F1599">
        <v>1010</v>
      </c>
      <c r="G1599" t="s">
        <v>114</v>
      </c>
      <c r="J1599" t="s">
        <v>123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288"/>
        <v>06:16:47.148</v>
      </c>
      <c r="T1599" t="str">
        <f t="shared" si="289"/>
        <v>06:16:46.648</v>
      </c>
      <c r="U1599" t="str">
        <f t="shared" si="254"/>
        <v>A7E2E0</v>
      </c>
      <c r="V1599">
        <v>0</v>
      </c>
      <c r="W1599">
        <v>0</v>
      </c>
      <c r="X1599">
        <v>1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1069</v>
      </c>
      <c r="AJ1599">
        <v>39.006636</v>
      </c>
      <c r="AK1599" t="s">
        <v>1070</v>
      </c>
      <c r="AL1599">
        <v>-87.564683000000002</v>
      </c>
      <c r="AM1599">
        <v>100</v>
      </c>
      <c r="AN1599">
        <v>2800</v>
      </c>
      <c r="AO1599" t="s">
        <v>118</v>
      </c>
      <c r="AP1599">
        <v>-93</v>
      </c>
      <c r="AQ1599">
        <v>-125</v>
      </c>
      <c r="AR1599">
        <v>0</v>
      </c>
      <c r="AZ1599">
        <v>4552</v>
      </c>
      <c r="BA1599">
        <v>1</v>
      </c>
      <c r="BB1599" t="str">
        <f t="shared" si="255"/>
        <v xml:space="preserve">N607SR  </v>
      </c>
      <c r="BC1599">
        <v>1</v>
      </c>
      <c r="BE1599">
        <v>0</v>
      </c>
      <c r="BF1599">
        <v>0</v>
      </c>
      <c r="BG1599">
        <v>0</v>
      </c>
      <c r="BH1599">
        <v>2600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"06:16:47.150"</f>
        <v>06:16:47.150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465</v>
      </c>
      <c r="CR1599">
        <v>0</v>
      </c>
      <c r="CW1599">
        <v>4721668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si="287"/>
        <v>08/29/2020 06:16:43.910</v>
      </c>
      <c r="C1600" t="str">
        <f t="shared" si="253"/>
        <v>FFDFD3C0</v>
      </c>
      <c r="D1600" t="s">
        <v>121</v>
      </c>
      <c r="E1600">
        <v>11</v>
      </c>
      <c r="F1600">
        <v>1011</v>
      </c>
      <c r="G1600" t="s">
        <v>125</v>
      </c>
      <c r="J1600" t="s">
        <v>123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288"/>
        <v>06:16:47.148</v>
      </c>
      <c r="T1600" t="str">
        <f t="shared" si="289"/>
        <v>06:16:46.648</v>
      </c>
      <c r="U1600" t="str">
        <f t="shared" si="254"/>
        <v>A7E2E0</v>
      </c>
      <c r="V1600">
        <v>0</v>
      </c>
      <c r="W1600">
        <v>0</v>
      </c>
      <c r="X1600">
        <v>1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1069</v>
      </c>
      <c r="AJ1600">
        <v>39.006636</v>
      </c>
      <c r="AK1600" t="s">
        <v>1070</v>
      </c>
      <c r="AL1600">
        <v>-87.564683000000002</v>
      </c>
      <c r="AM1600">
        <v>100</v>
      </c>
      <c r="AN1600">
        <v>2800</v>
      </c>
      <c r="AO1600" t="s">
        <v>118</v>
      </c>
      <c r="AP1600">
        <v>-93</v>
      </c>
      <c r="AQ1600">
        <v>-125</v>
      </c>
      <c r="AR1600">
        <v>0</v>
      </c>
      <c r="AZ1600">
        <v>4552</v>
      </c>
      <c r="BA1600">
        <v>1</v>
      </c>
      <c r="BB1600" t="str">
        <f t="shared" si="255"/>
        <v xml:space="preserve">N607SR  </v>
      </c>
      <c r="BC1600">
        <v>1</v>
      </c>
      <c r="BE1600">
        <v>0</v>
      </c>
      <c r="BF1600">
        <v>0</v>
      </c>
      <c r="BG1600">
        <v>0</v>
      </c>
      <c r="BH1600">
        <v>2600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"06:16:47.149"</f>
        <v>06:16:47.149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6</v>
      </c>
      <c r="CP1600" t="s">
        <v>119</v>
      </c>
      <c r="CQ1600">
        <v>457</v>
      </c>
      <c r="CR1600">
        <v>0</v>
      </c>
      <c r="CW1600">
        <v>15517482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 t="shared" si="287"/>
        <v>08/29/2020 06:16:43.910</v>
      </c>
      <c r="C1601" t="str">
        <f t="shared" si="253"/>
        <v>FFDFD3C0</v>
      </c>
      <c r="D1601" t="s">
        <v>121</v>
      </c>
      <c r="E1601">
        <v>13</v>
      </c>
      <c r="F1601">
        <v>1013</v>
      </c>
      <c r="G1601" t="s">
        <v>122</v>
      </c>
      <c r="J1601" t="s">
        <v>123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288"/>
        <v>06:16:47.148</v>
      </c>
      <c r="T1601" t="str">
        <f t="shared" si="289"/>
        <v>06:16:46.648</v>
      </c>
      <c r="U1601" t="str">
        <f t="shared" si="254"/>
        <v>A7E2E0</v>
      </c>
      <c r="V1601">
        <v>0</v>
      </c>
      <c r="W1601">
        <v>0</v>
      </c>
      <c r="X1601">
        <v>1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1069</v>
      </c>
      <c r="AJ1601">
        <v>39.006636</v>
      </c>
      <c r="AK1601" t="s">
        <v>1070</v>
      </c>
      <c r="AL1601">
        <v>-87.564683000000002</v>
      </c>
      <c r="AM1601">
        <v>100</v>
      </c>
      <c r="AN1601">
        <v>2800</v>
      </c>
      <c r="AO1601" t="s">
        <v>118</v>
      </c>
      <c r="AP1601">
        <v>-93</v>
      </c>
      <c r="AQ1601">
        <v>-125</v>
      </c>
      <c r="AR1601">
        <v>0</v>
      </c>
      <c r="AZ1601">
        <v>4552</v>
      </c>
      <c r="BA1601">
        <v>1</v>
      </c>
      <c r="BB1601" t="str">
        <f t="shared" si="255"/>
        <v xml:space="preserve">N607SR  </v>
      </c>
      <c r="BC1601">
        <v>1</v>
      </c>
      <c r="BE1601">
        <v>0</v>
      </c>
      <c r="BF1601">
        <v>0</v>
      </c>
      <c r="BG1601">
        <v>0</v>
      </c>
      <c r="BH1601">
        <v>2600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"06:16:47.150"</f>
        <v>06:16:47.150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6</v>
      </c>
      <c r="CP1601" t="s">
        <v>119</v>
      </c>
      <c r="CQ1601">
        <v>465</v>
      </c>
      <c r="CR1601">
        <v>0</v>
      </c>
      <c r="CW1601">
        <v>4721668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 t="shared" si="287"/>
        <v>08/29/2020 06:16:43.910</v>
      </c>
      <c r="C1602" t="str">
        <f t="shared" ref="C1602:C1665" si="290">"FFDFD3C0"</f>
        <v>FFDFD3C0</v>
      </c>
      <c r="D1602" t="s">
        <v>939</v>
      </c>
      <c r="E1602">
        <v>10</v>
      </c>
      <c r="H1602">
        <v>79</v>
      </c>
      <c r="I1602" t="s">
        <v>940</v>
      </c>
      <c r="J1602" t="s">
        <v>130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288"/>
        <v>06:16:47.148</v>
      </c>
      <c r="T1602" t="str">
        <f t="shared" si="289"/>
        <v>06:16:46.648</v>
      </c>
      <c r="U1602" t="str">
        <f t="shared" ref="U1602:U1665" si="291">"A7E2E0"</f>
        <v>A7E2E0</v>
      </c>
      <c r="V1602">
        <v>0</v>
      </c>
      <c r="W1602">
        <v>0</v>
      </c>
      <c r="X1602">
        <v>1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1069</v>
      </c>
      <c r="AJ1602">
        <v>39.006636</v>
      </c>
      <c r="AK1602" t="s">
        <v>1070</v>
      </c>
      <c r="AL1602">
        <v>-87.564683000000002</v>
      </c>
      <c r="AM1602">
        <v>100</v>
      </c>
      <c r="AN1602">
        <v>2800</v>
      </c>
      <c r="AO1602" t="s">
        <v>118</v>
      </c>
      <c r="AP1602">
        <v>-93</v>
      </c>
      <c r="AQ1602">
        <v>-125</v>
      </c>
      <c r="AR1602">
        <v>0</v>
      </c>
      <c r="AZ1602">
        <v>4552</v>
      </c>
      <c r="BA1602">
        <v>1</v>
      </c>
      <c r="BB1602" t="str">
        <f t="shared" ref="BB1602:BB1665" si="292">"N607SR  "</f>
        <v xml:space="preserve">N607SR  </v>
      </c>
      <c r="BC1602">
        <v>1</v>
      </c>
      <c r="BE1602">
        <v>0</v>
      </c>
      <c r="BF1602">
        <v>0</v>
      </c>
      <c r="BG1602">
        <v>0</v>
      </c>
      <c r="BH1602">
        <v>2600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"06:16:47.150"</f>
        <v>06:16:47.150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465</v>
      </c>
      <c r="CR1602">
        <v>0</v>
      </c>
      <c r="CW1602">
        <v>4721668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 t="shared" ref="A1603:A1608" si="293">"08/29/2020 06:16:44.948"</f>
        <v>08/29/2020 06:16:44.948</v>
      </c>
      <c r="C1603" t="str">
        <f t="shared" si="290"/>
        <v>FFDFD3C0</v>
      </c>
      <c r="D1603" t="s">
        <v>939</v>
      </c>
      <c r="E1603">
        <v>10</v>
      </c>
      <c r="H1603">
        <v>79</v>
      </c>
      <c r="I1603" t="s">
        <v>940</v>
      </c>
      <c r="J1603" t="s">
        <v>130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ref="S1603:S1608" si="294">"06:16:48.180"</f>
        <v>06:16:48.180</v>
      </c>
      <c r="U1603" t="str">
        <f t="shared" si="291"/>
        <v>A7E2E0</v>
      </c>
      <c r="V1603">
        <v>0</v>
      </c>
      <c r="W1603">
        <v>0</v>
      </c>
      <c r="X1603">
        <v>1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1071</v>
      </c>
      <c r="AJ1603">
        <v>39.006078000000002</v>
      </c>
      <c r="AK1603" t="s">
        <v>1072</v>
      </c>
      <c r="AL1603">
        <v>-87.565218999999999</v>
      </c>
      <c r="AM1603">
        <v>100</v>
      </c>
      <c r="AN1603">
        <v>2800</v>
      </c>
      <c r="AO1603" t="s">
        <v>118</v>
      </c>
      <c r="AP1603">
        <v>-93</v>
      </c>
      <c r="AQ1603">
        <v>-125</v>
      </c>
      <c r="AR1603">
        <v>0</v>
      </c>
      <c r="AZ1603">
        <v>4552</v>
      </c>
      <c r="BA1603">
        <v>1</v>
      </c>
      <c r="BB1603" t="str">
        <f t="shared" si="292"/>
        <v xml:space="preserve">N607SR  </v>
      </c>
      <c r="BC1603">
        <v>1</v>
      </c>
      <c r="BE1603">
        <v>0</v>
      </c>
      <c r="BF1603">
        <v>0</v>
      </c>
      <c r="BG1603">
        <v>0</v>
      </c>
      <c r="BH1603">
        <v>2600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 t="shared" ref="BW1603:BW1608" si="295">"06:16:48.187"</f>
        <v>06:16:48.187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465</v>
      </c>
      <c r="CR1603">
        <v>0</v>
      </c>
      <c r="CW1603">
        <v>4721701</v>
      </c>
      <c r="CY1603">
        <v>1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 t="shared" si="293"/>
        <v>08/29/2020 06:16:44.948</v>
      </c>
      <c r="C1604" t="str">
        <f t="shared" si="290"/>
        <v>FFDFD3C0</v>
      </c>
      <c r="D1604" t="s">
        <v>121</v>
      </c>
      <c r="E1604">
        <v>11</v>
      </c>
      <c r="F1604">
        <v>1011</v>
      </c>
      <c r="G1604" t="s">
        <v>125</v>
      </c>
      <c r="J1604" t="s">
        <v>123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294"/>
        <v>06:16:48.180</v>
      </c>
      <c r="T1604" t="str">
        <f>"06:16:47.680"</f>
        <v>06:16:47.680</v>
      </c>
      <c r="U1604" t="str">
        <f t="shared" si="291"/>
        <v>A7E2E0</v>
      </c>
      <c r="V1604">
        <v>0</v>
      </c>
      <c r="W1604">
        <v>0</v>
      </c>
      <c r="X1604">
        <v>1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1071</v>
      </c>
      <c r="AJ1604">
        <v>39.006078000000002</v>
      </c>
      <c r="AK1604" t="s">
        <v>1072</v>
      </c>
      <c r="AL1604">
        <v>-87.565218999999999</v>
      </c>
      <c r="AM1604">
        <v>100</v>
      </c>
      <c r="AN1604">
        <v>2800</v>
      </c>
      <c r="AO1604" t="s">
        <v>118</v>
      </c>
      <c r="AP1604">
        <v>-93</v>
      </c>
      <c r="AQ1604">
        <v>-125</v>
      </c>
      <c r="AR1604">
        <v>0</v>
      </c>
      <c r="AZ1604">
        <v>4552</v>
      </c>
      <c r="BA1604">
        <v>1</v>
      </c>
      <c r="BB1604" t="str">
        <f t="shared" si="292"/>
        <v xml:space="preserve">N607SR  </v>
      </c>
      <c r="BC1604">
        <v>1</v>
      </c>
      <c r="BE1604">
        <v>0</v>
      </c>
      <c r="BF1604">
        <v>0</v>
      </c>
      <c r="BG1604">
        <v>0</v>
      </c>
      <c r="BH1604">
        <v>2600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 t="shared" si="295"/>
        <v>06:16:48.187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457</v>
      </c>
      <c r="CR1604">
        <v>0</v>
      </c>
      <c r="CW1604">
        <v>15517510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 t="shared" si="293"/>
        <v>08/29/2020 06:16:44.948</v>
      </c>
      <c r="C1605" t="str">
        <f t="shared" si="290"/>
        <v>FFDFD3C0</v>
      </c>
      <c r="D1605" t="s">
        <v>121</v>
      </c>
      <c r="E1605">
        <v>13</v>
      </c>
      <c r="F1605">
        <v>1013</v>
      </c>
      <c r="G1605" t="s">
        <v>122</v>
      </c>
      <c r="J1605" t="s">
        <v>123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294"/>
        <v>06:16:48.180</v>
      </c>
      <c r="U1605" t="str">
        <f t="shared" si="291"/>
        <v>A7E2E0</v>
      </c>
      <c r="V1605">
        <v>0</v>
      </c>
      <c r="W1605">
        <v>0</v>
      </c>
      <c r="X1605">
        <v>1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1071</v>
      </c>
      <c r="AJ1605">
        <v>39.006078000000002</v>
      </c>
      <c r="AK1605" t="s">
        <v>1072</v>
      </c>
      <c r="AL1605">
        <v>-87.565218999999999</v>
      </c>
      <c r="AM1605">
        <v>100</v>
      </c>
      <c r="AN1605">
        <v>2800</v>
      </c>
      <c r="AO1605" t="s">
        <v>118</v>
      </c>
      <c r="AP1605">
        <v>-93</v>
      </c>
      <c r="AQ1605">
        <v>-125</v>
      </c>
      <c r="AR1605">
        <v>0</v>
      </c>
      <c r="AZ1605">
        <v>4552</v>
      </c>
      <c r="BA1605">
        <v>1</v>
      </c>
      <c r="BB1605" t="str">
        <f t="shared" si="292"/>
        <v xml:space="preserve">N607SR  </v>
      </c>
      <c r="BC1605">
        <v>1</v>
      </c>
      <c r="BE1605">
        <v>0</v>
      </c>
      <c r="BF1605">
        <v>0</v>
      </c>
      <c r="BG1605">
        <v>0</v>
      </c>
      <c r="BH1605">
        <v>2600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 t="shared" si="295"/>
        <v>06:16:48.187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465</v>
      </c>
      <c r="CR1605">
        <v>0</v>
      </c>
      <c r="CW1605">
        <v>4721701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 t="shared" si="293"/>
        <v>08/29/2020 06:16:44.948</v>
      </c>
      <c r="C1606" t="str">
        <f t="shared" si="290"/>
        <v>FFDFD3C0</v>
      </c>
      <c r="D1606" t="s">
        <v>113</v>
      </c>
      <c r="E1606">
        <v>5</v>
      </c>
      <c r="H1606">
        <v>163</v>
      </c>
      <c r="I1606" t="s">
        <v>114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294"/>
        <v>06:16:48.180</v>
      </c>
      <c r="U1606" t="str">
        <f t="shared" si="291"/>
        <v>A7E2E0</v>
      </c>
      <c r="V1606">
        <v>0</v>
      </c>
      <c r="W1606">
        <v>0</v>
      </c>
      <c r="X1606">
        <v>1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1071</v>
      </c>
      <c r="AJ1606">
        <v>39.006078000000002</v>
      </c>
      <c r="AK1606" t="s">
        <v>1072</v>
      </c>
      <c r="AL1606">
        <v>-87.565218999999999</v>
      </c>
      <c r="AM1606">
        <v>100</v>
      </c>
      <c r="AN1606">
        <v>2800</v>
      </c>
      <c r="AO1606" t="s">
        <v>118</v>
      </c>
      <c r="AP1606">
        <v>-93</v>
      </c>
      <c r="AQ1606">
        <v>-125</v>
      </c>
      <c r="AR1606">
        <v>0</v>
      </c>
      <c r="AZ1606">
        <v>4552</v>
      </c>
      <c r="BA1606">
        <v>1</v>
      </c>
      <c r="BB1606" t="str">
        <f t="shared" si="292"/>
        <v xml:space="preserve">N607SR  </v>
      </c>
      <c r="BC1606">
        <v>1</v>
      </c>
      <c r="BE1606">
        <v>0</v>
      </c>
      <c r="BF1606">
        <v>0</v>
      </c>
      <c r="BG1606">
        <v>0</v>
      </c>
      <c r="BH1606">
        <v>2600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 t="shared" si="295"/>
        <v>06:16:48.187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465</v>
      </c>
      <c r="CR1606">
        <v>0</v>
      </c>
      <c r="CW1606">
        <v>4721701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 t="shared" si="293"/>
        <v>08/29/2020 06:16:44.948</v>
      </c>
      <c r="C1607" t="str">
        <f t="shared" si="290"/>
        <v>FFDFD3C0</v>
      </c>
      <c r="D1607" t="s">
        <v>128</v>
      </c>
      <c r="E1607">
        <v>5</v>
      </c>
      <c r="H1607">
        <v>241</v>
      </c>
      <c r="I1607" t="s">
        <v>129</v>
      </c>
      <c r="J1607" t="s">
        <v>130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294"/>
        <v>06:16:48.180</v>
      </c>
      <c r="U1607" t="str">
        <f t="shared" si="291"/>
        <v>A7E2E0</v>
      </c>
      <c r="V1607">
        <v>0</v>
      </c>
      <c r="W1607">
        <v>0</v>
      </c>
      <c r="X1607">
        <v>1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1071</v>
      </c>
      <c r="AJ1607">
        <v>39.006078000000002</v>
      </c>
      <c r="AK1607" t="s">
        <v>1072</v>
      </c>
      <c r="AL1607">
        <v>-87.565218999999999</v>
      </c>
      <c r="AM1607">
        <v>100</v>
      </c>
      <c r="AN1607">
        <v>2800</v>
      </c>
      <c r="AO1607" t="s">
        <v>118</v>
      </c>
      <c r="AP1607">
        <v>-93</v>
      </c>
      <c r="AQ1607">
        <v>-125</v>
      </c>
      <c r="AR1607">
        <v>0</v>
      </c>
      <c r="AZ1607">
        <v>4552</v>
      </c>
      <c r="BA1607">
        <v>1</v>
      </c>
      <c r="BB1607" t="str">
        <f t="shared" si="292"/>
        <v xml:space="preserve">N607SR  </v>
      </c>
      <c r="BC1607">
        <v>1</v>
      </c>
      <c r="BE1607">
        <v>0</v>
      </c>
      <c r="BF1607">
        <v>0</v>
      </c>
      <c r="BG1607">
        <v>0</v>
      </c>
      <c r="BH1607">
        <v>2600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 t="shared" si="295"/>
        <v>06:16:48.187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6</v>
      </c>
      <c r="CP1607" t="s">
        <v>119</v>
      </c>
      <c r="CQ1607">
        <v>465</v>
      </c>
      <c r="CR1607">
        <v>0</v>
      </c>
      <c r="CW1607">
        <v>4721701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 t="shared" si="293"/>
        <v>08/29/2020 06:16:44.948</v>
      </c>
      <c r="C1608" t="str">
        <f t="shared" si="290"/>
        <v>FFDFD3C0</v>
      </c>
      <c r="D1608" t="s">
        <v>121</v>
      </c>
      <c r="E1608">
        <v>10</v>
      </c>
      <c r="F1608">
        <v>1010</v>
      </c>
      <c r="G1608" t="s">
        <v>114</v>
      </c>
      <c r="J1608" t="s">
        <v>123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294"/>
        <v>06:16:48.180</v>
      </c>
      <c r="U1608" t="str">
        <f t="shared" si="291"/>
        <v>A7E2E0</v>
      </c>
      <c r="V1608">
        <v>0</v>
      </c>
      <c r="W1608">
        <v>0</v>
      </c>
      <c r="X1608">
        <v>1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1071</v>
      </c>
      <c r="AJ1608">
        <v>39.006078000000002</v>
      </c>
      <c r="AK1608" t="s">
        <v>1072</v>
      </c>
      <c r="AL1608">
        <v>-87.565218999999999</v>
      </c>
      <c r="AM1608">
        <v>100</v>
      </c>
      <c r="AN1608">
        <v>2800</v>
      </c>
      <c r="AO1608" t="s">
        <v>118</v>
      </c>
      <c r="AP1608">
        <v>-93</v>
      </c>
      <c r="AQ1608">
        <v>-125</v>
      </c>
      <c r="AR1608">
        <v>0</v>
      </c>
      <c r="AZ1608">
        <v>4552</v>
      </c>
      <c r="BA1608">
        <v>1</v>
      </c>
      <c r="BB1608" t="str">
        <f t="shared" si="292"/>
        <v xml:space="preserve">N607SR  </v>
      </c>
      <c r="BC1608">
        <v>1</v>
      </c>
      <c r="BE1608">
        <v>0</v>
      </c>
      <c r="BF1608">
        <v>0</v>
      </c>
      <c r="BG1608">
        <v>0</v>
      </c>
      <c r="BH1608">
        <v>2600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 t="shared" si="295"/>
        <v>06:16:48.187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6</v>
      </c>
      <c r="CP1608" t="s">
        <v>119</v>
      </c>
      <c r="CQ1608">
        <v>465</v>
      </c>
      <c r="CR1608">
        <v>0</v>
      </c>
      <c r="CW1608">
        <v>4721701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 t="shared" ref="A1609:A1614" si="296">"08/29/2020 06:16:45.954"</f>
        <v>08/29/2020 06:16:45.954</v>
      </c>
      <c r="C1609" t="str">
        <f t="shared" si="290"/>
        <v>FFDFD3C0</v>
      </c>
      <c r="D1609" t="s">
        <v>939</v>
      </c>
      <c r="E1609">
        <v>10</v>
      </c>
      <c r="H1609">
        <v>79</v>
      </c>
      <c r="I1609" t="s">
        <v>940</v>
      </c>
      <c r="J1609" t="s">
        <v>130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ref="S1609:S1614" si="297">"06:16:49.172"</f>
        <v>06:16:49.172</v>
      </c>
      <c r="T1609" t="str">
        <f t="shared" ref="T1609:T1614" si="298">"06:16:48.672"</f>
        <v>06:16:48.672</v>
      </c>
      <c r="U1609" t="str">
        <f t="shared" si="291"/>
        <v>A7E2E0</v>
      </c>
      <c r="V1609">
        <v>0</v>
      </c>
      <c r="W1609">
        <v>0</v>
      </c>
      <c r="X1609">
        <v>1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1073</v>
      </c>
      <c r="AJ1609">
        <v>39.005499</v>
      </c>
      <c r="AK1609" t="s">
        <v>1074</v>
      </c>
      <c r="AL1609">
        <v>-87.565755999999993</v>
      </c>
      <c r="AM1609">
        <v>100</v>
      </c>
      <c r="AN1609">
        <v>2800</v>
      </c>
      <c r="AO1609" t="s">
        <v>118</v>
      </c>
      <c r="AP1609">
        <v>-93</v>
      </c>
      <c r="AQ1609">
        <v>-125</v>
      </c>
      <c r="AR1609">
        <v>0</v>
      </c>
      <c r="AZ1609">
        <v>4552</v>
      </c>
      <c r="BA1609">
        <v>1</v>
      </c>
      <c r="BB1609" t="str">
        <f t="shared" si="292"/>
        <v xml:space="preserve">N607SR  </v>
      </c>
      <c r="BC1609">
        <v>1</v>
      </c>
      <c r="BE1609">
        <v>0</v>
      </c>
      <c r="BF1609">
        <v>0</v>
      </c>
      <c r="BG1609">
        <v>0</v>
      </c>
      <c r="BH1609">
        <v>2600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 t="shared" ref="BW1609:BW1614" si="299">"06:16:49.180"</f>
        <v>06:16:49.180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6</v>
      </c>
      <c r="CP1609" t="s">
        <v>119</v>
      </c>
      <c r="CQ1609">
        <v>465</v>
      </c>
      <c r="CR1609">
        <v>0</v>
      </c>
      <c r="CW1609">
        <v>4721731</v>
      </c>
      <c r="CY1609">
        <v>1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 t="shared" si="296"/>
        <v>08/29/2020 06:16:45.954</v>
      </c>
      <c r="C1610" t="str">
        <f t="shared" si="290"/>
        <v>FFDFD3C0</v>
      </c>
      <c r="D1610" t="s">
        <v>121</v>
      </c>
      <c r="E1610">
        <v>11</v>
      </c>
      <c r="F1610">
        <v>1011</v>
      </c>
      <c r="G1610" t="s">
        <v>125</v>
      </c>
      <c r="J1610" t="s">
        <v>123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297"/>
        <v>06:16:49.172</v>
      </c>
      <c r="T1610" t="str">
        <f t="shared" si="298"/>
        <v>06:16:48.672</v>
      </c>
      <c r="U1610" t="str">
        <f t="shared" si="291"/>
        <v>A7E2E0</v>
      </c>
      <c r="V1610">
        <v>0</v>
      </c>
      <c r="W1610">
        <v>0</v>
      </c>
      <c r="X1610">
        <v>1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1073</v>
      </c>
      <c r="AJ1610">
        <v>39.005499</v>
      </c>
      <c r="AK1610" t="s">
        <v>1074</v>
      </c>
      <c r="AL1610">
        <v>-87.565755999999993</v>
      </c>
      <c r="AM1610">
        <v>100</v>
      </c>
      <c r="AN1610">
        <v>2800</v>
      </c>
      <c r="AO1610" t="s">
        <v>118</v>
      </c>
      <c r="AP1610">
        <v>-93</v>
      </c>
      <c r="AQ1610">
        <v>-125</v>
      </c>
      <c r="AR1610">
        <v>0</v>
      </c>
      <c r="AZ1610">
        <v>4552</v>
      </c>
      <c r="BA1610">
        <v>1</v>
      </c>
      <c r="BB1610" t="str">
        <f t="shared" si="292"/>
        <v xml:space="preserve">N607SR  </v>
      </c>
      <c r="BC1610">
        <v>1</v>
      </c>
      <c r="BE1610">
        <v>0</v>
      </c>
      <c r="BF1610">
        <v>0</v>
      </c>
      <c r="BG1610">
        <v>0</v>
      </c>
      <c r="BH1610">
        <v>2600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 t="shared" si="299"/>
        <v>06:16:49.180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6</v>
      </c>
      <c r="CP1610" t="s">
        <v>119</v>
      </c>
      <c r="CQ1610">
        <v>457</v>
      </c>
      <c r="CR1610">
        <v>0</v>
      </c>
      <c r="CW1610">
        <v>15517534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 t="shared" si="296"/>
        <v>08/29/2020 06:16:45.954</v>
      </c>
      <c r="C1611" t="str">
        <f t="shared" si="290"/>
        <v>FFDFD3C0</v>
      </c>
      <c r="D1611" t="s">
        <v>121</v>
      </c>
      <c r="E1611">
        <v>13</v>
      </c>
      <c r="F1611">
        <v>1013</v>
      </c>
      <c r="G1611" t="s">
        <v>122</v>
      </c>
      <c r="J1611" t="s">
        <v>123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297"/>
        <v>06:16:49.172</v>
      </c>
      <c r="T1611" t="str">
        <f t="shared" si="298"/>
        <v>06:16:48.672</v>
      </c>
      <c r="U1611" t="str">
        <f t="shared" si="291"/>
        <v>A7E2E0</v>
      </c>
      <c r="V1611">
        <v>0</v>
      </c>
      <c r="W1611">
        <v>0</v>
      </c>
      <c r="X1611">
        <v>1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1073</v>
      </c>
      <c r="AJ1611">
        <v>39.005499</v>
      </c>
      <c r="AK1611" t="s">
        <v>1074</v>
      </c>
      <c r="AL1611">
        <v>-87.565755999999993</v>
      </c>
      <c r="AM1611">
        <v>100</v>
      </c>
      <c r="AN1611">
        <v>2800</v>
      </c>
      <c r="AO1611" t="s">
        <v>118</v>
      </c>
      <c r="AP1611">
        <v>-93</v>
      </c>
      <c r="AQ1611">
        <v>-125</v>
      </c>
      <c r="AR1611">
        <v>0</v>
      </c>
      <c r="AZ1611">
        <v>4552</v>
      </c>
      <c r="BA1611">
        <v>1</v>
      </c>
      <c r="BB1611" t="str">
        <f t="shared" si="292"/>
        <v xml:space="preserve">N607SR  </v>
      </c>
      <c r="BC1611">
        <v>1</v>
      </c>
      <c r="BE1611">
        <v>0</v>
      </c>
      <c r="BF1611">
        <v>0</v>
      </c>
      <c r="BG1611">
        <v>0</v>
      </c>
      <c r="BH1611">
        <v>2600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 t="shared" si="299"/>
        <v>06:16:49.180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6</v>
      </c>
      <c r="CP1611" t="s">
        <v>119</v>
      </c>
      <c r="CQ1611">
        <v>465</v>
      </c>
      <c r="CR1611">
        <v>0</v>
      </c>
      <c r="CW1611">
        <v>4721731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 t="shared" si="296"/>
        <v>08/29/2020 06:16:45.954</v>
      </c>
      <c r="C1612" t="str">
        <f t="shared" si="290"/>
        <v>FFDFD3C0</v>
      </c>
      <c r="D1612" t="s">
        <v>113</v>
      </c>
      <c r="E1612">
        <v>5</v>
      </c>
      <c r="H1612">
        <v>163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297"/>
        <v>06:16:49.172</v>
      </c>
      <c r="T1612" t="str">
        <f t="shared" si="298"/>
        <v>06:16:48.672</v>
      </c>
      <c r="U1612" t="str">
        <f t="shared" si="291"/>
        <v>A7E2E0</v>
      </c>
      <c r="V1612">
        <v>0</v>
      </c>
      <c r="W1612">
        <v>0</v>
      </c>
      <c r="X1612">
        <v>1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1073</v>
      </c>
      <c r="AJ1612">
        <v>39.005499</v>
      </c>
      <c r="AK1612" t="s">
        <v>1074</v>
      </c>
      <c r="AL1612">
        <v>-87.565755999999993</v>
      </c>
      <c r="AM1612">
        <v>100</v>
      </c>
      <c r="AN1612">
        <v>2800</v>
      </c>
      <c r="AO1612" t="s">
        <v>118</v>
      </c>
      <c r="AP1612">
        <v>-93</v>
      </c>
      <c r="AQ1612">
        <v>-125</v>
      </c>
      <c r="AR1612">
        <v>0</v>
      </c>
      <c r="AZ1612">
        <v>4552</v>
      </c>
      <c r="BA1612">
        <v>1</v>
      </c>
      <c r="BB1612" t="str">
        <f t="shared" si="292"/>
        <v xml:space="preserve">N607SR  </v>
      </c>
      <c r="BC1612">
        <v>1</v>
      </c>
      <c r="BE1612">
        <v>0</v>
      </c>
      <c r="BF1612">
        <v>0</v>
      </c>
      <c r="BG1612">
        <v>0</v>
      </c>
      <c r="BH1612">
        <v>2600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 t="shared" si="299"/>
        <v>06:16:49.180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465</v>
      </c>
      <c r="CR1612">
        <v>0</v>
      </c>
      <c r="CW1612">
        <v>4721731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 t="shared" si="296"/>
        <v>08/29/2020 06:16:45.954</v>
      </c>
      <c r="C1613" t="str">
        <f t="shared" si="290"/>
        <v>FFDFD3C0</v>
      </c>
      <c r="D1613" t="s">
        <v>121</v>
      </c>
      <c r="E1613">
        <v>10</v>
      </c>
      <c r="F1613">
        <v>1010</v>
      </c>
      <c r="G1613" t="s">
        <v>114</v>
      </c>
      <c r="J1613" t="s">
        <v>123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297"/>
        <v>06:16:49.172</v>
      </c>
      <c r="T1613" t="str">
        <f t="shared" si="298"/>
        <v>06:16:48.672</v>
      </c>
      <c r="U1613" t="str">
        <f t="shared" si="291"/>
        <v>A7E2E0</v>
      </c>
      <c r="V1613">
        <v>0</v>
      </c>
      <c r="W1613">
        <v>0</v>
      </c>
      <c r="X1613">
        <v>1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1073</v>
      </c>
      <c r="AJ1613">
        <v>39.005499</v>
      </c>
      <c r="AK1613" t="s">
        <v>1074</v>
      </c>
      <c r="AL1613">
        <v>-87.565755999999993</v>
      </c>
      <c r="AM1613">
        <v>100</v>
      </c>
      <c r="AN1613">
        <v>2800</v>
      </c>
      <c r="AO1613" t="s">
        <v>118</v>
      </c>
      <c r="AP1613">
        <v>-93</v>
      </c>
      <c r="AQ1613">
        <v>-125</v>
      </c>
      <c r="AR1613">
        <v>0</v>
      </c>
      <c r="AZ1613">
        <v>4552</v>
      </c>
      <c r="BA1613">
        <v>1</v>
      </c>
      <c r="BB1613" t="str">
        <f t="shared" si="292"/>
        <v xml:space="preserve">N607SR  </v>
      </c>
      <c r="BC1613">
        <v>1</v>
      </c>
      <c r="BE1613">
        <v>0</v>
      </c>
      <c r="BF1613">
        <v>0</v>
      </c>
      <c r="BG1613">
        <v>0</v>
      </c>
      <c r="BH1613">
        <v>2600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 t="shared" si="299"/>
        <v>06:16:49.180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465</v>
      </c>
      <c r="CR1613">
        <v>0</v>
      </c>
      <c r="CW1613">
        <v>4721731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 t="shared" si="296"/>
        <v>08/29/2020 06:16:45.954</v>
      </c>
      <c r="C1614" t="str">
        <f t="shared" si="290"/>
        <v>FFDFD3C0</v>
      </c>
      <c r="D1614" t="s">
        <v>128</v>
      </c>
      <c r="E1614">
        <v>5</v>
      </c>
      <c r="H1614">
        <v>241</v>
      </c>
      <c r="I1614" t="s">
        <v>129</v>
      </c>
      <c r="J1614" t="s">
        <v>130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297"/>
        <v>06:16:49.172</v>
      </c>
      <c r="T1614" t="str">
        <f t="shared" si="298"/>
        <v>06:16:48.672</v>
      </c>
      <c r="U1614" t="str">
        <f t="shared" si="291"/>
        <v>A7E2E0</v>
      </c>
      <c r="V1614">
        <v>0</v>
      </c>
      <c r="W1614">
        <v>0</v>
      </c>
      <c r="X1614">
        <v>1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1073</v>
      </c>
      <c r="AJ1614">
        <v>39.005499</v>
      </c>
      <c r="AK1614" t="s">
        <v>1074</v>
      </c>
      <c r="AL1614">
        <v>-87.565755999999993</v>
      </c>
      <c r="AM1614">
        <v>100</v>
      </c>
      <c r="AN1614">
        <v>2800</v>
      </c>
      <c r="AO1614" t="s">
        <v>118</v>
      </c>
      <c r="AP1614">
        <v>-93</v>
      </c>
      <c r="AQ1614">
        <v>-125</v>
      </c>
      <c r="AR1614">
        <v>0</v>
      </c>
      <c r="AZ1614">
        <v>4552</v>
      </c>
      <c r="BA1614">
        <v>1</v>
      </c>
      <c r="BB1614" t="str">
        <f t="shared" si="292"/>
        <v xml:space="preserve">N607SR  </v>
      </c>
      <c r="BC1614">
        <v>1</v>
      </c>
      <c r="BE1614">
        <v>0</v>
      </c>
      <c r="BF1614">
        <v>0</v>
      </c>
      <c r="BG1614">
        <v>0</v>
      </c>
      <c r="BH1614">
        <v>2600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 t="shared" si="299"/>
        <v>06:16:49.180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6</v>
      </c>
      <c r="CP1614" t="s">
        <v>119</v>
      </c>
      <c r="CQ1614">
        <v>465</v>
      </c>
      <c r="CR1614">
        <v>0</v>
      </c>
      <c r="CW1614">
        <v>4721731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ref="A1615:A1620" si="300">"08/29/2020 06:16:46.910"</f>
        <v>08/29/2020 06:16:46.910</v>
      </c>
      <c r="C1615" t="str">
        <f t="shared" si="290"/>
        <v>FFDFD3C0</v>
      </c>
      <c r="D1615" t="s">
        <v>939</v>
      </c>
      <c r="E1615">
        <v>10</v>
      </c>
      <c r="H1615">
        <v>79</v>
      </c>
      <c r="I1615" t="s">
        <v>940</v>
      </c>
      <c r="J1615" t="s">
        <v>130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ref="S1615:S1620" si="301">"06:16:50.133"</f>
        <v>06:16:50.133</v>
      </c>
      <c r="T1615" t="str">
        <f t="shared" ref="T1615:T1620" si="302">"06:16:49.733"</f>
        <v>06:16:49.733</v>
      </c>
      <c r="U1615" t="str">
        <f t="shared" si="291"/>
        <v>A7E2E0</v>
      </c>
      <c r="V1615">
        <v>0</v>
      </c>
      <c r="W1615">
        <v>0</v>
      </c>
      <c r="X1615">
        <v>1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1075</v>
      </c>
      <c r="AJ1615">
        <v>39.004941000000002</v>
      </c>
      <c r="AK1615" t="s">
        <v>1076</v>
      </c>
      <c r="AL1615">
        <v>-87.566292000000004</v>
      </c>
      <c r="AM1615">
        <v>100</v>
      </c>
      <c r="AN1615">
        <v>2800</v>
      </c>
      <c r="AO1615" t="s">
        <v>118</v>
      </c>
      <c r="AP1615">
        <v>-93</v>
      </c>
      <c r="AQ1615">
        <v>-125</v>
      </c>
      <c r="AR1615">
        <v>0</v>
      </c>
      <c r="AZ1615">
        <v>4552</v>
      </c>
      <c r="BA1615">
        <v>1</v>
      </c>
      <c r="BB1615" t="str">
        <f t="shared" si="292"/>
        <v xml:space="preserve">N607SR  </v>
      </c>
      <c r="BC1615">
        <v>1</v>
      </c>
      <c r="BE1615">
        <v>0</v>
      </c>
      <c r="BF1615">
        <v>0</v>
      </c>
      <c r="BG1615">
        <v>0</v>
      </c>
      <c r="BH1615">
        <v>2600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 t="shared" ref="BW1615:BW1620" si="303">"06:16:50.135"</f>
        <v>06:16:50.135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6</v>
      </c>
      <c r="CP1615" t="s">
        <v>119</v>
      </c>
      <c r="CQ1615">
        <v>465</v>
      </c>
      <c r="CR1615">
        <v>0</v>
      </c>
      <c r="CW1615">
        <v>4721762</v>
      </c>
      <c r="CY1615">
        <v>1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 t="shared" si="300"/>
        <v>08/29/2020 06:16:46.910</v>
      </c>
      <c r="C1616" t="str">
        <f t="shared" si="290"/>
        <v>FFDFD3C0</v>
      </c>
      <c r="D1616" t="s">
        <v>121</v>
      </c>
      <c r="E1616">
        <v>11</v>
      </c>
      <c r="F1616">
        <v>1011</v>
      </c>
      <c r="G1616" t="s">
        <v>125</v>
      </c>
      <c r="J1616" t="s">
        <v>123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301"/>
        <v>06:16:50.133</v>
      </c>
      <c r="T1616" t="str">
        <f t="shared" si="302"/>
        <v>06:16:49.733</v>
      </c>
      <c r="U1616" t="str">
        <f t="shared" si="291"/>
        <v>A7E2E0</v>
      </c>
      <c r="V1616">
        <v>0</v>
      </c>
      <c r="W1616">
        <v>0</v>
      </c>
      <c r="X1616">
        <v>1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1075</v>
      </c>
      <c r="AJ1616">
        <v>39.004941000000002</v>
      </c>
      <c r="AK1616" t="s">
        <v>1076</v>
      </c>
      <c r="AL1616">
        <v>-87.566292000000004</v>
      </c>
      <c r="AM1616">
        <v>100</v>
      </c>
      <c r="AN1616">
        <v>2800</v>
      </c>
      <c r="AO1616" t="s">
        <v>118</v>
      </c>
      <c r="AP1616">
        <v>-93</v>
      </c>
      <c r="AQ1616">
        <v>-125</v>
      </c>
      <c r="AR1616">
        <v>0</v>
      </c>
      <c r="AZ1616">
        <v>4552</v>
      </c>
      <c r="BA1616">
        <v>1</v>
      </c>
      <c r="BB1616" t="str">
        <f t="shared" si="292"/>
        <v xml:space="preserve">N607SR  </v>
      </c>
      <c r="BC1616">
        <v>1</v>
      </c>
      <c r="BE1616">
        <v>0</v>
      </c>
      <c r="BF1616">
        <v>0</v>
      </c>
      <c r="BG1616">
        <v>0</v>
      </c>
      <c r="BH1616">
        <v>2600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 t="shared" si="303"/>
        <v>06:16:50.135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457</v>
      </c>
      <c r="CR1616">
        <v>0</v>
      </c>
      <c r="CW1616">
        <v>15517558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 t="shared" si="300"/>
        <v>08/29/2020 06:16:46.910</v>
      </c>
      <c r="C1617" t="str">
        <f t="shared" si="290"/>
        <v>FFDFD3C0</v>
      </c>
      <c r="D1617" t="s">
        <v>121</v>
      </c>
      <c r="E1617">
        <v>13</v>
      </c>
      <c r="F1617">
        <v>1013</v>
      </c>
      <c r="G1617" t="s">
        <v>122</v>
      </c>
      <c r="J1617" t="s">
        <v>123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301"/>
        <v>06:16:50.133</v>
      </c>
      <c r="T1617" t="str">
        <f t="shared" si="302"/>
        <v>06:16:49.733</v>
      </c>
      <c r="U1617" t="str">
        <f t="shared" si="291"/>
        <v>A7E2E0</v>
      </c>
      <c r="V1617">
        <v>0</v>
      </c>
      <c r="W1617">
        <v>0</v>
      </c>
      <c r="X1617">
        <v>1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1075</v>
      </c>
      <c r="AJ1617">
        <v>39.004941000000002</v>
      </c>
      <c r="AK1617" t="s">
        <v>1076</v>
      </c>
      <c r="AL1617">
        <v>-87.566292000000004</v>
      </c>
      <c r="AM1617">
        <v>100</v>
      </c>
      <c r="AN1617">
        <v>2800</v>
      </c>
      <c r="AO1617" t="s">
        <v>118</v>
      </c>
      <c r="AP1617">
        <v>-93</v>
      </c>
      <c r="AQ1617">
        <v>-125</v>
      </c>
      <c r="AR1617">
        <v>0</v>
      </c>
      <c r="AZ1617">
        <v>4552</v>
      </c>
      <c r="BA1617">
        <v>1</v>
      </c>
      <c r="BB1617" t="str">
        <f t="shared" si="292"/>
        <v xml:space="preserve">N607SR  </v>
      </c>
      <c r="BC1617">
        <v>1</v>
      </c>
      <c r="BE1617">
        <v>0</v>
      </c>
      <c r="BF1617">
        <v>0</v>
      </c>
      <c r="BG1617">
        <v>0</v>
      </c>
      <c r="BH1617">
        <v>2600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 t="shared" si="303"/>
        <v>06:16:50.135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465</v>
      </c>
      <c r="CR1617">
        <v>0</v>
      </c>
      <c r="CW1617">
        <v>4721762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 t="shared" si="300"/>
        <v>08/29/2020 06:16:46.910</v>
      </c>
      <c r="C1618" t="str">
        <f t="shared" si="290"/>
        <v>FFDFD3C0</v>
      </c>
      <c r="D1618" t="s">
        <v>121</v>
      </c>
      <c r="E1618">
        <v>10</v>
      </c>
      <c r="F1618">
        <v>1010</v>
      </c>
      <c r="G1618" t="s">
        <v>114</v>
      </c>
      <c r="J1618" t="s">
        <v>123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301"/>
        <v>06:16:50.133</v>
      </c>
      <c r="T1618" t="str">
        <f t="shared" si="302"/>
        <v>06:16:49.733</v>
      </c>
      <c r="U1618" t="str">
        <f t="shared" si="291"/>
        <v>A7E2E0</v>
      </c>
      <c r="V1618">
        <v>0</v>
      </c>
      <c r="W1618">
        <v>0</v>
      </c>
      <c r="X1618">
        <v>1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1075</v>
      </c>
      <c r="AJ1618">
        <v>39.004941000000002</v>
      </c>
      <c r="AK1618" t="s">
        <v>1076</v>
      </c>
      <c r="AL1618">
        <v>-87.566292000000004</v>
      </c>
      <c r="AM1618">
        <v>100</v>
      </c>
      <c r="AN1618">
        <v>2800</v>
      </c>
      <c r="AO1618" t="s">
        <v>118</v>
      </c>
      <c r="AP1618">
        <v>-93</v>
      </c>
      <c r="AQ1618">
        <v>-125</v>
      </c>
      <c r="AR1618">
        <v>0</v>
      </c>
      <c r="AZ1618">
        <v>4552</v>
      </c>
      <c r="BA1618">
        <v>1</v>
      </c>
      <c r="BB1618" t="str">
        <f t="shared" si="292"/>
        <v xml:space="preserve">N607SR  </v>
      </c>
      <c r="BC1618">
        <v>1</v>
      </c>
      <c r="BE1618">
        <v>0</v>
      </c>
      <c r="BF1618">
        <v>0</v>
      </c>
      <c r="BG1618">
        <v>0</v>
      </c>
      <c r="BH1618">
        <v>2600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 t="shared" si="303"/>
        <v>06:16:50.135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465</v>
      </c>
      <c r="CR1618">
        <v>0</v>
      </c>
      <c r="CW1618">
        <v>4721762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 t="shared" si="300"/>
        <v>08/29/2020 06:16:46.910</v>
      </c>
      <c r="C1619" t="str">
        <f t="shared" si="290"/>
        <v>FFDFD3C0</v>
      </c>
      <c r="D1619" t="s">
        <v>113</v>
      </c>
      <c r="E1619">
        <v>5</v>
      </c>
      <c r="H1619">
        <v>163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301"/>
        <v>06:16:50.133</v>
      </c>
      <c r="T1619" t="str">
        <f t="shared" si="302"/>
        <v>06:16:49.733</v>
      </c>
      <c r="U1619" t="str">
        <f t="shared" si="291"/>
        <v>A7E2E0</v>
      </c>
      <c r="V1619">
        <v>0</v>
      </c>
      <c r="W1619">
        <v>0</v>
      </c>
      <c r="X1619">
        <v>1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1075</v>
      </c>
      <c r="AJ1619">
        <v>39.004941000000002</v>
      </c>
      <c r="AK1619" t="s">
        <v>1076</v>
      </c>
      <c r="AL1619">
        <v>-87.566292000000004</v>
      </c>
      <c r="AM1619">
        <v>100</v>
      </c>
      <c r="AN1619">
        <v>2800</v>
      </c>
      <c r="AO1619" t="s">
        <v>118</v>
      </c>
      <c r="AP1619">
        <v>-93</v>
      </c>
      <c r="AQ1619">
        <v>-125</v>
      </c>
      <c r="AR1619">
        <v>0</v>
      </c>
      <c r="AZ1619">
        <v>4552</v>
      </c>
      <c r="BA1619">
        <v>1</v>
      </c>
      <c r="BB1619" t="str">
        <f t="shared" si="292"/>
        <v xml:space="preserve">N607SR  </v>
      </c>
      <c r="BC1619">
        <v>1</v>
      </c>
      <c r="BE1619">
        <v>0</v>
      </c>
      <c r="BF1619">
        <v>0</v>
      </c>
      <c r="BG1619">
        <v>0</v>
      </c>
      <c r="BH1619">
        <v>2600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 t="shared" si="303"/>
        <v>06:16:50.135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465</v>
      </c>
      <c r="CR1619">
        <v>0</v>
      </c>
      <c r="CW1619">
        <v>4721762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 t="shared" si="300"/>
        <v>08/29/2020 06:16:46.910</v>
      </c>
      <c r="C1620" t="str">
        <f t="shared" si="290"/>
        <v>FFDFD3C0</v>
      </c>
      <c r="D1620" t="s">
        <v>128</v>
      </c>
      <c r="E1620">
        <v>5</v>
      </c>
      <c r="H1620">
        <v>241</v>
      </c>
      <c r="I1620" t="s">
        <v>129</v>
      </c>
      <c r="J1620" t="s">
        <v>130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301"/>
        <v>06:16:50.133</v>
      </c>
      <c r="T1620" t="str">
        <f t="shared" si="302"/>
        <v>06:16:49.733</v>
      </c>
      <c r="U1620" t="str">
        <f t="shared" si="291"/>
        <v>A7E2E0</v>
      </c>
      <c r="V1620">
        <v>0</v>
      </c>
      <c r="W1620">
        <v>0</v>
      </c>
      <c r="X1620">
        <v>1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1075</v>
      </c>
      <c r="AJ1620">
        <v>39.004941000000002</v>
      </c>
      <c r="AK1620" t="s">
        <v>1076</v>
      </c>
      <c r="AL1620">
        <v>-87.566292000000004</v>
      </c>
      <c r="AM1620">
        <v>100</v>
      </c>
      <c r="AN1620">
        <v>2800</v>
      </c>
      <c r="AO1620" t="s">
        <v>118</v>
      </c>
      <c r="AP1620">
        <v>-93</v>
      </c>
      <c r="AQ1620">
        <v>-125</v>
      </c>
      <c r="AR1620">
        <v>0</v>
      </c>
      <c r="AZ1620">
        <v>4552</v>
      </c>
      <c r="BA1620">
        <v>1</v>
      </c>
      <c r="BB1620" t="str">
        <f t="shared" si="292"/>
        <v xml:space="preserve">N607SR  </v>
      </c>
      <c r="BC1620">
        <v>1</v>
      </c>
      <c r="BE1620">
        <v>0</v>
      </c>
      <c r="BF1620">
        <v>0</v>
      </c>
      <c r="BG1620">
        <v>0</v>
      </c>
      <c r="BH1620">
        <v>2600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 t="shared" si="303"/>
        <v>06:16:50.135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465</v>
      </c>
      <c r="CR1620">
        <v>0</v>
      </c>
      <c r="CW1620">
        <v>4721762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 t="shared" ref="A1621:A1626" si="304">"08/29/2020 06:16:48.010"</f>
        <v>08/29/2020 06:16:48.010</v>
      </c>
      <c r="C1621" t="str">
        <f t="shared" si="290"/>
        <v>FFDFD3C0</v>
      </c>
      <c r="D1621" t="s">
        <v>121</v>
      </c>
      <c r="E1621">
        <v>10</v>
      </c>
      <c r="F1621">
        <v>1010</v>
      </c>
      <c r="G1621" t="s">
        <v>114</v>
      </c>
      <c r="J1621" t="s">
        <v>123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ref="S1621:S1626" si="305">"06:16:51.250"</f>
        <v>06:16:51.250</v>
      </c>
      <c r="T1621" t="str">
        <f t="shared" ref="T1621:T1626" si="306">"06:16:50.750"</f>
        <v>06:16:50.750</v>
      </c>
      <c r="U1621" t="str">
        <f t="shared" si="291"/>
        <v>A7E2E0</v>
      </c>
      <c r="V1621">
        <v>0</v>
      </c>
      <c r="W1621">
        <v>0</v>
      </c>
      <c r="X1621">
        <v>1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1077</v>
      </c>
      <c r="AJ1621">
        <v>39.004297000000001</v>
      </c>
      <c r="AK1621" t="s">
        <v>1078</v>
      </c>
      <c r="AL1621">
        <v>-87.566892999999993</v>
      </c>
      <c r="AM1621">
        <v>100</v>
      </c>
      <c r="AN1621">
        <v>2800</v>
      </c>
      <c r="AO1621" t="s">
        <v>118</v>
      </c>
      <c r="AP1621">
        <v>-93</v>
      </c>
      <c r="AQ1621">
        <v>-125</v>
      </c>
      <c r="AR1621">
        <v>0</v>
      </c>
      <c r="AZ1621">
        <v>4552</v>
      </c>
      <c r="BA1621">
        <v>1</v>
      </c>
      <c r="BB1621" t="str">
        <f t="shared" si="292"/>
        <v xml:space="preserve">N607SR  </v>
      </c>
      <c r="BC1621">
        <v>1</v>
      </c>
      <c r="BE1621">
        <v>0</v>
      </c>
      <c r="BF1621">
        <v>0</v>
      </c>
      <c r="BG1621">
        <v>0</v>
      </c>
      <c r="BH1621">
        <v>2600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 t="shared" ref="BW1621:BW1626" si="307">"06:16:51.257"</f>
        <v>06:16:51.257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465</v>
      </c>
      <c r="CR1621">
        <v>0</v>
      </c>
      <c r="CW1621">
        <v>4721798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 t="shared" si="304"/>
        <v>08/29/2020 06:16:48.010</v>
      </c>
      <c r="C1622" t="str">
        <f t="shared" si="290"/>
        <v>FFDFD3C0</v>
      </c>
      <c r="D1622" t="s">
        <v>939</v>
      </c>
      <c r="E1622">
        <v>10</v>
      </c>
      <c r="H1622">
        <v>79</v>
      </c>
      <c r="I1622" t="s">
        <v>940</v>
      </c>
      <c r="J1622" t="s">
        <v>130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305"/>
        <v>06:16:51.250</v>
      </c>
      <c r="T1622" t="str">
        <f t="shared" si="306"/>
        <v>06:16:50.750</v>
      </c>
      <c r="U1622" t="str">
        <f t="shared" si="291"/>
        <v>A7E2E0</v>
      </c>
      <c r="V1622">
        <v>0</v>
      </c>
      <c r="W1622">
        <v>0</v>
      </c>
      <c r="X1622">
        <v>1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1077</v>
      </c>
      <c r="AJ1622">
        <v>39.004297000000001</v>
      </c>
      <c r="AK1622" t="s">
        <v>1078</v>
      </c>
      <c r="AL1622">
        <v>-87.566892999999993</v>
      </c>
      <c r="AM1622">
        <v>100</v>
      </c>
      <c r="AN1622">
        <v>2800</v>
      </c>
      <c r="AO1622" t="s">
        <v>118</v>
      </c>
      <c r="AP1622">
        <v>-93</v>
      </c>
      <c r="AQ1622">
        <v>-125</v>
      </c>
      <c r="AR1622">
        <v>0</v>
      </c>
      <c r="AZ1622">
        <v>4552</v>
      </c>
      <c r="BA1622">
        <v>1</v>
      </c>
      <c r="BB1622" t="str">
        <f t="shared" si="292"/>
        <v xml:space="preserve">N607SR  </v>
      </c>
      <c r="BC1622">
        <v>1</v>
      </c>
      <c r="BE1622">
        <v>0</v>
      </c>
      <c r="BF1622">
        <v>0</v>
      </c>
      <c r="BG1622">
        <v>0</v>
      </c>
      <c r="BH1622">
        <v>2600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 t="shared" si="307"/>
        <v>06:16:51.257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465</v>
      </c>
      <c r="CR1622">
        <v>0</v>
      </c>
      <c r="CW1622">
        <v>4721798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 t="shared" si="304"/>
        <v>08/29/2020 06:16:48.010</v>
      </c>
      <c r="C1623" t="str">
        <f t="shared" si="290"/>
        <v>FFDFD3C0</v>
      </c>
      <c r="D1623" t="s">
        <v>128</v>
      </c>
      <c r="E1623">
        <v>5</v>
      </c>
      <c r="H1623">
        <v>241</v>
      </c>
      <c r="I1623" t="s">
        <v>129</v>
      </c>
      <c r="J1623" t="s">
        <v>130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305"/>
        <v>06:16:51.250</v>
      </c>
      <c r="T1623" t="str">
        <f t="shared" si="306"/>
        <v>06:16:50.750</v>
      </c>
      <c r="U1623" t="str">
        <f t="shared" si="291"/>
        <v>A7E2E0</v>
      </c>
      <c r="V1623">
        <v>0</v>
      </c>
      <c r="W1623">
        <v>0</v>
      </c>
      <c r="X1623">
        <v>1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1077</v>
      </c>
      <c r="AJ1623">
        <v>39.004297000000001</v>
      </c>
      <c r="AK1623" t="s">
        <v>1078</v>
      </c>
      <c r="AL1623">
        <v>-87.566892999999993</v>
      </c>
      <c r="AM1623">
        <v>100</v>
      </c>
      <c r="AN1623">
        <v>2800</v>
      </c>
      <c r="AO1623" t="s">
        <v>118</v>
      </c>
      <c r="AP1623">
        <v>-93</v>
      </c>
      <c r="AQ1623">
        <v>-125</v>
      </c>
      <c r="AR1623">
        <v>0</v>
      </c>
      <c r="AZ1623">
        <v>4552</v>
      </c>
      <c r="BA1623">
        <v>1</v>
      </c>
      <c r="BB1623" t="str">
        <f t="shared" si="292"/>
        <v xml:space="preserve">N607SR  </v>
      </c>
      <c r="BC1623">
        <v>1</v>
      </c>
      <c r="BE1623">
        <v>0</v>
      </c>
      <c r="BF1623">
        <v>0</v>
      </c>
      <c r="BG1623">
        <v>0</v>
      </c>
      <c r="BH1623">
        <v>2600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 t="shared" si="307"/>
        <v>06:16:51.257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465</v>
      </c>
      <c r="CR1623">
        <v>0</v>
      </c>
      <c r="CW1623">
        <v>4721798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 t="shared" si="304"/>
        <v>08/29/2020 06:16:48.010</v>
      </c>
      <c r="C1624" t="str">
        <f t="shared" si="290"/>
        <v>FFDFD3C0</v>
      </c>
      <c r="D1624" t="s">
        <v>113</v>
      </c>
      <c r="E1624">
        <v>5</v>
      </c>
      <c r="H1624">
        <v>163</v>
      </c>
      <c r="I1624" t="s">
        <v>114</v>
      </c>
      <c r="J1624" t="s">
        <v>115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305"/>
        <v>06:16:51.250</v>
      </c>
      <c r="T1624" t="str">
        <f t="shared" si="306"/>
        <v>06:16:50.750</v>
      </c>
      <c r="U1624" t="str">
        <f t="shared" si="291"/>
        <v>A7E2E0</v>
      </c>
      <c r="V1624">
        <v>0</v>
      </c>
      <c r="W1624">
        <v>0</v>
      </c>
      <c r="X1624">
        <v>1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1077</v>
      </c>
      <c r="AJ1624">
        <v>39.004297000000001</v>
      </c>
      <c r="AK1624" t="s">
        <v>1078</v>
      </c>
      <c r="AL1624">
        <v>-87.566892999999993</v>
      </c>
      <c r="AM1624">
        <v>100</v>
      </c>
      <c r="AN1624">
        <v>2800</v>
      </c>
      <c r="AO1624" t="s">
        <v>118</v>
      </c>
      <c r="AP1624">
        <v>-93</v>
      </c>
      <c r="AQ1624">
        <v>-125</v>
      </c>
      <c r="AR1624">
        <v>0</v>
      </c>
      <c r="AZ1624">
        <v>4552</v>
      </c>
      <c r="BA1624">
        <v>1</v>
      </c>
      <c r="BB1624" t="str">
        <f t="shared" si="292"/>
        <v xml:space="preserve">N607SR  </v>
      </c>
      <c r="BC1624">
        <v>1</v>
      </c>
      <c r="BE1624">
        <v>0</v>
      </c>
      <c r="BF1624">
        <v>0</v>
      </c>
      <c r="BG1624">
        <v>0</v>
      </c>
      <c r="BH1624">
        <v>2600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 t="shared" si="307"/>
        <v>06:16:51.257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465</v>
      </c>
      <c r="CR1624">
        <v>0</v>
      </c>
      <c r="CW1624">
        <v>4721798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si="304"/>
        <v>08/29/2020 06:16:48.010</v>
      </c>
      <c r="C1625" t="str">
        <f t="shared" si="290"/>
        <v>FFDFD3C0</v>
      </c>
      <c r="D1625" t="s">
        <v>121</v>
      </c>
      <c r="E1625">
        <v>11</v>
      </c>
      <c r="F1625">
        <v>1011</v>
      </c>
      <c r="G1625" t="s">
        <v>125</v>
      </c>
      <c r="J1625" t="s">
        <v>123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305"/>
        <v>06:16:51.250</v>
      </c>
      <c r="T1625" t="str">
        <f t="shared" si="306"/>
        <v>06:16:50.750</v>
      </c>
      <c r="U1625" t="str">
        <f t="shared" si="291"/>
        <v>A7E2E0</v>
      </c>
      <c r="V1625">
        <v>0</v>
      </c>
      <c r="W1625">
        <v>0</v>
      </c>
      <c r="X1625">
        <v>1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1077</v>
      </c>
      <c r="AJ1625">
        <v>39.004297000000001</v>
      </c>
      <c r="AK1625" t="s">
        <v>1078</v>
      </c>
      <c r="AL1625">
        <v>-87.566892999999993</v>
      </c>
      <c r="AM1625">
        <v>100</v>
      </c>
      <c r="AN1625">
        <v>2800</v>
      </c>
      <c r="AO1625" t="s">
        <v>118</v>
      </c>
      <c r="AP1625">
        <v>-93</v>
      </c>
      <c r="AQ1625">
        <v>-125</v>
      </c>
      <c r="AR1625">
        <v>0</v>
      </c>
      <c r="AZ1625">
        <v>4552</v>
      </c>
      <c r="BA1625">
        <v>1</v>
      </c>
      <c r="BB1625" t="str">
        <f t="shared" si="292"/>
        <v xml:space="preserve">N607SR  </v>
      </c>
      <c r="BC1625">
        <v>1</v>
      </c>
      <c r="BE1625">
        <v>0</v>
      </c>
      <c r="BF1625">
        <v>0</v>
      </c>
      <c r="BG1625">
        <v>0</v>
      </c>
      <c r="BH1625">
        <v>2600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 t="shared" si="307"/>
        <v>06:16:51.257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6</v>
      </c>
      <c r="CP1625" t="s">
        <v>119</v>
      </c>
      <c r="CQ1625">
        <v>457</v>
      </c>
      <c r="CR1625">
        <v>0</v>
      </c>
      <c r="CW1625">
        <v>15517584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304"/>
        <v>08/29/2020 06:16:48.010</v>
      </c>
      <c r="C1626" t="str">
        <f t="shared" si="290"/>
        <v>FFDFD3C0</v>
      </c>
      <c r="D1626" t="s">
        <v>121</v>
      </c>
      <c r="E1626">
        <v>13</v>
      </c>
      <c r="F1626">
        <v>1013</v>
      </c>
      <c r="G1626" t="s">
        <v>122</v>
      </c>
      <c r="J1626" t="s">
        <v>123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305"/>
        <v>06:16:51.250</v>
      </c>
      <c r="T1626" t="str">
        <f t="shared" si="306"/>
        <v>06:16:50.750</v>
      </c>
      <c r="U1626" t="str">
        <f t="shared" si="291"/>
        <v>A7E2E0</v>
      </c>
      <c r="V1626">
        <v>0</v>
      </c>
      <c r="W1626">
        <v>0</v>
      </c>
      <c r="X1626">
        <v>1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1077</v>
      </c>
      <c r="AJ1626">
        <v>39.004297000000001</v>
      </c>
      <c r="AK1626" t="s">
        <v>1078</v>
      </c>
      <c r="AL1626">
        <v>-87.566892999999993</v>
      </c>
      <c r="AM1626">
        <v>100</v>
      </c>
      <c r="AN1626">
        <v>2800</v>
      </c>
      <c r="AO1626" t="s">
        <v>118</v>
      </c>
      <c r="AP1626">
        <v>-93</v>
      </c>
      <c r="AQ1626">
        <v>-125</v>
      </c>
      <c r="AR1626">
        <v>0</v>
      </c>
      <c r="AZ1626">
        <v>4552</v>
      </c>
      <c r="BA1626">
        <v>1</v>
      </c>
      <c r="BB1626" t="str">
        <f t="shared" si="292"/>
        <v xml:space="preserve">N607SR  </v>
      </c>
      <c r="BC1626">
        <v>1</v>
      </c>
      <c r="BE1626">
        <v>0</v>
      </c>
      <c r="BF1626">
        <v>0</v>
      </c>
      <c r="BG1626">
        <v>0</v>
      </c>
      <c r="BH1626">
        <v>2600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 t="shared" si="307"/>
        <v>06:16:51.257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6</v>
      </c>
      <c r="CP1626" t="s">
        <v>119</v>
      </c>
      <c r="CQ1626">
        <v>465</v>
      </c>
      <c r="CR1626">
        <v>0</v>
      </c>
      <c r="CW1626">
        <v>4721798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ref="A1627:A1632" si="308">"08/29/2020 06:16:48.970"</f>
        <v>08/29/2020 06:16:48.970</v>
      </c>
      <c r="C1627" t="str">
        <f t="shared" si="290"/>
        <v>FFDFD3C0</v>
      </c>
      <c r="D1627" t="s">
        <v>939</v>
      </c>
      <c r="E1627">
        <v>10</v>
      </c>
      <c r="H1627">
        <v>79</v>
      </c>
      <c r="I1627" t="s">
        <v>940</v>
      </c>
      <c r="J1627" t="s">
        <v>130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ref="S1627:S1632" si="309">"06:16:52.219"</f>
        <v>06:16:52.219</v>
      </c>
      <c r="T1627" t="str">
        <f t="shared" ref="T1627:T1632" si="310">"06:16:51.719"</f>
        <v>06:16:51.719</v>
      </c>
      <c r="U1627" t="str">
        <f t="shared" si="291"/>
        <v>A7E2E0</v>
      </c>
      <c r="V1627">
        <v>0</v>
      </c>
      <c r="W1627">
        <v>0</v>
      </c>
      <c r="X1627">
        <v>1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1079</v>
      </c>
      <c r="AJ1627">
        <v>39.003695999999998</v>
      </c>
      <c r="AK1627" t="s">
        <v>1080</v>
      </c>
      <c r="AL1627">
        <v>-87.567451000000005</v>
      </c>
      <c r="AM1627">
        <v>100</v>
      </c>
      <c r="AN1627">
        <v>2800</v>
      </c>
      <c r="AO1627" t="s">
        <v>118</v>
      </c>
      <c r="AP1627">
        <v>-93</v>
      </c>
      <c r="AQ1627">
        <v>-125</v>
      </c>
      <c r="AR1627">
        <v>0</v>
      </c>
      <c r="AZ1627">
        <v>4552</v>
      </c>
      <c r="BA1627">
        <v>1</v>
      </c>
      <c r="BB1627" t="str">
        <f t="shared" si="292"/>
        <v xml:space="preserve">N607SR  </v>
      </c>
      <c r="BC1627">
        <v>1</v>
      </c>
      <c r="BE1627">
        <v>0</v>
      </c>
      <c r="BF1627">
        <v>0</v>
      </c>
      <c r="BG1627">
        <v>0</v>
      </c>
      <c r="BH1627">
        <v>2600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 t="shared" ref="BW1627:BW1632" si="311">"06:16:52.224"</f>
        <v>06:16:52.224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6</v>
      </c>
      <c r="CP1627" t="s">
        <v>119</v>
      </c>
      <c r="CQ1627">
        <v>465</v>
      </c>
      <c r="CR1627">
        <v>0</v>
      </c>
      <c r="CW1627">
        <v>4721830</v>
      </c>
      <c r="CY1627">
        <v>1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si="308"/>
        <v>08/29/2020 06:16:48.970</v>
      </c>
      <c r="C1628" t="str">
        <f t="shared" si="290"/>
        <v>FFDFD3C0</v>
      </c>
      <c r="D1628" t="s">
        <v>121</v>
      </c>
      <c r="E1628">
        <v>10</v>
      </c>
      <c r="F1628">
        <v>1010</v>
      </c>
      <c r="G1628" t="s">
        <v>114</v>
      </c>
      <c r="J1628" t="s">
        <v>123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309"/>
        <v>06:16:52.219</v>
      </c>
      <c r="T1628" t="str">
        <f t="shared" si="310"/>
        <v>06:16:51.719</v>
      </c>
      <c r="U1628" t="str">
        <f t="shared" si="291"/>
        <v>A7E2E0</v>
      </c>
      <c r="V1628">
        <v>0</v>
      </c>
      <c r="W1628">
        <v>0</v>
      </c>
      <c r="X1628">
        <v>1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1079</v>
      </c>
      <c r="AJ1628">
        <v>39.003695999999998</v>
      </c>
      <c r="AK1628" t="s">
        <v>1080</v>
      </c>
      <c r="AL1628">
        <v>-87.567451000000005</v>
      </c>
      <c r="AM1628">
        <v>100</v>
      </c>
      <c r="AN1628">
        <v>2800</v>
      </c>
      <c r="AO1628" t="s">
        <v>118</v>
      </c>
      <c r="AP1628">
        <v>-93</v>
      </c>
      <c r="AQ1628">
        <v>-125</v>
      </c>
      <c r="AR1628">
        <v>0</v>
      </c>
      <c r="AZ1628">
        <v>4552</v>
      </c>
      <c r="BA1628">
        <v>1</v>
      </c>
      <c r="BB1628" t="str">
        <f t="shared" si="292"/>
        <v xml:space="preserve">N607SR  </v>
      </c>
      <c r="BC1628">
        <v>1</v>
      </c>
      <c r="BE1628">
        <v>0</v>
      </c>
      <c r="BF1628">
        <v>0</v>
      </c>
      <c r="BG1628">
        <v>0</v>
      </c>
      <c r="BH1628">
        <v>2600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 t="shared" si="311"/>
        <v>06:16:52.224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6</v>
      </c>
      <c r="CP1628" t="s">
        <v>119</v>
      </c>
      <c r="CQ1628">
        <v>465</v>
      </c>
      <c r="CR1628">
        <v>0</v>
      </c>
      <c r="CW1628">
        <v>4721830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308"/>
        <v>08/29/2020 06:16:48.970</v>
      </c>
      <c r="C1629" t="str">
        <f t="shared" si="290"/>
        <v>FFDFD3C0</v>
      </c>
      <c r="D1629" t="s">
        <v>113</v>
      </c>
      <c r="E1629">
        <v>5</v>
      </c>
      <c r="H1629">
        <v>163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309"/>
        <v>06:16:52.219</v>
      </c>
      <c r="T1629" t="str">
        <f t="shared" si="310"/>
        <v>06:16:51.719</v>
      </c>
      <c r="U1629" t="str">
        <f t="shared" si="291"/>
        <v>A7E2E0</v>
      </c>
      <c r="V1629">
        <v>0</v>
      </c>
      <c r="W1629">
        <v>0</v>
      </c>
      <c r="X1629">
        <v>1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0</v>
      </c>
      <c r="AI1629" t="s">
        <v>1079</v>
      </c>
      <c r="AJ1629">
        <v>39.003695999999998</v>
      </c>
      <c r="AK1629" t="s">
        <v>1080</v>
      </c>
      <c r="AL1629">
        <v>-87.567451000000005</v>
      </c>
      <c r="AM1629">
        <v>100</v>
      </c>
      <c r="AN1629">
        <v>2800</v>
      </c>
      <c r="AO1629" t="s">
        <v>118</v>
      </c>
      <c r="AP1629">
        <v>-93</v>
      </c>
      <c r="AQ1629">
        <v>-125</v>
      </c>
      <c r="AR1629">
        <v>0</v>
      </c>
      <c r="AZ1629">
        <v>4552</v>
      </c>
      <c r="BA1629">
        <v>1</v>
      </c>
      <c r="BB1629" t="str">
        <f t="shared" si="292"/>
        <v xml:space="preserve">N607SR  </v>
      </c>
      <c r="BC1629">
        <v>1</v>
      </c>
      <c r="BE1629">
        <v>0</v>
      </c>
      <c r="BF1629">
        <v>0</v>
      </c>
      <c r="BG1629">
        <v>0</v>
      </c>
      <c r="BH1629">
        <v>2600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 t="shared" si="311"/>
        <v>06:16:52.224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465</v>
      </c>
      <c r="CR1629">
        <v>0</v>
      </c>
      <c r="CW1629">
        <v>4721830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308"/>
        <v>08/29/2020 06:16:48.970</v>
      </c>
      <c r="C1630" t="str">
        <f t="shared" si="290"/>
        <v>FFDFD3C0</v>
      </c>
      <c r="D1630" t="s">
        <v>128</v>
      </c>
      <c r="E1630">
        <v>5</v>
      </c>
      <c r="H1630">
        <v>241</v>
      </c>
      <c r="I1630" t="s">
        <v>129</v>
      </c>
      <c r="J1630" t="s">
        <v>130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309"/>
        <v>06:16:52.219</v>
      </c>
      <c r="T1630" t="str">
        <f t="shared" si="310"/>
        <v>06:16:51.719</v>
      </c>
      <c r="U1630" t="str">
        <f t="shared" si="291"/>
        <v>A7E2E0</v>
      </c>
      <c r="V1630">
        <v>0</v>
      </c>
      <c r="W1630">
        <v>0</v>
      </c>
      <c r="X1630">
        <v>1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0</v>
      </c>
      <c r="AI1630" t="s">
        <v>1079</v>
      </c>
      <c r="AJ1630">
        <v>39.003695999999998</v>
      </c>
      <c r="AK1630" t="s">
        <v>1080</v>
      </c>
      <c r="AL1630">
        <v>-87.567451000000005</v>
      </c>
      <c r="AM1630">
        <v>100</v>
      </c>
      <c r="AN1630">
        <v>2800</v>
      </c>
      <c r="AO1630" t="s">
        <v>118</v>
      </c>
      <c r="AP1630">
        <v>-93</v>
      </c>
      <c r="AQ1630">
        <v>-125</v>
      </c>
      <c r="AR1630">
        <v>0</v>
      </c>
      <c r="AZ1630">
        <v>4552</v>
      </c>
      <c r="BA1630">
        <v>1</v>
      </c>
      <c r="BB1630" t="str">
        <f t="shared" si="292"/>
        <v xml:space="preserve">N607SR  </v>
      </c>
      <c r="BC1630">
        <v>1</v>
      </c>
      <c r="BE1630">
        <v>0</v>
      </c>
      <c r="BF1630">
        <v>0</v>
      </c>
      <c r="BG1630">
        <v>0</v>
      </c>
      <c r="BH1630">
        <v>2600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 t="shared" si="311"/>
        <v>06:16:52.224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465</v>
      </c>
      <c r="CR1630">
        <v>0</v>
      </c>
      <c r="CW1630">
        <v>4721830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 t="shared" si="308"/>
        <v>08/29/2020 06:16:48.970</v>
      </c>
      <c r="C1631" t="str">
        <f t="shared" si="290"/>
        <v>FFDFD3C0</v>
      </c>
      <c r="D1631" t="s">
        <v>121</v>
      </c>
      <c r="E1631">
        <v>13</v>
      </c>
      <c r="F1631">
        <v>1013</v>
      </c>
      <c r="G1631" t="s">
        <v>122</v>
      </c>
      <c r="J1631" t="s">
        <v>123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309"/>
        <v>06:16:52.219</v>
      </c>
      <c r="T1631" t="str">
        <f t="shared" si="310"/>
        <v>06:16:51.719</v>
      </c>
      <c r="U1631" t="str">
        <f t="shared" si="291"/>
        <v>A7E2E0</v>
      </c>
      <c r="V1631">
        <v>0</v>
      </c>
      <c r="W1631">
        <v>0</v>
      </c>
      <c r="X1631">
        <v>1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0</v>
      </c>
      <c r="AI1631" t="s">
        <v>1079</v>
      </c>
      <c r="AJ1631">
        <v>39.003695999999998</v>
      </c>
      <c r="AK1631" t="s">
        <v>1080</v>
      </c>
      <c r="AL1631">
        <v>-87.567451000000005</v>
      </c>
      <c r="AM1631">
        <v>100</v>
      </c>
      <c r="AN1631">
        <v>2800</v>
      </c>
      <c r="AO1631" t="s">
        <v>118</v>
      </c>
      <c r="AP1631">
        <v>-93</v>
      </c>
      <c r="AQ1631">
        <v>-125</v>
      </c>
      <c r="AR1631">
        <v>0</v>
      </c>
      <c r="AZ1631">
        <v>4552</v>
      </c>
      <c r="BA1631">
        <v>1</v>
      </c>
      <c r="BB1631" t="str">
        <f t="shared" si="292"/>
        <v xml:space="preserve">N607SR  </v>
      </c>
      <c r="BC1631">
        <v>1</v>
      </c>
      <c r="BE1631">
        <v>0</v>
      </c>
      <c r="BF1631">
        <v>0</v>
      </c>
      <c r="BG1631">
        <v>0</v>
      </c>
      <c r="BH1631">
        <v>2600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 t="shared" si="311"/>
        <v>06:16:52.224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465</v>
      </c>
      <c r="CR1631">
        <v>0</v>
      </c>
      <c r="CW1631">
        <v>4721830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 t="shared" si="308"/>
        <v>08/29/2020 06:16:48.970</v>
      </c>
      <c r="C1632" t="str">
        <f t="shared" si="290"/>
        <v>FFDFD3C0</v>
      </c>
      <c r="D1632" t="s">
        <v>121</v>
      </c>
      <c r="E1632">
        <v>11</v>
      </c>
      <c r="F1632">
        <v>1011</v>
      </c>
      <c r="G1632" t="s">
        <v>125</v>
      </c>
      <c r="J1632" t="s">
        <v>123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309"/>
        <v>06:16:52.219</v>
      </c>
      <c r="T1632" t="str">
        <f t="shared" si="310"/>
        <v>06:16:51.719</v>
      </c>
      <c r="U1632" t="str">
        <f t="shared" si="291"/>
        <v>A7E2E0</v>
      </c>
      <c r="V1632">
        <v>0</v>
      </c>
      <c r="W1632">
        <v>0</v>
      </c>
      <c r="X1632">
        <v>1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0</v>
      </c>
      <c r="AI1632" t="s">
        <v>1079</v>
      </c>
      <c r="AJ1632">
        <v>39.003695999999998</v>
      </c>
      <c r="AK1632" t="s">
        <v>1080</v>
      </c>
      <c r="AL1632">
        <v>-87.567451000000005</v>
      </c>
      <c r="AM1632">
        <v>100</v>
      </c>
      <c r="AN1632">
        <v>2800</v>
      </c>
      <c r="AO1632" t="s">
        <v>118</v>
      </c>
      <c r="AP1632">
        <v>-93</v>
      </c>
      <c r="AQ1632">
        <v>-125</v>
      </c>
      <c r="AR1632">
        <v>0</v>
      </c>
      <c r="AZ1632">
        <v>4552</v>
      </c>
      <c r="BA1632">
        <v>1</v>
      </c>
      <c r="BB1632" t="str">
        <f t="shared" si="292"/>
        <v xml:space="preserve">N607SR  </v>
      </c>
      <c r="BC1632">
        <v>1</v>
      </c>
      <c r="BE1632">
        <v>0</v>
      </c>
      <c r="BF1632">
        <v>0</v>
      </c>
      <c r="BG1632">
        <v>0</v>
      </c>
      <c r="BH1632">
        <v>2600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 t="shared" si="311"/>
        <v>06:16:52.224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457</v>
      </c>
      <c r="CR1632">
        <v>0</v>
      </c>
      <c r="CW1632">
        <v>15517612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ref="A1633:A1638" si="312">"08/29/2020 06:16:50.045"</f>
        <v>08/29/2020 06:16:50.045</v>
      </c>
      <c r="C1633" t="str">
        <f t="shared" si="290"/>
        <v>FFDFD3C0</v>
      </c>
      <c r="D1633" t="s">
        <v>128</v>
      </c>
      <c r="E1633">
        <v>5</v>
      </c>
      <c r="H1633">
        <v>241</v>
      </c>
      <c r="I1633" t="s">
        <v>129</v>
      </c>
      <c r="J1633" t="s">
        <v>130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ref="S1633:S1638" si="313">"06:16:53.258"</f>
        <v>06:16:53.258</v>
      </c>
      <c r="T1633" t="str">
        <f t="shared" ref="T1633:T1638" si="314">"06:16:52.758"</f>
        <v>06:16:52.758</v>
      </c>
      <c r="U1633" t="str">
        <f t="shared" si="291"/>
        <v>A7E2E0</v>
      </c>
      <c r="V1633">
        <v>0</v>
      </c>
      <c r="W1633">
        <v>0</v>
      </c>
      <c r="X1633">
        <v>1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0</v>
      </c>
      <c r="AI1633" t="s">
        <v>1081</v>
      </c>
      <c r="AJ1633">
        <v>39.003138999999997</v>
      </c>
      <c r="AK1633" t="s">
        <v>1082</v>
      </c>
      <c r="AL1633">
        <v>-87.568051999999994</v>
      </c>
      <c r="AM1633">
        <v>100</v>
      </c>
      <c r="AN1633">
        <v>2800</v>
      </c>
      <c r="AO1633" t="s">
        <v>118</v>
      </c>
      <c r="AP1633">
        <v>-93</v>
      </c>
      <c r="AQ1633">
        <v>-125</v>
      </c>
      <c r="AR1633">
        <v>0</v>
      </c>
      <c r="AZ1633">
        <v>4552</v>
      </c>
      <c r="BA1633">
        <v>1</v>
      </c>
      <c r="BB1633" t="str">
        <f t="shared" si="292"/>
        <v xml:space="preserve">N607SR  </v>
      </c>
      <c r="BC1633">
        <v>1</v>
      </c>
      <c r="BE1633">
        <v>0</v>
      </c>
      <c r="BF1633">
        <v>0</v>
      </c>
      <c r="BG1633">
        <v>0</v>
      </c>
      <c r="BH1633">
        <v>2600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 t="shared" ref="BW1633:BW1638" si="315">"06:16:53.261"</f>
        <v>06:16:53.261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465</v>
      </c>
      <c r="CR1633">
        <v>0</v>
      </c>
      <c r="CW1633">
        <v>4721861</v>
      </c>
      <c r="CY1633">
        <v>1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si="312"/>
        <v>08/29/2020 06:16:50.045</v>
      </c>
      <c r="C1634" t="str">
        <f t="shared" si="290"/>
        <v>FFDFD3C0</v>
      </c>
      <c r="D1634" t="s">
        <v>113</v>
      </c>
      <c r="E1634">
        <v>5</v>
      </c>
      <c r="H1634">
        <v>163</v>
      </c>
      <c r="I1634" t="s">
        <v>114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313"/>
        <v>06:16:53.258</v>
      </c>
      <c r="T1634" t="str">
        <f t="shared" si="314"/>
        <v>06:16:52.758</v>
      </c>
      <c r="U1634" t="str">
        <f t="shared" si="291"/>
        <v>A7E2E0</v>
      </c>
      <c r="V1634">
        <v>0</v>
      </c>
      <c r="W1634">
        <v>0</v>
      </c>
      <c r="X1634">
        <v>1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0</v>
      </c>
      <c r="AI1634" t="s">
        <v>1081</v>
      </c>
      <c r="AJ1634">
        <v>39.003138999999997</v>
      </c>
      <c r="AK1634" t="s">
        <v>1082</v>
      </c>
      <c r="AL1634">
        <v>-87.568051999999994</v>
      </c>
      <c r="AM1634">
        <v>100</v>
      </c>
      <c r="AN1634">
        <v>2800</v>
      </c>
      <c r="AO1634" t="s">
        <v>118</v>
      </c>
      <c r="AP1634">
        <v>-93</v>
      </c>
      <c r="AQ1634">
        <v>-125</v>
      </c>
      <c r="AR1634">
        <v>0</v>
      </c>
      <c r="AZ1634">
        <v>4552</v>
      </c>
      <c r="BA1634">
        <v>1</v>
      </c>
      <c r="BB1634" t="str">
        <f t="shared" si="292"/>
        <v xml:space="preserve">N607SR  </v>
      </c>
      <c r="BC1634">
        <v>1</v>
      </c>
      <c r="BE1634">
        <v>0</v>
      </c>
      <c r="BF1634">
        <v>0</v>
      </c>
      <c r="BG1634">
        <v>0</v>
      </c>
      <c r="BH1634">
        <v>2600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 t="shared" si="315"/>
        <v>06:16:53.261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465</v>
      </c>
      <c r="CR1634">
        <v>0</v>
      </c>
      <c r="CW1634">
        <v>4721861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si="312"/>
        <v>08/29/2020 06:16:50.045</v>
      </c>
      <c r="C1635" t="str">
        <f t="shared" si="290"/>
        <v>FFDFD3C0</v>
      </c>
      <c r="D1635" t="s">
        <v>121</v>
      </c>
      <c r="E1635">
        <v>11</v>
      </c>
      <c r="F1635">
        <v>1011</v>
      </c>
      <c r="G1635" t="s">
        <v>125</v>
      </c>
      <c r="J1635" t="s">
        <v>123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313"/>
        <v>06:16:53.258</v>
      </c>
      <c r="T1635" t="str">
        <f t="shared" si="314"/>
        <v>06:16:52.758</v>
      </c>
      <c r="U1635" t="str">
        <f t="shared" si="291"/>
        <v>A7E2E0</v>
      </c>
      <c r="V1635">
        <v>0</v>
      </c>
      <c r="W1635">
        <v>0</v>
      </c>
      <c r="X1635">
        <v>1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0</v>
      </c>
      <c r="AI1635" t="s">
        <v>1081</v>
      </c>
      <c r="AJ1635">
        <v>39.003138999999997</v>
      </c>
      <c r="AK1635" t="s">
        <v>1082</v>
      </c>
      <c r="AL1635">
        <v>-87.568051999999994</v>
      </c>
      <c r="AM1635">
        <v>100</v>
      </c>
      <c r="AN1635">
        <v>2800</v>
      </c>
      <c r="AO1635" t="s">
        <v>118</v>
      </c>
      <c r="AP1635">
        <v>-93</v>
      </c>
      <c r="AQ1635">
        <v>-125</v>
      </c>
      <c r="AR1635">
        <v>0</v>
      </c>
      <c r="AZ1635">
        <v>4552</v>
      </c>
      <c r="BA1635">
        <v>1</v>
      </c>
      <c r="BB1635" t="str">
        <f t="shared" si="292"/>
        <v xml:space="preserve">N607SR  </v>
      </c>
      <c r="BC1635">
        <v>1</v>
      </c>
      <c r="BE1635">
        <v>0</v>
      </c>
      <c r="BF1635">
        <v>0</v>
      </c>
      <c r="BG1635">
        <v>0</v>
      </c>
      <c r="BH1635">
        <v>2600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 t="shared" si="315"/>
        <v>06:16:53.261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119</v>
      </c>
      <c r="CQ1635">
        <v>457</v>
      </c>
      <c r="CR1635">
        <v>0</v>
      </c>
      <c r="CW1635">
        <v>15517640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312"/>
        <v>08/29/2020 06:16:50.045</v>
      </c>
      <c r="C1636" t="str">
        <f t="shared" si="290"/>
        <v>FFDFD3C0</v>
      </c>
      <c r="D1636" t="s">
        <v>121</v>
      </c>
      <c r="E1636">
        <v>13</v>
      </c>
      <c r="F1636">
        <v>1013</v>
      </c>
      <c r="G1636" t="s">
        <v>122</v>
      </c>
      <c r="J1636" t="s">
        <v>123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313"/>
        <v>06:16:53.258</v>
      </c>
      <c r="T1636" t="str">
        <f t="shared" si="314"/>
        <v>06:16:52.758</v>
      </c>
      <c r="U1636" t="str">
        <f t="shared" si="291"/>
        <v>A7E2E0</v>
      </c>
      <c r="V1636">
        <v>0</v>
      </c>
      <c r="W1636">
        <v>0</v>
      </c>
      <c r="X1636">
        <v>1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0</v>
      </c>
      <c r="AI1636" t="s">
        <v>1081</v>
      </c>
      <c r="AJ1636">
        <v>39.003138999999997</v>
      </c>
      <c r="AK1636" t="s">
        <v>1082</v>
      </c>
      <c r="AL1636">
        <v>-87.568051999999994</v>
      </c>
      <c r="AM1636">
        <v>100</v>
      </c>
      <c r="AN1636">
        <v>2800</v>
      </c>
      <c r="AO1636" t="s">
        <v>118</v>
      </c>
      <c r="AP1636">
        <v>-93</v>
      </c>
      <c r="AQ1636">
        <v>-125</v>
      </c>
      <c r="AR1636">
        <v>0</v>
      </c>
      <c r="AZ1636">
        <v>4552</v>
      </c>
      <c r="BA1636">
        <v>1</v>
      </c>
      <c r="BB1636" t="str">
        <f t="shared" si="292"/>
        <v xml:space="preserve">N607SR  </v>
      </c>
      <c r="BC1636">
        <v>1</v>
      </c>
      <c r="BE1636">
        <v>0</v>
      </c>
      <c r="BF1636">
        <v>0</v>
      </c>
      <c r="BG1636">
        <v>0</v>
      </c>
      <c r="BH1636">
        <v>2600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 t="shared" si="315"/>
        <v>06:16:53.261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465</v>
      </c>
      <c r="CR1636">
        <v>0</v>
      </c>
      <c r="CW1636">
        <v>4721861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 t="shared" si="312"/>
        <v>08/29/2020 06:16:50.045</v>
      </c>
      <c r="C1637" t="str">
        <f t="shared" si="290"/>
        <v>FFDFD3C0</v>
      </c>
      <c r="D1637" t="s">
        <v>939</v>
      </c>
      <c r="E1637">
        <v>10</v>
      </c>
      <c r="H1637">
        <v>79</v>
      </c>
      <c r="I1637" t="s">
        <v>940</v>
      </c>
      <c r="J1637" t="s">
        <v>130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313"/>
        <v>06:16:53.258</v>
      </c>
      <c r="T1637" t="str">
        <f t="shared" si="314"/>
        <v>06:16:52.758</v>
      </c>
      <c r="U1637" t="str">
        <f t="shared" si="291"/>
        <v>A7E2E0</v>
      </c>
      <c r="V1637">
        <v>0</v>
      </c>
      <c r="W1637">
        <v>0</v>
      </c>
      <c r="X1637">
        <v>1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0</v>
      </c>
      <c r="AI1637" t="s">
        <v>1081</v>
      </c>
      <c r="AJ1637">
        <v>39.003138999999997</v>
      </c>
      <c r="AK1637" t="s">
        <v>1082</v>
      </c>
      <c r="AL1637">
        <v>-87.568051999999994</v>
      </c>
      <c r="AM1637">
        <v>100</v>
      </c>
      <c r="AN1637">
        <v>2800</v>
      </c>
      <c r="AO1637" t="s">
        <v>118</v>
      </c>
      <c r="AP1637">
        <v>-93</v>
      </c>
      <c r="AQ1637">
        <v>-125</v>
      </c>
      <c r="AR1637">
        <v>0</v>
      </c>
      <c r="AZ1637">
        <v>4552</v>
      </c>
      <c r="BA1637">
        <v>1</v>
      </c>
      <c r="BB1637" t="str">
        <f t="shared" si="292"/>
        <v xml:space="preserve">N607SR  </v>
      </c>
      <c r="BC1637">
        <v>1</v>
      </c>
      <c r="BE1637">
        <v>0</v>
      </c>
      <c r="BF1637">
        <v>0</v>
      </c>
      <c r="BG1637">
        <v>0</v>
      </c>
      <c r="BH1637">
        <v>2600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 t="shared" si="315"/>
        <v>06:16:53.261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465</v>
      </c>
      <c r="CR1637">
        <v>0</v>
      </c>
      <c r="CW1637">
        <v>4721861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 t="shared" si="312"/>
        <v>08/29/2020 06:16:50.045</v>
      </c>
      <c r="C1638" t="str">
        <f t="shared" si="290"/>
        <v>FFDFD3C0</v>
      </c>
      <c r="D1638" t="s">
        <v>121</v>
      </c>
      <c r="E1638">
        <v>10</v>
      </c>
      <c r="F1638">
        <v>1010</v>
      </c>
      <c r="G1638" t="s">
        <v>114</v>
      </c>
      <c r="J1638" t="s">
        <v>123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313"/>
        <v>06:16:53.258</v>
      </c>
      <c r="T1638" t="str">
        <f t="shared" si="314"/>
        <v>06:16:52.758</v>
      </c>
      <c r="U1638" t="str">
        <f t="shared" si="291"/>
        <v>A7E2E0</v>
      </c>
      <c r="V1638">
        <v>0</v>
      </c>
      <c r="W1638">
        <v>0</v>
      </c>
      <c r="X1638">
        <v>1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0</v>
      </c>
      <c r="AI1638" t="s">
        <v>1081</v>
      </c>
      <c r="AJ1638">
        <v>39.003138999999997</v>
      </c>
      <c r="AK1638" t="s">
        <v>1082</v>
      </c>
      <c r="AL1638">
        <v>-87.568051999999994</v>
      </c>
      <c r="AM1638">
        <v>100</v>
      </c>
      <c r="AN1638">
        <v>2800</v>
      </c>
      <c r="AO1638" t="s">
        <v>118</v>
      </c>
      <c r="AP1638">
        <v>-93</v>
      </c>
      <c r="AQ1638">
        <v>-125</v>
      </c>
      <c r="AR1638">
        <v>0</v>
      </c>
      <c r="AZ1638">
        <v>4552</v>
      </c>
      <c r="BA1638">
        <v>1</v>
      </c>
      <c r="BB1638" t="str">
        <f t="shared" si="292"/>
        <v xml:space="preserve">N607SR  </v>
      </c>
      <c r="BC1638">
        <v>1</v>
      </c>
      <c r="BE1638">
        <v>0</v>
      </c>
      <c r="BF1638">
        <v>0</v>
      </c>
      <c r="BG1638">
        <v>0</v>
      </c>
      <c r="BH1638">
        <v>2600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 t="shared" si="315"/>
        <v>06:16:53.261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119</v>
      </c>
      <c r="CQ1638">
        <v>465</v>
      </c>
      <c r="CR1638">
        <v>0</v>
      </c>
      <c r="CW1638">
        <v>4721861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 t="shared" ref="A1639:A1644" si="316">"08/29/2020 06:16:51.056"</f>
        <v>08/29/2020 06:16:51.056</v>
      </c>
      <c r="C1639" t="str">
        <f t="shared" si="290"/>
        <v>FFDFD3C0</v>
      </c>
      <c r="D1639" t="s">
        <v>113</v>
      </c>
      <c r="E1639">
        <v>5</v>
      </c>
      <c r="H1639">
        <v>163</v>
      </c>
      <c r="I1639" t="s">
        <v>114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ref="S1639:S1644" si="317">"06:16:54.289"</f>
        <v>06:16:54.289</v>
      </c>
      <c r="T1639" t="str">
        <f t="shared" ref="T1639:T1644" si="318">"06:16:53.889"</f>
        <v>06:16:53.889</v>
      </c>
      <c r="U1639" t="str">
        <f t="shared" si="291"/>
        <v>A7E2E0</v>
      </c>
      <c r="V1639">
        <v>0</v>
      </c>
      <c r="W1639">
        <v>0</v>
      </c>
      <c r="X1639">
        <v>1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0</v>
      </c>
      <c r="AI1639" t="s">
        <v>1083</v>
      </c>
      <c r="AJ1639">
        <v>39.002538000000001</v>
      </c>
      <c r="AK1639" t="s">
        <v>1084</v>
      </c>
      <c r="AL1639">
        <v>-87.568610000000007</v>
      </c>
      <c r="AM1639">
        <v>100</v>
      </c>
      <c r="AN1639">
        <v>2800</v>
      </c>
      <c r="AO1639" t="s">
        <v>118</v>
      </c>
      <c r="AP1639">
        <v>-93</v>
      </c>
      <c r="AQ1639">
        <v>-125</v>
      </c>
      <c r="AR1639">
        <v>0</v>
      </c>
      <c r="AZ1639">
        <v>4552</v>
      </c>
      <c r="BA1639">
        <v>1</v>
      </c>
      <c r="BB1639" t="str">
        <f t="shared" si="292"/>
        <v xml:space="preserve">N607SR  </v>
      </c>
      <c r="BC1639">
        <v>1</v>
      </c>
      <c r="BE1639">
        <v>0</v>
      </c>
      <c r="BF1639">
        <v>0</v>
      </c>
      <c r="BG1639">
        <v>0</v>
      </c>
      <c r="BH1639">
        <v>2600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 t="shared" ref="BW1639:BW1644" si="319">"06:16:54.293"</f>
        <v>06:16:54.293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119</v>
      </c>
      <c r="CQ1639">
        <v>465</v>
      </c>
      <c r="CR1639">
        <v>0</v>
      </c>
      <c r="CW1639">
        <v>4721892</v>
      </c>
      <c r="CY1639">
        <v>1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 t="shared" si="316"/>
        <v>08/29/2020 06:16:51.056</v>
      </c>
      <c r="C1640" t="str">
        <f t="shared" si="290"/>
        <v>FFDFD3C0</v>
      </c>
      <c r="D1640" t="s">
        <v>128</v>
      </c>
      <c r="E1640">
        <v>5</v>
      </c>
      <c r="H1640">
        <v>241</v>
      </c>
      <c r="I1640" t="s">
        <v>129</v>
      </c>
      <c r="J1640" t="s">
        <v>130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317"/>
        <v>06:16:54.289</v>
      </c>
      <c r="T1640" t="str">
        <f t="shared" si="318"/>
        <v>06:16:53.889</v>
      </c>
      <c r="U1640" t="str">
        <f t="shared" si="291"/>
        <v>A7E2E0</v>
      </c>
      <c r="V1640">
        <v>0</v>
      </c>
      <c r="W1640">
        <v>0</v>
      </c>
      <c r="X1640">
        <v>1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0</v>
      </c>
      <c r="AI1640" t="s">
        <v>1083</v>
      </c>
      <c r="AJ1640">
        <v>39.002538000000001</v>
      </c>
      <c r="AK1640" t="s">
        <v>1084</v>
      </c>
      <c r="AL1640">
        <v>-87.568610000000007</v>
      </c>
      <c r="AM1640">
        <v>100</v>
      </c>
      <c r="AN1640">
        <v>2800</v>
      </c>
      <c r="AO1640" t="s">
        <v>118</v>
      </c>
      <c r="AP1640">
        <v>-93</v>
      </c>
      <c r="AQ1640">
        <v>-125</v>
      </c>
      <c r="AR1640">
        <v>0</v>
      </c>
      <c r="AZ1640">
        <v>4552</v>
      </c>
      <c r="BA1640">
        <v>1</v>
      </c>
      <c r="BB1640" t="str">
        <f t="shared" si="292"/>
        <v xml:space="preserve">N607SR  </v>
      </c>
      <c r="BC1640">
        <v>1</v>
      </c>
      <c r="BE1640">
        <v>0</v>
      </c>
      <c r="BF1640">
        <v>0</v>
      </c>
      <c r="BG1640">
        <v>0</v>
      </c>
      <c r="BH1640">
        <v>2600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 t="shared" si="319"/>
        <v>06:16:54.293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465</v>
      </c>
      <c r="CR1640">
        <v>0</v>
      </c>
      <c r="CW1640">
        <v>4721892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 t="shared" si="316"/>
        <v>08/29/2020 06:16:51.056</v>
      </c>
      <c r="C1641" t="str">
        <f t="shared" si="290"/>
        <v>FFDFD3C0</v>
      </c>
      <c r="D1641" t="s">
        <v>121</v>
      </c>
      <c r="E1641">
        <v>11</v>
      </c>
      <c r="F1641">
        <v>1011</v>
      </c>
      <c r="G1641" t="s">
        <v>125</v>
      </c>
      <c r="J1641" t="s">
        <v>123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317"/>
        <v>06:16:54.289</v>
      </c>
      <c r="T1641" t="str">
        <f t="shared" si="318"/>
        <v>06:16:53.889</v>
      </c>
      <c r="U1641" t="str">
        <f t="shared" si="291"/>
        <v>A7E2E0</v>
      </c>
      <c r="V1641">
        <v>0</v>
      </c>
      <c r="W1641">
        <v>0</v>
      </c>
      <c r="X1641">
        <v>1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0</v>
      </c>
      <c r="AI1641" t="s">
        <v>1083</v>
      </c>
      <c r="AJ1641">
        <v>39.002538000000001</v>
      </c>
      <c r="AK1641" t="s">
        <v>1084</v>
      </c>
      <c r="AL1641">
        <v>-87.568610000000007</v>
      </c>
      <c r="AM1641">
        <v>100</v>
      </c>
      <c r="AN1641">
        <v>2800</v>
      </c>
      <c r="AO1641" t="s">
        <v>118</v>
      </c>
      <c r="AP1641">
        <v>-93</v>
      </c>
      <c r="AQ1641">
        <v>-125</v>
      </c>
      <c r="AR1641">
        <v>0</v>
      </c>
      <c r="AZ1641">
        <v>4552</v>
      </c>
      <c r="BA1641">
        <v>1</v>
      </c>
      <c r="BB1641" t="str">
        <f t="shared" si="292"/>
        <v xml:space="preserve">N607SR  </v>
      </c>
      <c r="BC1641">
        <v>1</v>
      </c>
      <c r="BE1641">
        <v>0</v>
      </c>
      <c r="BF1641">
        <v>0</v>
      </c>
      <c r="BG1641">
        <v>0</v>
      </c>
      <c r="BH1641">
        <v>2600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 t="shared" si="319"/>
        <v>06:16:54.293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6</v>
      </c>
      <c r="CP1641" t="s">
        <v>119</v>
      </c>
      <c r="CQ1641">
        <v>457</v>
      </c>
      <c r="CR1641">
        <v>0</v>
      </c>
      <c r="CW1641">
        <v>15517668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 t="shared" si="316"/>
        <v>08/29/2020 06:16:51.056</v>
      </c>
      <c r="C1642" t="str">
        <f t="shared" si="290"/>
        <v>FFDFD3C0</v>
      </c>
      <c r="D1642" t="s">
        <v>121</v>
      </c>
      <c r="E1642">
        <v>13</v>
      </c>
      <c r="F1642">
        <v>1013</v>
      </c>
      <c r="G1642" t="s">
        <v>122</v>
      </c>
      <c r="J1642" t="s">
        <v>123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317"/>
        <v>06:16:54.289</v>
      </c>
      <c r="T1642" t="str">
        <f t="shared" si="318"/>
        <v>06:16:53.889</v>
      </c>
      <c r="U1642" t="str">
        <f t="shared" si="291"/>
        <v>A7E2E0</v>
      </c>
      <c r="V1642">
        <v>0</v>
      </c>
      <c r="W1642">
        <v>0</v>
      </c>
      <c r="X1642">
        <v>1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0</v>
      </c>
      <c r="AI1642" t="s">
        <v>1083</v>
      </c>
      <c r="AJ1642">
        <v>39.002538000000001</v>
      </c>
      <c r="AK1642" t="s">
        <v>1084</v>
      </c>
      <c r="AL1642">
        <v>-87.568610000000007</v>
      </c>
      <c r="AM1642">
        <v>100</v>
      </c>
      <c r="AN1642">
        <v>2800</v>
      </c>
      <c r="AO1642" t="s">
        <v>118</v>
      </c>
      <c r="AP1642">
        <v>-93</v>
      </c>
      <c r="AQ1642">
        <v>-125</v>
      </c>
      <c r="AR1642">
        <v>0</v>
      </c>
      <c r="AZ1642">
        <v>4552</v>
      </c>
      <c r="BA1642">
        <v>1</v>
      </c>
      <c r="BB1642" t="str">
        <f t="shared" si="292"/>
        <v xml:space="preserve">N607SR  </v>
      </c>
      <c r="BC1642">
        <v>1</v>
      </c>
      <c r="BE1642">
        <v>0</v>
      </c>
      <c r="BF1642">
        <v>0</v>
      </c>
      <c r="BG1642">
        <v>0</v>
      </c>
      <c r="BH1642">
        <v>2600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 t="shared" si="319"/>
        <v>06:16:54.293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465</v>
      </c>
      <c r="CR1642">
        <v>0</v>
      </c>
      <c r="CW1642">
        <v>4721892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 t="shared" si="316"/>
        <v>08/29/2020 06:16:51.056</v>
      </c>
      <c r="C1643" t="str">
        <f t="shared" si="290"/>
        <v>FFDFD3C0</v>
      </c>
      <c r="D1643" t="s">
        <v>939</v>
      </c>
      <c r="E1643">
        <v>10</v>
      </c>
      <c r="H1643">
        <v>79</v>
      </c>
      <c r="I1643" t="s">
        <v>940</v>
      </c>
      <c r="J1643" t="s">
        <v>130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317"/>
        <v>06:16:54.289</v>
      </c>
      <c r="T1643" t="str">
        <f t="shared" si="318"/>
        <v>06:16:53.889</v>
      </c>
      <c r="U1643" t="str">
        <f t="shared" si="291"/>
        <v>A7E2E0</v>
      </c>
      <c r="V1643">
        <v>0</v>
      </c>
      <c r="W1643">
        <v>0</v>
      </c>
      <c r="X1643">
        <v>1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0</v>
      </c>
      <c r="AI1643" t="s">
        <v>1083</v>
      </c>
      <c r="AJ1643">
        <v>39.002538000000001</v>
      </c>
      <c r="AK1643" t="s">
        <v>1084</v>
      </c>
      <c r="AL1643">
        <v>-87.568610000000007</v>
      </c>
      <c r="AM1643">
        <v>100</v>
      </c>
      <c r="AN1643">
        <v>2800</v>
      </c>
      <c r="AO1643" t="s">
        <v>118</v>
      </c>
      <c r="AP1643">
        <v>-93</v>
      </c>
      <c r="AQ1643">
        <v>-125</v>
      </c>
      <c r="AR1643">
        <v>0</v>
      </c>
      <c r="AZ1643">
        <v>4552</v>
      </c>
      <c r="BA1643">
        <v>1</v>
      </c>
      <c r="BB1643" t="str">
        <f t="shared" si="292"/>
        <v xml:space="preserve">N607SR  </v>
      </c>
      <c r="BC1643">
        <v>1</v>
      </c>
      <c r="BE1643">
        <v>0</v>
      </c>
      <c r="BF1643">
        <v>0</v>
      </c>
      <c r="BG1643">
        <v>0</v>
      </c>
      <c r="BH1643">
        <v>2600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 t="shared" si="319"/>
        <v>06:16:54.293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119</v>
      </c>
      <c r="CQ1643">
        <v>465</v>
      </c>
      <c r="CR1643">
        <v>0</v>
      </c>
      <c r="CW1643">
        <v>4721892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 t="shared" si="316"/>
        <v>08/29/2020 06:16:51.056</v>
      </c>
      <c r="C1644" t="str">
        <f t="shared" si="290"/>
        <v>FFDFD3C0</v>
      </c>
      <c r="D1644" t="s">
        <v>121</v>
      </c>
      <c r="E1644">
        <v>10</v>
      </c>
      <c r="F1644">
        <v>1010</v>
      </c>
      <c r="G1644" t="s">
        <v>114</v>
      </c>
      <c r="J1644" t="s">
        <v>123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317"/>
        <v>06:16:54.289</v>
      </c>
      <c r="T1644" t="str">
        <f t="shared" si="318"/>
        <v>06:16:53.889</v>
      </c>
      <c r="U1644" t="str">
        <f t="shared" si="291"/>
        <v>A7E2E0</v>
      </c>
      <c r="V1644">
        <v>0</v>
      </c>
      <c r="W1644">
        <v>0</v>
      </c>
      <c r="X1644">
        <v>1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0</v>
      </c>
      <c r="AI1644" t="s">
        <v>1083</v>
      </c>
      <c r="AJ1644">
        <v>39.002538000000001</v>
      </c>
      <c r="AK1644" t="s">
        <v>1084</v>
      </c>
      <c r="AL1644">
        <v>-87.568610000000007</v>
      </c>
      <c r="AM1644">
        <v>100</v>
      </c>
      <c r="AN1644">
        <v>2800</v>
      </c>
      <c r="AO1644" t="s">
        <v>118</v>
      </c>
      <c r="AP1644">
        <v>-93</v>
      </c>
      <c r="AQ1644">
        <v>-125</v>
      </c>
      <c r="AR1644">
        <v>0</v>
      </c>
      <c r="AZ1644">
        <v>4552</v>
      </c>
      <c r="BA1644">
        <v>1</v>
      </c>
      <c r="BB1644" t="str">
        <f t="shared" si="292"/>
        <v xml:space="preserve">N607SR  </v>
      </c>
      <c r="BC1644">
        <v>1</v>
      </c>
      <c r="BE1644">
        <v>0</v>
      </c>
      <c r="BF1644">
        <v>0</v>
      </c>
      <c r="BG1644">
        <v>0</v>
      </c>
      <c r="BH1644">
        <v>2600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 t="shared" si="319"/>
        <v>06:16:54.293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119</v>
      </c>
      <c r="CQ1644">
        <v>465</v>
      </c>
      <c r="CR1644">
        <v>0</v>
      </c>
      <c r="CW1644">
        <v>4721892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 t="shared" ref="A1645:A1650" si="320">"08/29/2020 06:16:52.096"</f>
        <v>08/29/2020 06:16:52.096</v>
      </c>
      <c r="C1645" t="str">
        <f t="shared" si="290"/>
        <v>FFDFD3C0</v>
      </c>
      <c r="D1645" t="s">
        <v>121</v>
      </c>
      <c r="E1645">
        <v>11</v>
      </c>
      <c r="F1645">
        <v>1011</v>
      </c>
      <c r="G1645" t="s">
        <v>125</v>
      </c>
      <c r="J1645" t="s">
        <v>123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ref="S1645:S1650" si="321">"06:16:55.297"</f>
        <v>06:16:55.297</v>
      </c>
      <c r="T1645" t="str">
        <f t="shared" ref="T1645:T1650" si="322">"06:16:54.897"</f>
        <v>06:16:54.897</v>
      </c>
      <c r="U1645" t="str">
        <f t="shared" si="291"/>
        <v>A7E2E0</v>
      </c>
      <c r="V1645">
        <v>0</v>
      </c>
      <c r="W1645">
        <v>0</v>
      </c>
      <c r="X1645">
        <v>1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0</v>
      </c>
      <c r="AI1645" t="s">
        <v>1085</v>
      </c>
      <c r="AJ1645">
        <v>39.001980000000003</v>
      </c>
      <c r="AK1645" t="s">
        <v>1086</v>
      </c>
      <c r="AL1645">
        <v>-87.569146000000003</v>
      </c>
      <c r="AM1645">
        <v>100</v>
      </c>
      <c r="AN1645">
        <v>2800</v>
      </c>
      <c r="AO1645" t="s">
        <v>118</v>
      </c>
      <c r="AP1645">
        <v>-93</v>
      </c>
      <c r="AQ1645">
        <v>-125</v>
      </c>
      <c r="AR1645">
        <v>-64</v>
      </c>
      <c r="AZ1645">
        <v>4552</v>
      </c>
      <c r="BA1645">
        <v>1</v>
      </c>
      <c r="BB1645" t="str">
        <f t="shared" si="292"/>
        <v xml:space="preserve">N607SR  </v>
      </c>
      <c r="BC1645">
        <v>1</v>
      </c>
      <c r="BE1645">
        <v>0</v>
      </c>
      <c r="BF1645">
        <v>0</v>
      </c>
      <c r="BG1645">
        <v>0</v>
      </c>
      <c r="BH1645">
        <v>2600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 t="shared" ref="BW1645:BW1650" si="323">"06:16:55.304"</f>
        <v>06:16:55.304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6</v>
      </c>
      <c r="CP1645" t="s">
        <v>119</v>
      </c>
      <c r="CQ1645">
        <v>457</v>
      </c>
      <c r="CR1645">
        <v>0</v>
      </c>
      <c r="CW1645">
        <v>15517695</v>
      </c>
      <c r="CY1645">
        <v>1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 t="shared" si="320"/>
        <v>08/29/2020 06:16:52.096</v>
      </c>
      <c r="C1646" t="str">
        <f t="shared" si="290"/>
        <v>FFDFD3C0</v>
      </c>
      <c r="D1646" t="s">
        <v>939</v>
      </c>
      <c r="E1646">
        <v>10</v>
      </c>
      <c r="H1646">
        <v>79</v>
      </c>
      <c r="I1646" t="s">
        <v>940</v>
      </c>
      <c r="J1646" t="s">
        <v>130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321"/>
        <v>06:16:55.297</v>
      </c>
      <c r="T1646" t="str">
        <f t="shared" si="322"/>
        <v>06:16:54.897</v>
      </c>
      <c r="U1646" t="str">
        <f t="shared" si="291"/>
        <v>A7E2E0</v>
      </c>
      <c r="V1646">
        <v>0</v>
      </c>
      <c r="W1646">
        <v>0</v>
      </c>
      <c r="X1646">
        <v>1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0</v>
      </c>
      <c r="AI1646" t="s">
        <v>1085</v>
      </c>
      <c r="AJ1646">
        <v>39.001980000000003</v>
      </c>
      <c r="AK1646" t="s">
        <v>1086</v>
      </c>
      <c r="AL1646">
        <v>-87.569146000000003</v>
      </c>
      <c r="AM1646">
        <v>100</v>
      </c>
      <c r="AN1646">
        <v>2800</v>
      </c>
      <c r="AO1646" t="s">
        <v>118</v>
      </c>
      <c r="AP1646">
        <v>-93</v>
      </c>
      <c r="AQ1646">
        <v>-125</v>
      </c>
      <c r="AR1646">
        <v>-64</v>
      </c>
      <c r="AZ1646">
        <v>4552</v>
      </c>
      <c r="BA1646">
        <v>1</v>
      </c>
      <c r="BB1646" t="str">
        <f t="shared" si="292"/>
        <v xml:space="preserve">N607SR  </v>
      </c>
      <c r="BC1646">
        <v>1</v>
      </c>
      <c r="BE1646">
        <v>0</v>
      </c>
      <c r="BF1646">
        <v>0</v>
      </c>
      <c r="BG1646">
        <v>0</v>
      </c>
      <c r="BH1646">
        <v>2600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 t="shared" si="323"/>
        <v>06:16:55.304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465</v>
      </c>
      <c r="CR1646">
        <v>0</v>
      </c>
      <c r="CW1646">
        <v>4721927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 t="shared" si="320"/>
        <v>08/29/2020 06:16:52.096</v>
      </c>
      <c r="C1647" t="str">
        <f t="shared" si="290"/>
        <v>FFDFD3C0</v>
      </c>
      <c r="D1647" t="s">
        <v>121</v>
      </c>
      <c r="E1647">
        <v>13</v>
      </c>
      <c r="F1647">
        <v>1013</v>
      </c>
      <c r="G1647" t="s">
        <v>122</v>
      </c>
      <c r="J1647" t="s">
        <v>123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321"/>
        <v>06:16:55.297</v>
      </c>
      <c r="T1647" t="str">
        <f t="shared" si="322"/>
        <v>06:16:54.897</v>
      </c>
      <c r="U1647" t="str">
        <f t="shared" si="291"/>
        <v>A7E2E0</v>
      </c>
      <c r="V1647">
        <v>0</v>
      </c>
      <c r="W1647">
        <v>0</v>
      </c>
      <c r="X1647">
        <v>1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0</v>
      </c>
      <c r="AI1647" t="s">
        <v>1085</v>
      </c>
      <c r="AJ1647">
        <v>39.001980000000003</v>
      </c>
      <c r="AK1647" t="s">
        <v>1086</v>
      </c>
      <c r="AL1647">
        <v>-87.569146000000003</v>
      </c>
      <c r="AM1647">
        <v>100</v>
      </c>
      <c r="AN1647">
        <v>2800</v>
      </c>
      <c r="AO1647" t="s">
        <v>118</v>
      </c>
      <c r="AP1647">
        <v>-93</v>
      </c>
      <c r="AQ1647">
        <v>-125</v>
      </c>
      <c r="AR1647">
        <v>-64</v>
      </c>
      <c r="AZ1647">
        <v>4552</v>
      </c>
      <c r="BA1647">
        <v>1</v>
      </c>
      <c r="BB1647" t="str">
        <f t="shared" si="292"/>
        <v xml:space="preserve">N607SR  </v>
      </c>
      <c r="BC1647">
        <v>1</v>
      </c>
      <c r="BE1647">
        <v>0</v>
      </c>
      <c r="BF1647">
        <v>0</v>
      </c>
      <c r="BG1647">
        <v>0</v>
      </c>
      <c r="BH1647">
        <v>2600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 t="shared" si="323"/>
        <v>06:16:55.304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465</v>
      </c>
      <c r="CR1647">
        <v>0</v>
      </c>
      <c r="CW1647">
        <v>4721927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 t="shared" si="320"/>
        <v>08/29/2020 06:16:52.096</v>
      </c>
      <c r="C1648" t="str">
        <f t="shared" si="290"/>
        <v>FFDFD3C0</v>
      </c>
      <c r="D1648" t="s">
        <v>121</v>
      </c>
      <c r="E1648">
        <v>10</v>
      </c>
      <c r="F1648">
        <v>1010</v>
      </c>
      <c r="G1648" t="s">
        <v>114</v>
      </c>
      <c r="J1648" t="s">
        <v>123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321"/>
        <v>06:16:55.297</v>
      </c>
      <c r="T1648" t="str">
        <f t="shared" si="322"/>
        <v>06:16:54.897</v>
      </c>
      <c r="U1648" t="str">
        <f t="shared" si="291"/>
        <v>A7E2E0</v>
      </c>
      <c r="V1648">
        <v>0</v>
      </c>
      <c r="W1648">
        <v>0</v>
      </c>
      <c r="X1648">
        <v>1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0</v>
      </c>
      <c r="AI1648" t="s">
        <v>1085</v>
      </c>
      <c r="AJ1648">
        <v>39.001980000000003</v>
      </c>
      <c r="AK1648" t="s">
        <v>1086</v>
      </c>
      <c r="AL1648">
        <v>-87.569146000000003</v>
      </c>
      <c r="AM1648">
        <v>100</v>
      </c>
      <c r="AN1648">
        <v>2800</v>
      </c>
      <c r="AO1648" t="s">
        <v>118</v>
      </c>
      <c r="AP1648">
        <v>-93</v>
      </c>
      <c r="AQ1648">
        <v>-125</v>
      </c>
      <c r="AR1648">
        <v>-64</v>
      </c>
      <c r="AZ1648">
        <v>4552</v>
      </c>
      <c r="BA1648">
        <v>1</v>
      </c>
      <c r="BB1648" t="str">
        <f t="shared" si="292"/>
        <v xml:space="preserve">N607SR  </v>
      </c>
      <c r="BC1648">
        <v>1</v>
      </c>
      <c r="BE1648">
        <v>0</v>
      </c>
      <c r="BF1648">
        <v>0</v>
      </c>
      <c r="BG1648">
        <v>0</v>
      </c>
      <c r="BH1648">
        <v>2600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 t="shared" si="323"/>
        <v>06:16:55.304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465</v>
      </c>
      <c r="CR1648">
        <v>0</v>
      </c>
      <c r="CW1648">
        <v>4721927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si="320"/>
        <v>08/29/2020 06:16:52.096</v>
      </c>
      <c r="C1649" t="str">
        <f t="shared" si="290"/>
        <v>FFDFD3C0</v>
      </c>
      <c r="D1649" t="s">
        <v>113</v>
      </c>
      <c r="E1649">
        <v>5</v>
      </c>
      <c r="H1649">
        <v>163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321"/>
        <v>06:16:55.297</v>
      </c>
      <c r="T1649" t="str">
        <f t="shared" si="322"/>
        <v>06:16:54.897</v>
      </c>
      <c r="U1649" t="str">
        <f t="shared" si="291"/>
        <v>A7E2E0</v>
      </c>
      <c r="V1649">
        <v>0</v>
      </c>
      <c r="W1649">
        <v>0</v>
      </c>
      <c r="X1649">
        <v>1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0</v>
      </c>
      <c r="AI1649" t="s">
        <v>1085</v>
      </c>
      <c r="AJ1649">
        <v>39.001980000000003</v>
      </c>
      <c r="AK1649" t="s">
        <v>1086</v>
      </c>
      <c r="AL1649">
        <v>-87.569146000000003</v>
      </c>
      <c r="AM1649">
        <v>100</v>
      </c>
      <c r="AN1649">
        <v>2800</v>
      </c>
      <c r="AO1649" t="s">
        <v>118</v>
      </c>
      <c r="AP1649">
        <v>-93</v>
      </c>
      <c r="AQ1649">
        <v>-125</v>
      </c>
      <c r="AR1649">
        <v>-64</v>
      </c>
      <c r="AZ1649">
        <v>4552</v>
      </c>
      <c r="BA1649">
        <v>1</v>
      </c>
      <c r="BB1649" t="str">
        <f t="shared" si="292"/>
        <v xml:space="preserve">N607SR  </v>
      </c>
      <c r="BC1649">
        <v>1</v>
      </c>
      <c r="BE1649">
        <v>0</v>
      </c>
      <c r="BF1649">
        <v>0</v>
      </c>
      <c r="BG1649">
        <v>0</v>
      </c>
      <c r="BH1649">
        <v>2600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 t="shared" si="323"/>
        <v>06:16:55.304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465</v>
      </c>
      <c r="CR1649">
        <v>0</v>
      </c>
      <c r="CW1649">
        <v>4721927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320"/>
        <v>08/29/2020 06:16:52.096</v>
      </c>
      <c r="C1650" t="str">
        <f t="shared" si="290"/>
        <v>FFDFD3C0</v>
      </c>
      <c r="D1650" t="s">
        <v>128</v>
      </c>
      <c r="E1650">
        <v>5</v>
      </c>
      <c r="H1650">
        <v>241</v>
      </c>
      <c r="I1650" t="s">
        <v>129</v>
      </c>
      <c r="J1650" t="s">
        <v>130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321"/>
        <v>06:16:55.297</v>
      </c>
      <c r="T1650" t="str">
        <f t="shared" si="322"/>
        <v>06:16:54.897</v>
      </c>
      <c r="U1650" t="str">
        <f t="shared" si="291"/>
        <v>A7E2E0</v>
      </c>
      <c r="V1650">
        <v>0</v>
      </c>
      <c r="W1650">
        <v>0</v>
      </c>
      <c r="X1650">
        <v>1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0</v>
      </c>
      <c r="AI1650" t="s">
        <v>1085</v>
      </c>
      <c r="AJ1650">
        <v>39.001980000000003</v>
      </c>
      <c r="AK1650" t="s">
        <v>1086</v>
      </c>
      <c r="AL1650">
        <v>-87.569146000000003</v>
      </c>
      <c r="AM1650">
        <v>100</v>
      </c>
      <c r="AN1650">
        <v>2800</v>
      </c>
      <c r="AO1650" t="s">
        <v>118</v>
      </c>
      <c r="AP1650">
        <v>-93</v>
      </c>
      <c r="AQ1650">
        <v>-125</v>
      </c>
      <c r="AR1650">
        <v>-64</v>
      </c>
      <c r="AZ1650">
        <v>4552</v>
      </c>
      <c r="BA1650">
        <v>1</v>
      </c>
      <c r="BB1650" t="str">
        <f t="shared" si="292"/>
        <v xml:space="preserve">N607SR  </v>
      </c>
      <c r="BC1650">
        <v>1</v>
      </c>
      <c r="BE1650">
        <v>0</v>
      </c>
      <c r="BF1650">
        <v>0</v>
      </c>
      <c r="BG1650">
        <v>0</v>
      </c>
      <c r="BH1650">
        <v>2600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 t="shared" si="323"/>
        <v>06:16:55.304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6</v>
      </c>
      <c r="CP1650" t="s">
        <v>119</v>
      </c>
      <c r="CQ1650">
        <v>465</v>
      </c>
      <c r="CR1650">
        <v>0</v>
      </c>
      <c r="CW1650">
        <v>4721927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ref="A1651:A1656" si="324">"08/29/2020 06:16:53.035"</f>
        <v>08/29/2020 06:16:53.035</v>
      </c>
      <c r="C1651" t="str">
        <f t="shared" si="290"/>
        <v>FFDFD3C0</v>
      </c>
      <c r="D1651" t="s">
        <v>128</v>
      </c>
      <c r="E1651">
        <v>5</v>
      </c>
      <c r="H1651">
        <v>241</v>
      </c>
      <c r="I1651" t="s">
        <v>129</v>
      </c>
      <c r="J1651" t="s">
        <v>130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ref="S1651:S1656" si="325">"06:16:56.281"</f>
        <v>06:16:56.281</v>
      </c>
      <c r="T1651" t="str">
        <f>"06:16:55.781"</f>
        <v>06:16:55.781</v>
      </c>
      <c r="U1651" t="str">
        <f t="shared" si="291"/>
        <v>A7E2E0</v>
      </c>
      <c r="V1651">
        <v>0</v>
      </c>
      <c r="W1651">
        <v>0</v>
      </c>
      <c r="X1651">
        <v>1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0</v>
      </c>
      <c r="AI1651" t="s">
        <v>1087</v>
      </c>
      <c r="AJ1651">
        <v>39.001421999999998</v>
      </c>
      <c r="AK1651" t="s">
        <v>1088</v>
      </c>
      <c r="AL1651">
        <v>-87.569704000000002</v>
      </c>
      <c r="AM1651">
        <v>100</v>
      </c>
      <c r="AN1651">
        <v>2800</v>
      </c>
      <c r="AO1651" t="s">
        <v>118</v>
      </c>
      <c r="AP1651">
        <v>-93</v>
      </c>
      <c r="AQ1651">
        <v>-125</v>
      </c>
      <c r="AR1651">
        <v>0</v>
      </c>
      <c r="AZ1651">
        <v>4552</v>
      </c>
      <c r="BA1651">
        <v>1</v>
      </c>
      <c r="BB1651" t="str">
        <f t="shared" si="292"/>
        <v xml:space="preserve">N607SR  </v>
      </c>
      <c r="BC1651">
        <v>1</v>
      </c>
      <c r="BE1651">
        <v>0</v>
      </c>
      <c r="BF1651">
        <v>0</v>
      </c>
      <c r="BG1651">
        <v>0</v>
      </c>
      <c r="BH1651">
        <v>2600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 t="shared" ref="BW1651:BW1656" si="326">"06:16:56.282"</f>
        <v>06:16:56.282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6</v>
      </c>
      <c r="CP1651" t="s">
        <v>119</v>
      </c>
      <c r="CQ1651">
        <v>457</v>
      </c>
      <c r="CR1651">
        <v>0</v>
      </c>
      <c r="CW1651">
        <v>15517720</v>
      </c>
      <c r="CY1651">
        <v>1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si="324"/>
        <v>08/29/2020 06:16:53.035</v>
      </c>
      <c r="C1652" t="str">
        <f t="shared" si="290"/>
        <v>FFDFD3C0</v>
      </c>
      <c r="D1652" t="s">
        <v>113</v>
      </c>
      <c r="E1652">
        <v>5</v>
      </c>
      <c r="H1652">
        <v>163</v>
      </c>
      <c r="I1652" t="s">
        <v>114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325"/>
        <v>06:16:56.281</v>
      </c>
      <c r="T1652" t="str">
        <f>"06:16:55.781"</f>
        <v>06:16:55.781</v>
      </c>
      <c r="U1652" t="str">
        <f t="shared" si="291"/>
        <v>A7E2E0</v>
      </c>
      <c r="V1652">
        <v>0</v>
      </c>
      <c r="W1652">
        <v>0</v>
      </c>
      <c r="X1652">
        <v>1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0</v>
      </c>
      <c r="AI1652" t="s">
        <v>1087</v>
      </c>
      <c r="AJ1652">
        <v>39.001421999999998</v>
      </c>
      <c r="AK1652" t="s">
        <v>1088</v>
      </c>
      <c r="AL1652">
        <v>-87.569704000000002</v>
      </c>
      <c r="AM1652">
        <v>100</v>
      </c>
      <c r="AN1652">
        <v>2800</v>
      </c>
      <c r="AO1652" t="s">
        <v>118</v>
      </c>
      <c r="AP1652">
        <v>-93</v>
      </c>
      <c r="AQ1652">
        <v>-125</v>
      </c>
      <c r="AR1652">
        <v>0</v>
      </c>
      <c r="AZ1652">
        <v>4552</v>
      </c>
      <c r="BA1652">
        <v>1</v>
      </c>
      <c r="BB1652" t="str">
        <f t="shared" si="292"/>
        <v xml:space="preserve">N607SR  </v>
      </c>
      <c r="BC1652">
        <v>1</v>
      </c>
      <c r="BE1652">
        <v>0</v>
      </c>
      <c r="BF1652">
        <v>0</v>
      </c>
      <c r="BG1652">
        <v>0</v>
      </c>
      <c r="BH1652">
        <v>2600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 t="shared" si="326"/>
        <v>06:16:56.282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6</v>
      </c>
      <c r="CP1652" t="s">
        <v>119</v>
      </c>
      <c r="CQ1652">
        <v>457</v>
      </c>
      <c r="CR1652">
        <v>0</v>
      </c>
      <c r="CW1652">
        <v>15517720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324"/>
        <v>08/29/2020 06:16:53.035</v>
      </c>
      <c r="C1653" t="str">
        <f t="shared" si="290"/>
        <v>FFDFD3C0</v>
      </c>
      <c r="D1653" t="s">
        <v>939</v>
      </c>
      <c r="E1653">
        <v>10</v>
      </c>
      <c r="H1653">
        <v>79</v>
      </c>
      <c r="I1653" t="s">
        <v>940</v>
      </c>
      <c r="J1653" t="s">
        <v>130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325"/>
        <v>06:16:56.281</v>
      </c>
      <c r="T1653" t="str">
        <f>"06:16:55.381"</f>
        <v>06:16:55.381</v>
      </c>
      <c r="U1653" t="str">
        <f t="shared" si="291"/>
        <v>A7E2E0</v>
      </c>
      <c r="V1653">
        <v>0</v>
      </c>
      <c r="W1653">
        <v>0</v>
      </c>
      <c r="X1653">
        <v>1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0</v>
      </c>
      <c r="AI1653" t="s">
        <v>1087</v>
      </c>
      <c r="AJ1653">
        <v>39.001421999999998</v>
      </c>
      <c r="AK1653" t="s">
        <v>1088</v>
      </c>
      <c r="AL1653">
        <v>-87.569704000000002</v>
      </c>
      <c r="AM1653">
        <v>100</v>
      </c>
      <c r="AN1653">
        <v>2800</v>
      </c>
      <c r="AO1653" t="s">
        <v>118</v>
      </c>
      <c r="AP1653">
        <v>-93</v>
      </c>
      <c r="AQ1653">
        <v>-125</v>
      </c>
      <c r="AR1653">
        <v>-64</v>
      </c>
      <c r="AZ1653">
        <v>4552</v>
      </c>
      <c r="BA1653">
        <v>1</v>
      </c>
      <c r="BB1653" t="str">
        <f t="shared" si="292"/>
        <v xml:space="preserve">N607SR  </v>
      </c>
      <c r="BC1653">
        <v>1</v>
      </c>
      <c r="BE1653">
        <v>0</v>
      </c>
      <c r="BF1653">
        <v>0</v>
      </c>
      <c r="BG1653">
        <v>0</v>
      </c>
      <c r="BH1653">
        <v>2600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 t="shared" si="326"/>
        <v>06:16:56.282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6</v>
      </c>
      <c r="CP1653" t="s">
        <v>119</v>
      </c>
      <c r="CQ1653">
        <v>465</v>
      </c>
      <c r="CR1653">
        <v>0</v>
      </c>
      <c r="CW1653">
        <v>4721956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si="324"/>
        <v>08/29/2020 06:16:53.035</v>
      </c>
      <c r="C1654" t="str">
        <f t="shared" si="290"/>
        <v>FFDFD3C0</v>
      </c>
      <c r="D1654" t="s">
        <v>121</v>
      </c>
      <c r="E1654">
        <v>13</v>
      </c>
      <c r="F1654">
        <v>1013</v>
      </c>
      <c r="G1654" t="s">
        <v>122</v>
      </c>
      <c r="J1654" t="s">
        <v>123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325"/>
        <v>06:16:56.281</v>
      </c>
      <c r="T1654" t="str">
        <f>"06:16:55.781"</f>
        <v>06:16:55.781</v>
      </c>
      <c r="U1654" t="str">
        <f t="shared" si="291"/>
        <v>A7E2E0</v>
      </c>
      <c r="V1654">
        <v>0</v>
      </c>
      <c r="W1654">
        <v>0</v>
      </c>
      <c r="X1654">
        <v>1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0</v>
      </c>
      <c r="AI1654" t="s">
        <v>1087</v>
      </c>
      <c r="AJ1654">
        <v>39.001421999999998</v>
      </c>
      <c r="AK1654" t="s">
        <v>1088</v>
      </c>
      <c r="AL1654">
        <v>-87.569704000000002</v>
      </c>
      <c r="AM1654">
        <v>100</v>
      </c>
      <c r="AN1654">
        <v>2800</v>
      </c>
      <c r="AO1654" t="s">
        <v>118</v>
      </c>
      <c r="AP1654">
        <v>-93</v>
      </c>
      <c r="AQ1654">
        <v>-125</v>
      </c>
      <c r="AR1654">
        <v>0</v>
      </c>
      <c r="AZ1654">
        <v>4552</v>
      </c>
      <c r="BA1654">
        <v>1</v>
      </c>
      <c r="BB1654" t="str">
        <f t="shared" si="292"/>
        <v xml:space="preserve">N607SR  </v>
      </c>
      <c r="BC1654">
        <v>1</v>
      </c>
      <c r="BE1654">
        <v>0</v>
      </c>
      <c r="BF1654">
        <v>0</v>
      </c>
      <c r="BG1654">
        <v>0</v>
      </c>
      <c r="BH1654">
        <v>2600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 t="shared" si="326"/>
        <v>06:16:56.282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119</v>
      </c>
      <c r="CQ1654">
        <v>457</v>
      </c>
      <c r="CR1654">
        <v>0</v>
      </c>
      <c r="CW1654">
        <v>15517720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 t="shared" si="324"/>
        <v>08/29/2020 06:16:53.035</v>
      </c>
      <c r="C1655" t="str">
        <f t="shared" si="290"/>
        <v>FFDFD3C0</v>
      </c>
      <c r="D1655" t="s">
        <v>121</v>
      </c>
      <c r="E1655">
        <v>11</v>
      </c>
      <c r="F1655">
        <v>1011</v>
      </c>
      <c r="G1655" t="s">
        <v>125</v>
      </c>
      <c r="J1655" t="s">
        <v>123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325"/>
        <v>06:16:56.281</v>
      </c>
      <c r="T1655" t="str">
        <f>"06:16:55.781"</f>
        <v>06:16:55.781</v>
      </c>
      <c r="U1655" t="str">
        <f t="shared" si="291"/>
        <v>A7E2E0</v>
      </c>
      <c r="V1655">
        <v>0</v>
      </c>
      <c r="W1655">
        <v>0</v>
      </c>
      <c r="X1655">
        <v>1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0</v>
      </c>
      <c r="AI1655" t="s">
        <v>1087</v>
      </c>
      <c r="AJ1655">
        <v>39.001421999999998</v>
      </c>
      <c r="AK1655" t="s">
        <v>1088</v>
      </c>
      <c r="AL1655">
        <v>-87.569704000000002</v>
      </c>
      <c r="AM1655">
        <v>100</v>
      </c>
      <c r="AN1655">
        <v>2800</v>
      </c>
      <c r="AO1655" t="s">
        <v>118</v>
      </c>
      <c r="AP1655">
        <v>-93</v>
      </c>
      <c r="AQ1655">
        <v>-125</v>
      </c>
      <c r="AR1655">
        <v>0</v>
      </c>
      <c r="AZ1655">
        <v>4552</v>
      </c>
      <c r="BA1655">
        <v>1</v>
      </c>
      <c r="BB1655" t="str">
        <f t="shared" si="292"/>
        <v xml:space="preserve">N607SR  </v>
      </c>
      <c r="BC1655">
        <v>1</v>
      </c>
      <c r="BE1655">
        <v>0</v>
      </c>
      <c r="BF1655">
        <v>0</v>
      </c>
      <c r="BG1655">
        <v>0</v>
      </c>
      <c r="BH1655">
        <v>2600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 t="shared" si="326"/>
        <v>06:16:56.282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6</v>
      </c>
      <c r="CP1655" t="s">
        <v>119</v>
      </c>
      <c r="CQ1655">
        <v>457</v>
      </c>
      <c r="CR1655">
        <v>0</v>
      </c>
      <c r="CW1655">
        <v>15517720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 t="shared" si="324"/>
        <v>08/29/2020 06:16:53.035</v>
      </c>
      <c r="C1656" t="str">
        <f t="shared" si="290"/>
        <v>FFDFD3C0</v>
      </c>
      <c r="D1656" t="s">
        <v>121</v>
      </c>
      <c r="E1656">
        <v>10</v>
      </c>
      <c r="F1656">
        <v>1010</v>
      </c>
      <c r="G1656" t="s">
        <v>114</v>
      </c>
      <c r="J1656" t="s">
        <v>123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325"/>
        <v>06:16:56.281</v>
      </c>
      <c r="T1656" t="str">
        <f>"06:16:55.781"</f>
        <v>06:16:55.781</v>
      </c>
      <c r="U1656" t="str">
        <f t="shared" si="291"/>
        <v>A7E2E0</v>
      </c>
      <c r="V1656">
        <v>0</v>
      </c>
      <c r="W1656">
        <v>0</v>
      </c>
      <c r="X1656">
        <v>1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0</v>
      </c>
      <c r="AI1656" t="s">
        <v>1087</v>
      </c>
      <c r="AJ1656">
        <v>39.001421999999998</v>
      </c>
      <c r="AK1656" t="s">
        <v>1088</v>
      </c>
      <c r="AL1656">
        <v>-87.569704000000002</v>
      </c>
      <c r="AM1656">
        <v>100</v>
      </c>
      <c r="AN1656">
        <v>2800</v>
      </c>
      <c r="AO1656" t="s">
        <v>118</v>
      </c>
      <c r="AP1656">
        <v>-93</v>
      </c>
      <c r="AQ1656">
        <v>-125</v>
      </c>
      <c r="AR1656">
        <v>0</v>
      </c>
      <c r="AZ1656">
        <v>4552</v>
      </c>
      <c r="BA1656">
        <v>1</v>
      </c>
      <c r="BB1656" t="str">
        <f t="shared" si="292"/>
        <v xml:space="preserve">N607SR  </v>
      </c>
      <c r="BC1656">
        <v>1</v>
      </c>
      <c r="BE1656">
        <v>0</v>
      </c>
      <c r="BF1656">
        <v>0</v>
      </c>
      <c r="BG1656">
        <v>0</v>
      </c>
      <c r="BH1656">
        <v>2600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 t="shared" si="326"/>
        <v>06:16:56.282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6</v>
      </c>
      <c r="CP1656" t="s">
        <v>119</v>
      </c>
      <c r="CQ1656">
        <v>457</v>
      </c>
      <c r="CR1656">
        <v>0</v>
      </c>
      <c r="CW1656">
        <v>15517720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 t="shared" ref="A1657:A1662" si="327">"08/29/2020 06:16:53.946"</f>
        <v>08/29/2020 06:16:53.946</v>
      </c>
      <c r="C1657" t="str">
        <f t="shared" si="290"/>
        <v>FFDFD3C0</v>
      </c>
      <c r="D1657" t="s">
        <v>113</v>
      </c>
      <c r="E1657">
        <v>5</v>
      </c>
      <c r="H1657">
        <v>163</v>
      </c>
      <c r="I1657" t="s">
        <v>114</v>
      </c>
      <c r="J1657" t="s">
        <v>115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ref="S1657:S1662" si="328">"06:16:57.156"</f>
        <v>06:16:57.156</v>
      </c>
      <c r="T1657" t="str">
        <f t="shared" ref="T1657:T1662" si="329">"06:16:56.756"</f>
        <v>06:16:56.756</v>
      </c>
      <c r="U1657" t="str">
        <f t="shared" si="291"/>
        <v>A7E2E0</v>
      </c>
      <c r="V1657">
        <v>0</v>
      </c>
      <c r="W1657">
        <v>0</v>
      </c>
      <c r="X1657">
        <v>1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0</v>
      </c>
      <c r="AI1657" t="s">
        <v>1089</v>
      </c>
      <c r="AJ1657">
        <v>39.000864</v>
      </c>
      <c r="AK1657" t="s">
        <v>1090</v>
      </c>
      <c r="AL1657">
        <v>-87.570176000000004</v>
      </c>
      <c r="AM1657">
        <v>100</v>
      </c>
      <c r="AN1657">
        <v>2800</v>
      </c>
      <c r="AO1657" t="s">
        <v>118</v>
      </c>
      <c r="AP1657">
        <v>-93</v>
      </c>
      <c r="AQ1657">
        <v>-125</v>
      </c>
      <c r="AR1657">
        <v>0</v>
      </c>
      <c r="AZ1657">
        <v>4552</v>
      </c>
      <c r="BA1657">
        <v>1</v>
      </c>
      <c r="BB1657" t="str">
        <f t="shared" si="292"/>
        <v xml:space="preserve">N607SR  </v>
      </c>
      <c r="BC1657">
        <v>1</v>
      </c>
      <c r="BE1657">
        <v>0</v>
      </c>
      <c r="BF1657">
        <v>0</v>
      </c>
      <c r="BG1657">
        <v>0</v>
      </c>
      <c r="BH1657">
        <v>2600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 t="shared" ref="BW1657:BW1662" si="330">"06:16:57.157"</f>
        <v>06:16:57.157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6</v>
      </c>
      <c r="CP1657" t="s">
        <v>119</v>
      </c>
      <c r="CQ1657">
        <v>465</v>
      </c>
      <c r="CR1657">
        <v>0</v>
      </c>
      <c r="CW1657">
        <v>4721981</v>
      </c>
      <c r="CY1657">
        <v>1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 t="shared" si="327"/>
        <v>08/29/2020 06:16:53.946</v>
      </c>
      <c r="C1658" t="str">
        <f t="shared" si="290"/>
        <v>FFDFD3C0</v>
      </c>
      <c r="D1658" t="s">
        <v>128</v>
      </c>
      <c r="E1658">
        <v>5</v>
      </c>
      <c r="H1658">
        <v>241</v>
      </c>
      <c r="I1658" t="s">
        <v>129</v>
      </c>
      <c r="J1658" t="s">
        <v>130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328"/>
        <v>06:16:57.156</v>
      </c>
      <c r="T1658" t="str">
        <f t="shared" si="329"/>
        <v>06:16:56.756</v>
      </c>
      <c r="U1658" t="str">
        <f t="shared" si="291"/>
        <v>A7E2E0</v>
      </c>
      <c r="V1658">
        <v>0</v>
      </c>
      <c r="W1658">
        <v>0</v>
      </c>
      <c r="X1658">
        <v>1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0</v>
      </c>
      <c r="AI1658" t="s">
        <v>1089</v>
      </c>
      <c r="AJ1658">
        <v>39.000864</v>
      </c>
      <c r="AK1658" t="s">
        <v>1090</v>
      </c>
      <c r="AL1658">
        <v>-87.570176000000004</v>
      </c>
      <c r="AM1658">
        <v>100</v>
      </c>
      <c r="AN1658">
        <v>2800</v>
      </c>
      <c r="AO1658" t="s">
        <v>118</v>
      </c>
      <c r="AP1658">
        <v>-93</v>
      </c>
      <c r="AQ1658">
        <v>-125</v>
      </c>
      <c r="AR1658">
        <v>0</v>
      </c>
      <c r="AZ1658">
        <v>4552</v>
      </c>
      <c r="BA1658">
        <v>1</v>
      </c>
      <c r="BB1658" t="str">
        <f t="shared" si="292"/>
        <v xml:space="preserve">N607SR  </v>
      </c>
      <c r="BC1658">
        <v>1</v>
      </c>
      <c r="BE1658">
        <v>0</v>
      </c>
      <c r="BF1658">
        <v>0</v>
      </c>
      <c r="BG1658">
        <v>0</v>
      </c>
      <c r="BH1658">
        <v>2600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 t="shared" si="330"/>
        <v>06:16:57.157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6</v>
      </c>
      <c r="CP1658" t="s">
        <v>119</v>
      </c>
      <c r="CQ1658">
        <v>465</v>
      </c>
      <c r="CR1658">
        <v>0</v>
      </c>
      <c r="CW1658">
        <v>4721981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 t="shared" si="327"/>
        <v>08/29/2020 06:16:53.946</v>
      </c>
      <c r="C1659" t="str">
        <f t="shared" si="290"/>
        <v>FFDFD3C0</v>
      </c>
      <c r="D1659" t="s">
        <v>939</v>
      </c>
      <c r="E1659">
        <v>10</v>
      </c>
      <c r="H1659">
        <v>79</v>
      </c>
      <c r="I1659" t="s">
        <v>940</v>
      </c>
      <c r="J1659" t="s">
        <v>130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328"/>
        <v>06:16:57.156</v>
      </c>
      <c r="T1659" t="str">
        <f t="shared" si="329"/>
        <v>06:16:56.756</v>
      </c>
      <c r="U1659" t="str">
        <f t="shared" si="291"/>
        <v>A7E2E0</v>
      </c>
      <c r="V1659">
        <v>0</v>
      </c>
      <c r="W1659">
        <v>0</v>
      </c>
      <c r="X1659">
        <v>1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0</v>
      </c>
      <c r="AI1659" t="s">
        <v>1089</v>
      </c>
      <c r="AJ1659">
        <v>39.000864</v>
      </c>
      <c r="AK1659" t="s">
        <v>1090</v>
      </c>
      <c r="AL1659">
        <v>-87.570176000000004</v>
      </c>
      <c r="AM1659">
        <v>100</v>
      </c>
      <c r="AN1659">
        <v>2800</v>
      </c>
      <c r="AO1659" t="s">
        <v>118</v>
      </c>
      <c r="AP1659">
        <v>-93</v>
      </c>
      <c r="AQ1659">
        <v>-125</v>
      </c>
      <c r="AR1659">
        <v>0</v>
      </c>
      <c r="AZ1659">
        <v>4552</v>
      </c>
      <c r="BA1659">
        <v>1</v>
      </c>
      <c r="BB1659" t="str">
        <f t="shared" si="292"/>
        <v xml:space="preserve">N607SR  </v>
      </c>
      <c r="BC1659">
        <v>1</v>
      </c>
      <c r="BE1659">
        <v>0</v>
      </c>
      <c r="BF1659">
        <v>0</v>
      </c>
      <c r="BG1659">
        <v>0</v>
      </c>
      <c r="BH1659">
        <v>2600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 t="shared" si="330"/>
        <v>06:16:57.157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6</v>
      </c>
      <c r="CP1659" t="s">
        <v>119</v>
      </c>
      <c r="CQ1659">
        <v>465</v>
      </c>
      <c r="CR1659">
        <v>0</v>
      </c>
      <c r="CW1659">
        <v>4721981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 t="shared" si="327"/>
        <v>08/29/2020 06:16:53.946</v>
      </c>
      <c r="C1660" t="str">
        <f t="shared" si="290"/>
        <v>FFDFD3C0</v>
      </c>
      <c r="D1660" t="s">
        <v>121</v>
      </c>
      <c r="E1660">
        <v>13</v>
      </c>
      <c r="F1660">
        <v>1013</v>
      </c>
      <c r="G1660" t="s">
        <v>122</v>
      </c>
      <c r="J1660" t="s">
        <v>123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328"/>
        <v>06:16:57.156</v>
      </c>
      <c r="T1660" t="str">
        <f t="shared" si="329"/>
        <v>06:16:56.756</v>
      </c>
      <c r="U1660" t="str">
        <f t="shared" si="291"/>
        <v>A7E2E0</v>
      </c>
      <c r="V1660">
        <v>0</v>
      </c>
      <c r="W1660">
        <v>0</v>
      </c>
      <c r="X1660">
        <v>1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0</v>
      </c>
      <c r="AI1660" t="s">
        <v>1089</v>
      </c>
      <c r="AJ1660">
        <v>39.000864</v>
      </c>
      <c r="AK1660" t="s">
        <v>1090</v>
      </c>
      <c r="AL1660">
        <v>-87.570176000000004</v>
      </c>
      <c r="AM1660">
        <v>100</v>
      </c>
      <c r="AN1660">
        <v>2800</v>
      </c>
      <c r="AO1660" t="s">
        <v>118</v>
      </c>
      <c r="AP1660">
        <v>-93</v>
      </c>
      <c r="AQ1660">
        <v>-125</v>
      </c>
      <c r="AR1660">
        <v>0</v>
      </c>
      <c r="AZ1660">
        <v>4552</v>
      </c>
      <c r="BA1660">
        <v>1</v>
      </c>
      <c r="BB1660" t="str">
        <f t="shared" si="292"/>
        <v xml:space="preserve">N607SR  </v>
      </c>
      <c r="BC1660">
        <v>1</v>
      </c>
      <c r="BE1660">
        <v>0</v>
      </c>
      <c r="BF1660">
        <v>0</v>
      </c>
      <c r="BG1660">
        <v>0</v>
      </c>
      <c r="BH1660">
        <v>2600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 t="shared" si="330"/>
        <v>06:16:57.157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6</v>
      </c>
      <c r="CP1660" t="s">
        <v>119</v>
      </c>
      <c r="CQ1660">
        <v>465</v>
      </c>
      <c r="CR1660">
        <v>0</v>
      </c>
      <c r="CW1660">
        <v>4721981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 t="shared" si="327"/>
        <v>08/29/2020 06:16:53.946</v>
      </c>
      <c r="C1661" t="str">
        <f t="shared" si="290"/>
        <v>FFDFD3C0</v>
      </c>
      <c r="D1661" t="s">
        <v>121</v>
      </c>
      <c r="E1661">
        <v>10</v>
      </c>
      <c r="F1661">
        <v>1010</v>
      </c>
      <c r="G1661" t="s">
        <v>114</v>
      </c>
      <c r="J1661" t="s">
        <v>123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328"/>
        <v>06:16:57.156</v>
      </c>
      <c r="T1661" t="str">
        <f t="shared" si="329"/>
        <v>06:16:56.756</v>
      </c>
      <c r="U1661" t="str">
        <f t="shared" si="291"/>
        <v>A7E2E0</v>
      </c>
      <c r="V1661">
        <v>0</v>
      </c>
      <c r="W1661">
        <v>0</v>
      </c>
      <c r="X1661">
        <v>1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0</v>
      </c>
      <c r="AI1661" t="s">
        <v>1089</v>
      </c>
      <c r="AJ1661">
        <v>39.000864</v>
      </c>
      <c r="AK1661" t="s">
        <v>1090</v>
      </c>
      <c r="AL1661">
        <v>-87.570176000000004</v>
      </c>
      <c r="AM1661">
        <v>100</v>
      </c>
      <c r="AN1661">
        <v>2800</v>
      </c>
      <c r="AO1661" t="s">
        <v>118</v>
      </c>
      <c r="AP1661">
        <v>-93</v>
      </c>
      <c r="AQ1661">
        <v>-125</v>
      </c>
      <c r="AR1661">
        <v>0</v>
      </c>
      <c r="AZ1661">
        <v>4552</v>
      </c>
      <c r="BA1661">
        <v>1</v>
      </c>
      <c r="BB1661" t="str">
        <f t="shared" si="292"/>
        <v xml:space="preserve">N607SR  </v>
      </c>
      <c r="BC1661">
        <v>1</v>
      </c>
      <c r="BE1661">
        <v>0</v>
      </c>
      <c r="BF1661">
        <v>0</v>
      </c>
      <c r="BG1661">
        <v>0</v>
      </c>
      <c r="BH1661">
        <v>2600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 t="shared" si="330"/>
        <v>06:16:57.157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6</v>
      </c>
      <c r="CP1661" t="s">
        <v>119</v>
      </c>
      <c r="CQ1661">
        <v>465</v>
      </c>
      <c r="CR1661">
        <v>0</v>
      </c>
      <c r="CW1661">
        <v>4721981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 t="shared" si="327"/>
        <v>08/29/2020 06:16:53.946</v>
      </c>
      <c r="C1662" t="str">
        <f t="shared" si="290"/>
        <v>FFDFD3C0</v>
      </c>
      <c r="D1662" t="s">
        <v>121</v>
      </c>
      <c r="E1662">
        <v>11</v>
      </c>
      <c r="F1662">
        <v>1011</v>
      </c>
      <c r="G1662" t="s">
        <v>125</v>
      </c>
      <c r="J1662" t="s">
        <v>123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328"/>
        <v>06:16:57.156</v>
      </c>
      <c r="T1662" t="str">
        <f t="shared" si="329"/>
        <v>06:16:56.756</v>
      </c>
      <c r="U1662" t="str">
        <f t="shared" si="291"/>
        <v>A7E2E0</v>
      </c>
      <c r="V1662">
        <v>0</v>
      </c>
      <c r="W1662">
        <v>0</v>
      </c>
      <c r="X1662">
        <v>1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0</v>
      </c>
      <c r="AI1662" t="s">
        <v>1089</v>
      </c>
      <c r="AJ1662">
        <v>39.000864</v>
      </c>
      <c r="AK1662" t="s">
        <v>1090</v>
      </c>
      <c r="AL1662">
        <v>-87.570176000000004</v>
      </c>
      <c r="AM1662">
        <v>100</v>
      </c>
      <c r="AN1662">
        <v>2800</v>
      </c>
      <c r="AO1662" t="s">
        <v>118</v>
      </c>
      <c r="AP1662">
        <v>-93</v>
      </c>
      <c r="AQ1662">
        <v>-125</v>
      </c>
      <c r="AR1662">
        <v>0</v>
      </c>
      <c r="AZ1662">
        <v>4552</v>
      </c>
      <c r="BA1662">
        <v>1</v>
      </c>
      <c r="BB1662" t="str">
        <f t="shared" si="292"/>
        <v xml:space="preserve">N607SR  </v>
      </c>
      <c r="BC1662">
        <v>1</v>
      </c>
      <c r="BE1662">
        <v>0</v>
      </c>
      <c r="BF1662">
        <v>0</v>
      </c>
      <c r="BG1662">
        <v>0</v>
      </c>
      <c r="BH1662">
        <v>2600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 t="shared" si="330"/>
        <v>06:16:57.157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457</v>
      </c>
      <c r="CR1662">
        <v>0</v>
      </c>
      <c r="CW1662">
        <v>15517741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 t="shared" ref="A1663:A1668" si="331">"08/29/2020 06:16:54.959"</f>
        <v>08/29/2020 06:16:54.959</v>
      </c>
      <c r="C1663" t="str">
        <f t="shared" si="290"/>
        <v>FFDFD3C0</v>
      </c>
      <c r="D1663" t="s">
        <v>113</v>
      </c>
      <c r="E1663">
        <v>5</v>
      </c>
      <c r="H1663">
        <v>163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ref="S1663:S1668" si="332">"06:16:58.195"</f>
        <v>06:16:58.195</v>
      </c>
      <c r="U1663" t="str">
        <f t="shared" si="291"/>
        <v>A7E2E0</v>
      </c>
      <c r="V1663">
        <v>0</v>
      </c>
      <c r="W1663">
        <v>0</v>
      </c>
      <c r="X1663">
        <v>1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0</v>
      </c>
      <c r="AI1663" t="s">
        <v>1091</v>
      </c>
      <c r="AJ1663">
        <v>39.000328000000003</v>
      </c>
      <c r="AK1663" t="s">
        <v>1092</v>
      </c>
      <c r="AL1663">
        <v>-87.570712999999998</v>
      </c>
      <c r="AM1663">
        <v>100</v>
      </c>
      <c r="AN1663">
        <v>2800</v>
      </c>
      <c r="AO1663" t="s">
        <v>118</v>
      </c>
      <c r="AP1663">
        <v>-93</v>
      </c>
      <c r="AQ1663">
        <v>-125</v>
      </c>
      <c r="AR1663">
        <v>0</v>
      </c>
      <c r="AZ1663">
        <v>4552</v>
      </c>
      <c r="BA1663">
        <v>1</v>
      </c>
      <c r="BB1663" t="str">
        <f t="shared" si="292"/>
        <v xml:space="preserve">N607SR  </v>
      </c>
      <c r="BC1663">
        <v>1</v>
      </c>
      <c r="BE1663">
        <v>0</v>
      </c>
      <c r="BF1663">
        <v>0</v>
      </c>
      <c r="BG1663">
        <v>0</v>
      </c>
      <c r="BH1663">
        <v>2600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 t="shared" ref="BW1663:BW1668" si="333">"06:16:58.201"</f>
        <v>06:16:58.201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465</v>
      </c>
      <c r="CR1663">
        <v>0</v>
      </c>
      <c r="CW1663">
        <v>4722012</v>
      </c>
      <c r="CY1663">
        <v>1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 t="shared" si="331"/>
        <v>08/29/2020 06:16:54.959</v>
      </c>
      <c r="C1664" t="str">
        <f t="shared" si="290"/>
        <v>FFDFD3C0</v>
      </c>
      <c r="D1664" t="s">
        <v>128</v>
      </c>
      <c r="E1664">
        <v>5</v>
      </c>
      <c r="H1664">
        <v>241</v>
      </c>
      <c r="I1664" t="s">
        <v>129</v>
      </c>
      <c r="J1664" t="s">
        <v>130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332"/>
        <v>06:16:58.195</v>
      </c>
      <c r="U1664" t="str">
        <f t="shared" si="291"/>
        <v>A7E2E0</v>
      </c>
      <c r="V1664">
        <v>0</v>
      </c>
      <c r="W1664">
        <v>0</v>
      </c>
      <c r="X1664">
        <v>1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0</v>
      </c>
      <c r="AI1664" t="s">
        <v>1091</v>
      </c>
      <c r="AJ1664">
        <v>39.000328000000003</v>
      </c>
      <c r="AK1664" t="s">
        <v>1092</v>
      </c>
      <c r="AL1664">
        <v>-87.570712999999998</v>
      </c>
      <c r="AM1664">
        <v>100</v>
      </c>
      <c r="AN1664">
        <v>2800</v>
      </c>
      <c r="AO1664" t="s">
        <v>118</v>
      </c>
      <c r="AP1664">
        <v>-93</v>
      </c>
      <c r="AQ1664">
        <v>-125</v>
      </c>
      <c r="AR1664">
        <v>0</v>
      </c>
      <c r="AZ1664">
        <v>4552</v>
      </c>
      <c r="BA1664">
        <v>1</v>
      </c>
      <c r="BB1664" t="str">
        <f t="shared" si="292"/>
        <v xml:space="preserve">N607SR  </v>
      </c>
      <c r="BC1664">
        <v>1</v>
      </c>
      <c r="BE1664">
        <v>0</v>
      </c>
      <c r="BF1664">
        <v>0</v>
      </c>
      <c r="BG1664">
        <v>0</v>
      </c>
      <c r="BH1664">
        <v>2600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 t="shared" si="333"/>
        <v>06:16:58.201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465</v>
      </c>
      <c r="CR1664">
        <v>0</v>
      </c>
      <c r="CW1664">
        <v>4722012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 t="shared" si="331"/>
        <v>08/29/2020 06:16:54.959</v>
      </c>
      <c r="C1665" t="str">
        <f t="shared" si="290"/>
        <v>FFDFD3C0</v>
      </c>
      <c r="D1665" t="s">
        <v>939</v>
      </c>
      <c r="E1665">
        <v>10</v>
      </c>
      <c r="H1665">
        <v>79</v>
      </c>
      <c r="I1665" t="s">
        <v>940</v>
      </c>
      <c r="J1665" t="s">
        <v>130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332"/>
        <v>06:16:58.195</v>
      </c>
      <c r="U1665" t="str">
        <f t="shared" si="291"/>
        <v>A7E2E0</v>
      </c>
      <c r="V1665">
        <v>0</v>
      </c>
      <c r="W1665">
        <v>0</v>
      </c>
      <c r="X1665">
        <v>1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0</v>
      </c>
      <c r="AI1665" t="s">
        <v>1091</v>
      </c>
      <c r="AJ1665">
        <v>39.000328000000003</v>
      </c>
      <c r="AK1665" t="s">
        <v>1092</v>
      </c>
      <c r="AL1665">
        <v>-87.570712999999998</v>
      </c>
      <c r="AM1665">
        <v>100</v>
      </c>
      <c r="AN1665">
        <v>2800</v>
      </c>
      <c r="AO1665" t="s">
        <v>118</v>
      </c>
      <c r="AP1665">
        <v>-93</v>
      </c>
      <c r="AQ1665">
        <v>-125</v>
      </c>
      <c r="AR1665">
        <v>0</v>
      </c>
      <c r="AZ1665">
        <v>4552</v>
      </c>
      <c r="BA1665">
        <v>1</v>
      </c>
      <c r="BB1665" t="str">
        <f t="shared" si="292"/>
        <v xml:space="preserve">N607SR  </v>
      </c>
      <c r="BC1665">
        <v>1</v>
      </c>
      <c r="BE1665">
        <v>0</v>
      </c>
      <c r="BF1665">
        <v>0</v>
      </c>
      <c r="BG1665">
        <v>0</v>
      </c>
      <c r="BH1665">
        <v>2600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 t="shared" si="333"/>
        <v>06:16:58.201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465</v>
      </c>
      <c r="CR1665">
        <v>0</v>
      </c>
      <c r="CW1665">
        <v>4722012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 t="shared" si="331"/>
        <v>08/29/2020 06:16:54.959</v>
      </c>
      <c r="C1666" t="str">
        <f t="shared" ref="C1666:C1729" si="334">"FFDFD3C0"</f>
        <v>FFDFD3C0</v>
      </c>
      <c r="D1666" t="s">
        <v>121</v>
      </c>
      <c r="E1666">
        <v>10</v>
      </c>
      <c r="F1666">
        <v>1010</v>
      </c>
      <c r="G1666" t="s">
        <v>114</v>
      </c>
      <c r="J1666" t="s">
        <v>123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332"/>
        <v>06:16:58.195</v>
      </c>
      <c r="U1666" t="str">
        <f t="shared" ref="U1666:U1729" si="335">"A7E2E0"</f>
        <v>A7E2E0</v>
      </c>
      <c r="V1666">
        <v>0</v>
      </c>
      <c r="W1666">
        <v>0</v>
      </c>
      <c r="X1666">
        <v>1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0</v>
      </c>
      <c r="AI1666" t="s">
        <v>1091</v>
      </c>
      <c r="AJ1666">
        <v>39.000328000000003</v>
      </c>
      <c r="AK1666" t="s">
        <v>1092</v>
      </c>
      <c r="AL1666">
        <v>-87.570712999999998</v>
      </c>
      <c r="AM1666">
        <v>100</v>
      </c>
      <c r="AN1666">
        <v>2800</v>
      </c>
      <c r="AO1666" t="s">
        <v>118</v>
      </c>
      <c r="AP1666">
        <v>-93</v>
      </c>
      <c r="AQ1666">
        <v>-125</v>
      </c>
      <c r="AR1666">
        <v>0</v>
      </c>
      <c r="AZ1666">
        <v>4552</v>
      </c>
      <c r="BA1666">
        <v>1</v>
      </c>
      <c r="BB1666" t="str">
        <f t="shared" ref="BB1666:BB1729" si="336">"N607SR  "</f>
        <v xml:space="preserve">N607SR  </v>
      </c>
      <c r="BC1666">
        <v>1</v>
      </c>
      <c r="BE1666">
        <v>0</v>
      </c>
      <c r="BF1666">
        <v>0</v>
      </c>
      <c r="BG1666">
        <v>0</v>
      </c>
      <c r="BH1666">
        <v>2600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 t="shared" si="333"/>
        <v>06:16:58.201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465</v>
      </c>
      <c r="CR1666">
        <v>0</v>
      </c>
      <c r="CW1666">
        <v>4722012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 t="shared" si="331"/>
        <v>08/29/2020 06:16:54.959</v>
      </c>
      <c r="C1667" t="str">
        <f t="shared" si="334"/>
        <v>FFDFD3C0</v>
      </c>
      <c r="D1667" t="s">
        <v>121</v>
      </c>
      <c r="E1667">
        <v>13</v>
      </c>
      <c r="F1667">
        <v>1013</v>
      </c>
      <c r="G1667" t="s">
        <v>122</v>
      </c>
      <c r="J1667" t="s">
        <v>123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332"/>
        <v>06:16:58.195</v>
      </c>
      <c r="U1667" t="str">
        <f t="shared" si="335"/>
        <v>A7E2E0</v>
      </c>
      <c r="V1667">
        <v>0</v>
      </c>
      <c r="W1667">
        <v>0</v>
      </c>
      <c r="X1667">
        <v>1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0</v>
      </c>
      <c r="AI1667" t="s">
        <v>1091</v>
      </c>
      <c r="AJ1667">
        <v>39.000328000000003</v>
      </c>
      <c r="AK1667" t="s">
        <v>1092</v>
      </c>
      <c r="AL1667">
        <v>-87.570712999999998</v>
      </c>
      <c r="AM1667">
        <v>100</v>
      </c>
      <c r="AN1667">
        <v>2800</v>
      </c>
      <c r="AO1667" t="s">
        <v>118</v>
      </c>
      <c r="AP1667">
        <v>-93</v>
      </c>
      <c r="AQ1667">
        <v>-125</v>
      </c>
      <c r="AR1667">
        <v>0</v>
      </c>
      <c r="AZ1667">
        <v>4552</v>
      </c>
      <c r="BA1667">
        <v>1</v>
      </c>
      <c r="BB1667" t="str">
        <f t="shared" si="336"/>
        <v xml:space="preserve">N607SR  </v>
      </c>
      <c r="BC1667">
        <v>1</v>
      </c>
      <c r="BE1667">
        <v>0</v>
      </c>
      <c r="BF1667">
        <v>0</v>
      </c>
      <c r="BG1667">
        <v>0</v>
      </c>
      <c r="BH1667">
        <v>2600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 t="shared" si="333"/>
        <v>06:16:58.201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465</v>
      </c>
      <c r="CR1667">
        <v>0</v>
      </c>
      <c r="CW1667">
        <v>4722012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 t="shared" si="331"/>
        <v>08/29/2020 06:16:54.959</v>
      </c>
      <c r="C1668" t="str">
        <f t="shared" si="334"/>
        <v>FFDFD3C0</v>
      </c>
      <c r="D1668" t="s">
        <v>121</v>
      </c>
      <c r="E1668">
        <v>11</v>
      </c>
      <c r="F1668">
        <v>1011</v>
      </c>
      <c r="G1668" t="s">
        <v>125</v>
      </c>
      <c r="J1668" t="s">
        <v>123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332"/>
        <v>06:16:58.195</v>
      </c>
      <c r="T1668" t="str">
        <f>"06:16:57.695"</f>
        <v>06:16:57.695</v>
      </c>
      <c r="U1668" t="str">
        <f t="shared" si="335"/>
        <v>A7E2E0</v>
      </c>
      <c r="V1668">
        <v>0</v>
      </c>
      <c r="W1668">
        <v>0</v>
      </c>
      <c r="X1668">
        <v>1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0</v>
      </c>
      <c r="AI1668" t="s">
        <v>1091</v>
      </c>
      <c r="AJ1668">
        <v>39.000328000000003</v>
      </c>
      <c r="AK1668" t="s">
        <v>1092</v>
      </c>
      <c r="AL1668">
        <v>-87.570712999999998</v>
      </c>
      <c r="AM1668">
        <v>100</v>
      </c>
      <c r="AN1668">
        <v>2800</v>
      </c>
      <c r="AO1668" t="s">
        <v>118</v>
      </c>
      <c r="AP1668">
        <v>-93</v>
      </c>
      <c r="AQ1668">
        <v>-125</v>
      </c>
      <c r="AR1668">
        <v>0</v>
      </c>
      <c r="AZ1668">
        <v>4552</v>
      </c>
      <c r="BA1668">
        <v>1</v>
      </c>
      <c r="BB1668" t="str">
        <f t="shared" si="336"/>
        <v xml:space="preserve">N607SR  </v>
      </c>
      <c r="BC1668">
        <v>1</v>
      </c>
      <c r="BE1668">
        <v>0</v>
      </c>
      <c r="BF1668">
        <v>0</v>
      </c>
      <c r="BG1668">
        <v>0</v>
      </c>
      <c r="BH1668">
        <v>2600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 t="shared" si="333"/>
        <v>06:16:58.201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457</v>
      </c>
      <c r="CR1668">
        <v>0</v>
      </c>
      <c r="CW1668">
        <v>15517763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 t="shared" ref="A1669:A1674" si="337">"08/29/2020 06:16:55.999"</f>
        <v>08/29/2020 06:16:55.999</v>
      </c>
      <c r="C1669" t="str">
        <f t="shared" si="334"/>
        <v>FFDFD3C0</v>
      </c>
      <c r="D1669" t="s">
        <v>121</v>
      </c>
      <c r="E1669">
        <v>13</v>
      </c>
      <c r="F1669">
        <v>1013</v>
      </c>
      <c r="G1669" t="s">
        <v>122</v>
      </c>
      <c r="J1669" t="s">
        <v>123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ref="S1669:S1674" si="338">"06:16:59.211"</f>
        <v>06:16:59.211</v>
      </c>
      <c r="T1669" t="str">
        <f t="shared" ref="T1669:T1674" si="339">"06:16:58.711"</f>
        <v>06:16:58.711</v>
      </c>
      <c r="U1669" t="str">
        <f t="shared" si="335"/>
        <v>A7E2E0</v>
      </c>
      <c r="V1669">
        <v>0</v>
      </c>
      <c r="W1669">
        <v>0</v>
      </c>
      <c r="X1669">
        <v>1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0</v>
      </c>
      <c r="AI1669" t="s">
        <v>1093</v>
      </c>
      <c r="AJ1669">
        <v>38.999640999999997</v>
      </c>
      <c r="AK1669" t="s">
        <v>1094</v>
      </c>
      <c r="AL1669">
        <v>-87.571355999999994</v>
      </c>
      <c r="AM1669">
        <v>100</v>
      </c>
      <c r="AN1669">
        <v>2800</v>
      </c>
      <c r="AO1669" t="s">
        <v>118</v>
      </c>
      <c r="AP1669">
        <v>-93</v>
      </c>
      <c r="AQ1669">
        <v>-125</v>
      </c>
      <c r="AR1669">
        <v>0</v>
      </c>
      <c r="AZ1669">
        <v>4552</v>
      </c>
      <c r="BA1669">
        <v>1</v>
      </c>
      <c r="BB1669" t="str">
        <f t="shared" si="336"/>
        <v xml:space="preserve">N607SR  </v>
      </c>
      <c r="BC1669">
        <v>1</v>
      </c>
      <c r="BE1669">
        <v>0</v>
      </c>
      <c r="BF1669">
        <v>0</v>
      </c>
      <c r="BG1669">
        <v>0</v>
      </c>
      <c r="BH1669">
        <v>2600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 t="shared" ref="BW1669:BW1674" si="340">"06:16:59.212"</f>
        <v>06:16:59.212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6</v>
      </c>
      <c r="CP1669" t="s">
        <v>119</v>
      </c>
      <c r="CQ1669">
        <v>465</v>
      </c>
      <c r="CR1669">
        <v>0</v>
      </c>
      <c r="CW1669">
        <v>4722046</v>
      </c>
      <c r="CY1669">
        <v>1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 t="shared" si="337"/>
        <v>08/29/2020 06:16:55.999</v>
      </c>
      <c r="C1670" t="str">
        <f t="shared" si="334"/>
        <v>FFDFD3C0</v>
      </c>
      <c r="D1670" t="s">
        <v>121</v>
      </c>
      <c r="E1670">
        <v>10</v>
      </c>
      <c r="F1670">
        <v>1010</v>
      </c>
      <c r="G1670" t="s">
        <v>114</v>
      </c>
      <c r="J1670" t="s">
        <v>123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338"/>
        <v>06:16:59.211</v>
      </c>
      <c r="T1670" t="str">
        <f t="shared" si="339"/>
        <v>06:16:58.711</v>
      </c>
      <c r="U1670" t="str">
        <f t="shared" si="335"/>
        <v>A7E2E0</v>
      </c>
      <c r="V1670">
        <v>0</v>
      </c>
      <c r="W1670">
        <v>0</v>
      </c>
      <c r="X1670">
        <v>1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0</v>
      </c>
      <c r="AI1670" t="s">
        <v>1093</v>
      </c>
      <c r="AJ1670">
        <v>38.999640999999997</v>
      </c>
      <c r="AK1670" t="s">
        <v>1094</v>
      </c>
      <c r="AL1670">
        <v>-87.571355999999994</v>
      </c>
      <c r="AM1670">
        <v>100</v>
      </c>
      <c r="AN1670">
        <v>2800</v>
      </c>
      <c r="AO1670" t="s">
        <v>118</v>
      </c>
      <c r="AP1670">
        <v>-93</v>
      </c>
      <c r="AQ1670">
        <v>-125</v>
      </c>
      <c r="AR1670">
        <v>0</v>
      </c>
      <c r="AZ1670">
        <v>4552</v>
      </c>
      <c r="BA1670">
        <v>1</v>
      </c>
      <c r="BB1670" t="str">
        <f t="shared" si="336"/>
        <v xml:space="preserve">N607SR  </v>
      </c>
      <c r="BC1670">
        <v>1</v>
      </c>
      <c r="BE1670">
        <v>0</v>
      </c>
      <c r="BF1670">
        <v>0</v>
      </c>
      <c r="BG1670">
        <v>0</v>
      </c>
      <c r="BH1670">
        <v>2600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 t="shared" si="340"/>
        <v>06:16:59.212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6</v>
      </c>
      <c r="CP1670" t="s">
        <v>119</v>
      </c>
      <c r="CQ1670">
        <v>465</v>
      </c>
      <c r="CR1670">
        <v>0</v>
      </c>
      <c r="CW1670">
        <v>4722046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 t="shared" si="337"/>
        <v>08/29/2020 06:16:55.999</v>
      </c>
      <c r="C1671" t="str">
        <f t="shared" si="334"/>
        <v>FFDFD3C0</v>
      </c>
      <c r="D1671" t="s">
        <v>121</v>
      </c>
      <c r="E1671">
        <v>11</v>
      </c>
      <c r="F1671">
        <v>1011</v>
      </c>
      <c r="G1671" t="s">
        <v>125</v>
      </c>
      <c r="J1671" t="s">
        <v>123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338"/>
        <v>06:16:59.211</v>
      </c>
      <c r="T1671" t="str">
        <f t="shared" si="339"/>
        <v>06:16:58.711</v>
      </c>
      <c r="U1671" t="str">
        <f t="shared" si="335"/>
        <v>A7E2E0</v>
      </c>
      <c r="V1671">
        <v>0</v>
      </c>
      <c r="W1671">
        <v>0</v>
      </c>
      <c r="X1671">
        <v>1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0</v>
      </c>
      <c r="AI1671" t="s">
        <v>1093</v>
      </c>
      <c r="AJ1671">
        <v>38.999640999999997</v>
      </c>
      <c r="AK1671" t="s">
        <v>1094</v>
      </c>
      <c r="AL1671">
        <v>-87.571355999999994</v>
      </c>
      <c r="AM1671">
        <v>100</v>
      </c>
      <c r="AN1671">
        <v>2800</v>
      </c>
      <c r="AO1671" t="s">
        <v>118</v>
      </c>
      <c r="AP1671">
        <v>-93</v>
      </c>
      <c r="AQ1671">
        <v>-125</v>
      </c>
      <c r="AR1671">
        <v>0</v>
      </c>
      <c r="AZ1671">
        <v>4552</v>
      </c>
      <c r="BA1671">
        <v>1</v>
      </c>
      <c r="BB1671" t="str">
        <f t="shared" si="336"/>
        <v xml:space="preserve">N607SR  </v>
      </c>
      <c r="BC1671">
        <v>1</v>
      </c>
      <c r="BE1671">
        <v>0</v>
      </c>
      <c r="BF1671">
        <v>0</v>
      </c>
      <c r="BG1671">
        <v>0</v>
      </c>
      <c r="BH1671">
        <v>2600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 t="shared" si="340"/>
        <v>06:16:59.212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6</v>
      </c>
      <c r="CP1671" t="s">
        <v>119</v>
      </c>
      <c r="CQ1671">
        <v>457</v>
      </c>
      <c r="CR1671">
        <v>0</v>
      </c>
      <c r="CW1671">
        <v>15517787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 t="shared" si="337"/>
        <v>08/29/2020 06:16:55.999</v>
      </c>
      <c r="C1672" t="str">
        <f t="shared" si="334"/>
        <v>FFDFD3C0</v>
      </c>
      <c r="D1672" t="s">
        <v>939</v>
      </c>
      <c r="E1672">
        <v>10</v>
      </c>
      <c r="H1672">
        <v>79</v>
      </c>
      <c r="I1672" t="s">
        <v>940</v>
      </c>
      <c r="J1672" t="s">
        <v>130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338"/>
        <v>06:16:59.211</v>
      </c>
      <c r="T1672" t="str">
        <f t="shared" si="339"/>
        <v>06:16:58.711</v>
      </c>
      <c r="U1672" t="str">
        <f t="shared" si="335"/>
        <v>A7E2E0</v>
      </c>
      <c r="V1672">
        <v>0</v>
      </c>
      <c r="W1672">
        <v>0</v>
      </c>
      <c r="X1672">
        <v>1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0</v>
      </c>
      <c r="AI1672" t="s">
        <v>1093</v>
      </c>
      <c r="AJ1672">
        <v>38.999640999999997</v>
      </c>
      <c r="AK1672" t="s">
        <v>1094</v>
      </c>
      <c r="AL1672">
        <v>-87.571355999999994</v>
      </c>
      <c r="AM1672">
        <v>100</v>
      </c>
      <c r="AN1672">
        <v>2800</v>
      </c>
      <c r="AO1672" t="s">
        <v>118</v>
      </c>
      <c r="AP1672">
        <v>-93</v>
      </c>
      <c r="AQ1672">
        <v>-125</v>
      </c>
      <c r="AR1672">
        <v>0</v>
      </c>
      <c r="AZ1672">
        <v>4552</v>
      </c>
      <c r="BA1672">
        <v>1</v>
      </c>
      <c r="BB1672" t="str">
        <f t="shared" si="336"/>
        <v xml:space="preserve">N607SR  </v>
      </c>
      <c r="BC1672">
        <v>1</v>
      </c>
      <c r="BE1672">
        <v>0</v>
      </c>
      <c r="BF1672">
        <v>0</v>
      </c>
      <c r="BG1672">
        <v>0</v>
      </c>
      <c r="BH1672">
        <v>2600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 t="shared" si="340"/>
        <v>06:16:59.212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6</v>
      </c>
      <c r="CP1672" t="s">
        <v>119</v>
      </c>
      <c r="CQ1672">
        <v>465</v>
      </c>
      <c r="CR1672">
        <v>0</v>
      </c>
      <c r="CW1672">
        <v>4722046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 t="shared" si="337"/>
        <v>08/29/2020 06:16:55.999</v>
      </c>
      <c r="C1673" t="str">
        <f t="shared" si="334"/>
        <v>FFDFD3C0</v>
      </c>
      <c r="D1673" t="s">
        <v>113</v>
      </c>
      <c r="E1673">
        <v>5</v>
      </c>
      <c r="H1673">
        <v>163</v>
      </c>
      <c r="I1673" t="s">
        <v>114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338"/>
        <v>06:16:59.211</v>
      </c>
      <c r="T1673" t="str">
        <f t="shared" si="339"/>
        <v>06:16:58.711</v>
      </c>
      <c r="U1673" t="str">
        <f t="shared" si="335"/>
        <v>A7E2E0</v>
      </c>
      <c r="V1673">
        <v>0</v>
      </c>
      <c r="W1673">
        <v>0</v>
      </c>
      <c r="X1673">
        <v>1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0</v>
      </c>
      <c r="AI1673" t="s">
        <v>1093</v>
      </c>
      <c r="AJ1673">
        <v>38.999640999999997</v>
      </c>
      <c r="AK1673" t="s">
        <v>1094</v>
      </c>
      <c r="AL1673">
        <v>-87.571355999999994</v>
      </c>
      <c r="AM1673">
        <v>100</v>
      </c>
      <c r="AN1673">
        <v>2800</v>
      </c>
      <c r="AO1673" t="s">
        <v>118</v>
      </c>
      <c r="AP1673">
        <v>-93</v>
      </c>
      <c r="AQ1673">
        <v>-125</v>
      </c>
      <c r="AR1673">
        <v>0</v>
      </c>
      <c r="AZ1673">
        <v>4552</v>
      </c>
      <c r="BA1673">
        <v>1</v>
      </c>
      <c r="BB1673" t="str">
        <f t="shared" si="336"/>
        <v xml:space="preserve">N607SR  </v>
      </c>
      <c r="BC1673">
        <v>1</v>
      </c>
      <c r="BE1673">
        <v>0</v>
      </c>
      <c r="BF1673">
        <v>0</v>
      </c>
      <c r="BG1673">
        <v>0</v>
      </c>
      <c r="BH1673">
        <v>2600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 t="shared" si="340"/>
        <v>06:16:59.212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6</v>
      </c>
      <c r="CP1673" t="s">
        <v>119</v>
      </c>
      <c r="CQ1673">
        <v>465</v>
      </c>
      <c r="CR1673">
        <v>0</v>
      </c>
      <c r="CW1673">
        <v>4722046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 t="shared" si="337"/>
        <v>08/29/2020 06:16:55.999</v>
      </c>
      <c r="C1674" t="str">
        <f t="shared" si="334"/>
        <v>FFDFD3C0</v>
      </c>
      <c r="D1674" t="s">
        <v>128</v>
      </c>
      <c r="E1674">
        <v>5</v>
      </c>
      <c r="H1674">
        <v>241</v>
      </c>
      <c r="I1674" t="s">
        <v>129</v>
      </c>
      <c r="J1674" t="s">
        <v>130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338"/>
        <v>06:16:59.211</v>
      </c>
      <c r="T1674" t="str">
        <f t="shared" si="339"/>
        <v>06:16:58.711</v>
      </c>
      <c r="U1674" t="str">
        <f t="shared" si="335"/>
        <v>A7E2E0</v>
      </c>
      <c r="V1674">
        <v>0</v>
      </c>
      <c r="W1674">
        <v>0</v>
      </c>
      <c r="X1674">
        <v>1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0</v>
      </c>
      <c r="AI1674" t="s">
        <v>1093</v>
      </c>
      <c r="AJ1674">
        <v>38.999640999999997</v>
      </c>
      <c r="AK1674" t="s">
        <v>1094</v>
      </c>
      <c r="AL1674">
        <v>-87.571355999999994</v>
      </c>
      <c r="AM1674">
        <v>100</v>
      </c>
      <c r="AN1674">
        <v>2800</v>
      </c>
      <c r="AO1674" t="s">
        <v>118</v>
      </c>
      <c r="AP1674">
        <v>-93</v>
      </c>
      <c r="AQ1674">
        <v>-125</v>
      </c>
      <c r="AR1674">
        <v>0</v>
      </c>
      <c r="AZ1674">
        <v>4552</v>
      </c>
      <c r="BA1674">
        <v>1</v>
      </c>
      <c r="BB1674" t="str">
        <f t="shared" si="336"/>
        <v xml:space="preserve">N607SR  </v>
      </c>
      <c r="BC1674">
        <v>1</v>
      </c>
      <c r="BE1674">
        <v>0</v>
      </c>
      <c r="BF1674">
        <v>0</v>
      </c>
      <c r="BG1674">
        <v>0</v>
      </c>
      <c r="BH1674">
        <v>2600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 t="shared" si="340"/>
        <v>06:16:59.212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6</v>
      </c>
      <c r="CP1674" t="s">
        <v>119</v>
      </c>
      <c r="CQ1674">
        <v>465</v>
      </c>
      <c r="CR1674">
        <v>0</v>
      </c>
      <c r="CW1674">
        <v>4722046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 t="shared" ref="A1675:A1680" si="341">"08/29/2020 06:16:56.960"</f>
        <v>08/29/2020 06:16:56.960</v>
      </c>
      <c r="C1675" t="str">
        <f t="shared" si="334"/>
        <v>FFDFD3C0</v>
      </c>
      <c r="D1675" t="s">
        <v>121</v>
      </c>
      <c r="E1675">
        <v>10</v>
      </c>
      <c r="F1675">
        <v>1010</v>
      </c>
      <c r="G1675" t="s">
        <v>114</v>
      </c>
      <c r="J1675" t="s">
        <v>123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ref="S1675:S1680" si="342">"06:17:00.195"</f>
        <v>06:17:00.195</v>
      </c>
      <c r="U1675" t="str">
        <f t="shared" si="335"/>
        <v>A7E2E0</v>
      </c>
      <c r="V1675">
        <v>0</v>
      </c>
      <c r="W1675">
        <v>0</v>
      </c>
      <c r="X1675">
        <v>1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0</v>
      </c>
      <c r="AI1675" t="s">
        <v>1095</v>
      </c>
      <c r="AJ1675">
        <v>38.999125999999997</v>
      </c>
      <c r="AK1675" t="s">
        <v>1096</v>
      </c>
      <c r="AL1675">
        <v>-87.571849999999998</v>
      </c>
      <c r="AM1675">
        <v>100</v>
      </c>
      <c r="AN1675">
        <v>2800</v>
      </c>
      <c r="AO1675" t="s">
        <v>118</v>
      </c>
      <c r="AP1675">
        <v>-93</v>
      </c>
      <c r="AQ1675">
        <v>-124</v>
      </c>
      <c r="AR1675">
        <v>0</v>
      </c>
      <c r="AZ1675">
        <v>4552</v>
      </c>
      <c r="BA1675">
        <v>1</v>
      </c>
      <c r="BB1675" t="str">
        <f t="shared" si="336"/>
        <v xml:space="preserve">N607SR  </v>
      </c>
      <c r="BC1675">
        <v>1</v>
      </c>
      <c r="BE1675">
        <v>0</v>
      </c>
      <c r="BF1675">
        <v>0</v>
      </c>
      <c r="BG1675">
        <v>0</v>
      </c>
      <c r="BH1675">
        <v>2600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"06:17:00.202"</f>
        <v>06:17:00.202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6</v>
      </c>
      <c r="CP1675" t="s">
        <v>119</v>
      </c>
      <c r="CQ1675">
        <v>465</v>
      </c>
      <c r="CR1675">
        <v>0</v>
      </c>
      <c r="CW1675">
        <v>4722078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 t="shared" si="341"/>
        <v>08/29/2020 06:16:56.960</v>
      </c>
      <c r="C1676" t="str">
        <f t="shared" si="334"/>
        <v>FFDFD3C0</v>
      </c>
      <c r="D1676" t="s">
        <v>121</v>
      </c>
      <c r="E1676">
        <v>11</v>
      </c>
      <c r="F1676">
        <v>1011</v>
      </c>
      <c r="G1676" t="s">
        <v>125</v>
      </c>
      <c r="J1676" t="s">
        <v>123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342"/>
        <v>06:17:00.195</v>
      </c>
      <c r="T1676" t="str">
        <f>"06:16:59.795"</f>
        <v>06:16:59.795</v>
      </c>
      <c r="U1676" t="str">
        <f t="shared" si="335"/>
        <v>A7E2E0</v>
      </c>
      <c r="V1676">
        <v>0</v>
      </c>
      <c r="W1676">
        <v>0</v>
      </c>
      <c r="X1676">
        <v>1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0</v>
      </c>
      <c r="AI1676" t="s">
        <v>1095</v>
      </c>
      <c r="AJ1676">
        <v>38.999125999999997</v>
      </c>
      <c r="AK1676" t="s">
        <v>1096</v>
      </c>
      <c r="AL1676">
        <v>-87.571849999999998</v>
      </c>
      <c r="AM1676">
        <v>100</v>
      </c>
      <c r="AN1676">
        <v>2800</v>
      </c>
      <c r="AO1676" t="s">
        <v>118</v>
      </c>
      <c r="AP1676">
        <v>-93</v>
      </c>
      <c r="AQ1676">
        <v>-124</v>
      </c>
      <c r="AR1676">
        <v>0</v>
      </c>
      <c r="AZ1676">
        <v>4552</v>
      </c>
      <c r="BA1676">
        <v>1</v>
      </c>
      <c r="BB1676" t="str">
        <f t="shared" si="336"/>
        <v xml:space="preserve">N607SR  </v>
      </c>
      <c r="BC1676">
        <v>1</v>
      </c>
      <c r="BE1676">
        <v>0</v>
      </c>
      <c r="BF1676">
        <v>0</v>
      </c>
      <c r="BG1676">
        <v>0</v>
      </c>
      <c r="BH1676">
        <v>2600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"06:17:00.201"</f>
        <v>06:17:00.201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6</v>
      </c>
      <c r="CP1676" t="s">
        <v>119</v>
      </c>
      <c r="CQ1676">
        <v>457</v>
      </c>
      <c r="CR1676">
        <v>0</v>
      </c>
      <c r="CW1676">
        <v>15517813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 t="shared" si="341"/>
        <v>08/29/2020 06:16:56.960</v>
      </c>
      <c r="C1677" t="str">
        <f t="shared" si="334"/>
        <v>FFDFD3C0</v>
      </c>
      <c r="D1677" t="s">
        <v>939</v>
      </c>
      <c r="E1677">
        <v>10</v>
      </c>
      <c r="H1677">
        <v>79</v>
      </c>
      <c r="I1677" t="s">
        <v>940</v>
      </c>
      <c r="J1677" t="s">
        <v>130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342"/>
        <v>06:17:00.195</v>
      </c>
      <c r="U1677" t="str">
        <f t="shared" si="335"/>
        <v>A7E2E0</v>
      </c>
      <c r="V1677">
        <v>0</v>
      </c>
      <c r="W1677">
        <v>0</v>
      </c>
      <c r="X1677">
        <v>1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0</v>
      </c>
      <c r="AI1677" t="s">
        <v>1095</v>
      </c>
      <c r="AJ1677">
        <v>38.999125999999997</v>
      </c>
      <c r="AK1677" t="s">
        <v>1096</v>
      </c>
      <c r="AL1677">
        <v>-87.571849999999998</v>
      </c>
      <c r="AM1677">
        <v>100</v>
      </c>
      <c r="AN1677">
        <v>2800</v>
      </c>
      <c r="AO1677" t="s">
        <v>118</v>
      </c>
      <c r="AP1677">
        <v>-93</v>
      </c>
      <c r="AQ1677">
        <v>-124</v>
      </c>
      <c r="AR1677">
        <v>0</v>
      </c>
      <c r="AZ1677">
        <v>4552</v>
      </c>
      <c r="BA1677">
        <v>1</v>
      </c>
      <c r="BB1677" t="str">
        <f t="shared" si="336"/>
        <v xml:space="preserve">N607SR  </v>
      </c>
      <c r="BC1677">
        <v>1</v>
      </c>
      <c r="BE1677">
        <v>0</v>
      </c>
      <c r="BF1677">
        <v>0</v>
      </c>
      <c r="BG1677">
        <v>0</v>
      </c>
      <c r="BH1677">
        <v>2600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"06:17:00.202"</f>
        <v>06:17:00.202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6</v>
      </c>
      <c r="CP1677" t="s">
        <v>119</v>
      </c>
      <c r="CQ1677">
        <v>465</v>
      </c>
      <c r="CR1677">
        <v>0</v>
      </c>
      <c r="CW1677">
        <v>4722078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 t="shared" si="341"/>
        <v>08/29/2020 06:16:56.960</v>
      </c>
      <c r="C1678" t="str">
        <f t="shared" si="334"/>
        <v>FFDFD3C0</v>
      </c>
      <c r="D1678" t="s">
        <v>113</v>
      </c>
      <c r="E1678">
        <v>5</v>
      </c>
      <c r="H1678">
        <v>163</v>
      </c>
      <c r="I1678" t="s">
        <v>114</v>
      </c>
      <c r="J1678" t="s">
        <v>115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342"/>
        <v>06:17:00.195</v>
      </c>
      <c r="U1678" t="str">
        <f t="shared" si="335"/>
        <v>A7E2E0</v>
      </c>
      <c r="V1678">
        <v>0</v>
      </c>
      <c r="W1678">
        <v>0</v>
      </c>
      <c r="X1678">
        <v>1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0</v>
      </c>
      <c r="AI1678" t="s">
        <v>1095</v>
      </c>
      <c r="AJ1678">
        <v>38.999125999999997</v>
      </c>
      <c r="AK1678" t="s">
        <v>1096</v>
      </c>
      <c r="AL1678">
        <v>-87.571849999999998</v>
      </c>
      <c r="AM1678">
        <v>100</v>
      </c>
      <c r="AN1678">
        <v>2800</v>
      </c>
      <c r="AO1678" t="s">
        <v>118</v>
      </c>
      <c r="AP1678">
        <v>-93</v>
      </c>
      <c r="AQ1678">
        <v>-124</v>
      </c>
      <c r="AR1678">
        <v>0</v>
      </c>
      <c r="AZ1678">
        <v>4552</v>
      </c>
      <c r="BA1678">
        <v>1</v>
      </c>
      <c r="BB1678" t="str">
        <f t="shared" si="336"/>
        <v xml:space="preserve">N607SR  </v>
      </c>
      <c r="BC1678">
        <v>1</v>
      </c>
      <c r="BE1678">
        <v>0</v>
      </c>
      <c r="BF1678">
        <v>0</v>
      </c>
      <c r="BG1678">
        <v>0</v>
      </c>
      <c r="BH1678">
        <v>2600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"06:17:00.202"</f>
        <v>06:17:00.202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6</v>
      </c>
      <c r="CP1678" t="s">
        <v>119</v>
      </c>
      <c r="CQ1678">
        <v>465</v>
      </c>
      <c r="CR1678">
        <v>0</v>
      </c>
      <c r="CW1678">
        <v>4722078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 t="shared" si="341"/>
        <v>08/29/2020 06:16:56.960</v>
      </c>
      <c r="C1679" t="str">
        <f t="shared" si="334"/>
        <v>FFDFD3C0</v>
      </c>
      <c r="D1679" t="s">
        <v>128</v>
      </c>
      <c r="E1679">
        <v>5</v>
      </c>
      <c r="H1679">
        <v>241</v>
      </c>
      <c r="I1679" t="s">
        <v>129</v>
      </c>
      <c r="J1679" t="s">
        <v>130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342"/>
        <v>06:17:00.195</v>
      </c>
      <c r="U1679" t="str">
        <f t="shared" si="335"/>
        <v>A7E2E0</v>
      </c>
      <c r="V1679">
        <v>0</v>
      </c>
      <c r="W1679">
        <v>0</v>
      </c>
      <c r="X1679">
        <v>1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0</v>
      </c>
      <c r="AI1679" t="s">
        <v>1095</v>
      </c>
      <c r="AJ1679">
        <v>38.999125999999997</v>
      </c>
      <c r="AK1679" t="s">
        <v>1096</v>
      </c>
      <c r="AL1679">
        <v>-87.571849999999998</v>
      </c>
      <c r="AM1679">
        <v>100</v>
      </c>
      <c r="AN1679">
        <v>2800</v>
      </c>
      <c r="AO1679" t="s">
        <v>118</v>
      </c>
      <c r="AP1679">
        <v>-93</v>
      </c>
      <c r="AQ1679">
        <v>-124</v>
      </c>
      <c r="AR1679">
        <v>0</v>
      </c>
      <c r="AZ1679">
        <v>4552</v>
      </c>
      <c r="BA1679">
        <v>1</v>
      </c>
      <c r="BB1679" t="str">
        <f t="shared" si="336"/>
        <v xml:space="preserve">N607SR  </v>
      </c>
      <c r="BC1679">
        <v>1</v>
      </c>
      <c r="BE1679">
        <v>0</v>
      </c>
      <c r="BF1679">
        <v>0</v>
      </c>
      <c r="BG1679">
        <v>0</v>
      </c>
      <c r="BH1679">
        <v>2600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"06:17:00.202"</f>
        <v>06:17:00.202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6</v>
      </c>
      <c r="CP1679" t="s">
        <v>119</v>
      </c>
      <c r="CQ1679">
        <v>465</v>
      </c>
      <c r="CR1679">
        <v>0</v>
      </c>
      <c r="CW1679">
        <v>4722078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si="341"/>
        <v>08/29/2020 06:16:56.960</v>
      </c>
      <c r="C1680" t="str">
        <f t="shared" si="334"/>
        <v>FFDFD3C0</v>
      </c>
      <c r="D1680" t="s">
        <v>121</v>
      </c>
      <c r="E1680">
        <v>13</v>
      </c>
      <c r="F1680">
        <v>1013</v>
      </c>
      <c r="G1680" t="s">
        <v>122</v>
      </c>
      <c r="J1680" t="s">
        <v>123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342"/>
        <v>06:17:00.195</v>
      </c>
      <c r="U1680" t="str">
        <f t="shared" si="335"/>
        <v>A7E2E0</v>
      </c>
      <c r="V1680">
        <v>0</v>
      </c>
      <c r="W1680">
        <v>0</v>
      </c>
      <c r="X1680">
        <v>1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0</v>
      </c>
      <c r="AI1680" t="s">
        <v>1095</v>
      </c>
      <c r="AJ1680">
        <v>38.999125999999997</v>
      </c>
      <c r="AK1680" t="s">
        <v>1096</v>
      </c>
      <c r="AL1680">
        <v>-87.571849999999998</v>
      </c>
      <c r="AM1680">
        <v>100</v>
      </c>
      <c r="AN1680">
        <v>2800</v>
      </c>
      <c r="AO1680" t="s">
        <v>118</v>
      </c>
      <c r="AP1680">
        <v>-93</v>
      </c>
      <c r="AQ1680">
        <v>-124</v>
      </c>
      <c r="AR1680">
        <v>0</v>
      </c>
      <c r="AZ1680">
        <v>4552</v>
      </c>
      <c r="BA1680">
        <v>1</v>
      </c>
      <c r="BB1680" t="str">
        <f t="shared" si="336"/>
        <v xml:space="preserve">N607SR  </v>
      </c>
      <c r="BC1680">
        <v>1</v>
      </c>
      <c r="BE1680">
        <v>0</v>
      </c>
      <c r="BF1680">
        <v>0</v>
      </c>
      <c r="BG1680">
        <v>0</v>
      </c>
      <c r="BH1680">
        <v>2600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"06:17:00.202"</f>
        <v>06:17:00.202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6</v>
      </c>
      <c r="CP1680" t="s">
        <v>119</v>
      </c>
      <c r="CQ1680">
        <v>465</v>
      </c>
      <c r="CR1680">
        <v>0</v>
      </c>
      <c r="CW1680">
        <v>4722078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ref="A1681:A1686" si="343">"08/29/2020 06:16:57.875"</f>
        <v>08/29/2020 06:16:57.875</v>
      </c>
      <c r="C1681" t="str">
        <f t="shared" si="334"/>
        <v>FFDFD3C0</v>
      </c>
      <c r="D1681" t="s">
        <v>121</v>
      </c>
      <c r="E1681">
        <v>13</v>
      </c>
      <c r="F1681">
        <v>1013</v>
      </c>
      <c r="G1681" t="s">
        <v>122</v>
      </c>
      <c r="J1681" t="s">
        <v>123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ref="S1681:S1686" si="344">"06:17:01.133"</f>
        <v>06:17:01.133</v>
      </c>
      <c r="T1681" t="str">
        <f t="shared" ref="T1681:T1686" si="345">"06:17:00.733"</f>
        <v>06:17:00.733</v>
      </c>
      <c r="U1681" t="str">
        <f t="shared" si="335"/>
        <v>A7E2E0</v>
      </c>
      <c r="V1681">
        <v>0</v>
      </c>
      <c r="W1681">
        <v>0</v>
      </c>
      <c r="X1681">
        <v>1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0</v>
      </c>
      <c r="AI1681" t="s">
        <v>1097</v>
      </c>
      <c r="AJ1681">
        <v>38.99859</v>
      </c>
      <c r="AK1681" t="s">
        <v>1098</v>
      </c>
      <c r="AL1681">
        <v>-87.572385999999995</v>
      </c>
      <c r="AM1681">
        <v>100</v>
      </c>
      <c r="AN1681">
        <v>2800</v>
      </c>
      <c r="AO1681" t="s">
        <v>118</v>
      </c>
      <c r="AP1681">
        <v>-93</v>
      </c>
      <c r="AQ1681">
        <v>-124</v>
      </c>
      <c r="AR1681">
        <v>0</v>
      </c>
      <c r="AZ1681">
        <v>4552</v>
      </c>
      <c r="BA1681">
        <v>1</v>
      </c>
      <c r="BB1681" t="str">
        <f t="shared" si="336"/>
        <v xml:space="preserve">N607SR  </v>
      </c>
      <c r="BC1681">
        <v>1</v>
      </c>
      <c r="BE1681">
        <v>0</v>
      </c>
      <c r="BF1681">
        <v>0</v>
      </c>
      <c r="BG1681">
        <v>0</v>
      </c>
      <c r="BH1681">
        <v>2600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 t="shared" ref="BW1681:BW1686" si="346">"06:17:01.135"</f>
        <v>06:17:01.135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6</v>
      </c>
      <c r="CP1681" t="s">
        <v>119</v>
      </c>
      <c r="CQ1681">
        <v>465</v>
      </c>
      <c r="CR1681">
        <v>0</v>
      </c>
      <c r="CW1681">
        <v>4722108</v>
      </c>
      <c r="CY1681">
        <v>1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si="343"/>
        <v>08/29/2020 06:16:57.875</v>
      </c>
      <c r="C1682" t="str">
        <f t="shared" si="334"/>
        <v>FFDFD3C0</v>
      </c>
      <c r="D1682" t="s">
        <v>939</v>
      </c>
      <c r="E1682">
        <v>10</v>
      </c>
      <c r="H1682">
        <v>79</v>
      </c>
      <c r="I1682" t="s">
        <v>940</v>
      </c>
      <c r="J1682" t="s">
        <v>130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344"/>
        <v>06:17:01.133</v>
      </c>
      <c r="T1682" t="str">
        <f t="shared" si="345"/>
        <v>06:17:00.733</v>
      </c>
      <c r="U1682" t="str">
        <f t="shared" si="335"/>
        <v>A7E2E0</v>
      </c>
      <c r="V1682">
        <v>0</v>
      </c>
      <c r="W1682">
        <v>0</v>
      </c>
      <c r="X1682">
        <v>1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0</v>
      </c>
      <c r="AI1682" t="s">
        <v>1097</v>
      </c>
      <c r="AJ1682">
        <v>38.99859</v>
      </c>
      <c r="AK1682" t="s">
        <v>1098</v>
      </c>
      <c r="AL1682">
        <v>-87.572385999999995</v>
      </c>
      <c r="AM1682">
        <v>100</v>
      </c>
      <c r="AN1682">
        <v>2800</v>
      </c>
      <c r="AO1682" t="s">
        <v>118</v>
      </c>
      <c r="AP1682">
        <v>-93</v>
      </c>
      <c r="AQ1682">
        <v>-124</v>
      </c>
      <c r="AR1682">
        <v>0</v>
      </c>
      <c r="AZ1682">
        <v>4552</v>
      </c>
      <c r="BA1682">
        <v>1</v>
      </c>
      <c r="BB1682" t="str">
        <f t="shared" si="336"/>
        <v xml:space="preserve">N607SR  </v>
      </c>
      <c r="BC1682">
        <v>1</v>
      </c>
      <c r="BE1682">
        <v>0</v>
      </c>
      <c r="BF1682">
        <v>0</v>
      </c>
      <c r="BG1682">
        <v>0</v>
      </c>
      <c r="BH1682">
        <v>2600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 t="shared" si="346"/>
        <v>06:17:01.135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6</v>
      </c>
      <c r="CP1682" t="s">
        <v>119</v>
      </c>
      <c r="CQ1682">
        <v>465</v>
      </c>
      <c r="CR1682">
        <v>0</v>
      </c>
      <c r="CW1682">
        <v>4722108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343"/>
        <v>08/29/2020 06:16:57.875</v>
      </c>
      <c r="C1683" t="str">
        <f t="shared" si="334"/>
        <v>FFDFD3C0</v>
      </c>
      <c r="D1683" t="s">
        <v>121</v>
      </c>
      <c r="E1683">
        <v>11</v>
      </c>
      <c r="F1683">
        <v>1011</v>
      </c>
      <c r="G1683" t="s">
        <v>125</v>
      </c>
      <c r="J1683" t="s">
        <v>123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344"/>
        <v>06:17:01.133</v>
      </c>
      <c r="T1683" t="str">
        <f t="shared" si="345"/>
        <v>06:17:00.733</v>
      </c>
      <c r="U1683" t="str">
        <f t="shared" si="335"/>
        <v>A7E2E0</v>
      </c>
      <c r="V1683">
        <v>0</v>
      </c>
      <c r="W1683">
        <v>0</v>
      </c>
      <c r="X1683">
        <v>1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0</v>
      </c>
      <c r="AI1683" t="s">
        <v>1097</v>
      </c>
      <c r="AJ1683">
        <v>38.99859</v>
      </c>
      <c r="AK1683" t="s">
        <v>1098</v>
      </c>
      <c r="AL1683">
        <v>-87.572385999999995</v>
      </c>
      <c r="AM1683">
        <v>100</v>
      </c>
      <c r="AN1683">
        <v>2800</v>
      </c>
      <c r="AO1683" t="s">
        <v>118</v>
      </c>
      <c r="AP1683">
        <v>-93</v>
      </c>
      <c r="AQ1683">
        <v>-124</v>
      </c>
      <c r="AR1683">
        <v>0</v>
      </c>
      <c r="AZ1683">
        <v>4552</v>
      </c>
      <c r="BA1683">
        <v>1</v>
      </c>
      <c r="BB1683" t="str">
        <f t="shared" si="336"/>
        <v xml:space="preserve">N607SR  </v>
      </c>
      <c r="BC1683">
        <v>1</v>
      </c>
      <c r="BE1683">
        <v>0</v>
      </c>
      <c r="BF1683">
        <v>0</v>
      </c>
      <c r="BG1683">
        <v>0</v>
      </c>
      <c r="BH1683">
        <v>2600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 t="shared" si="346"/>
        <v>06:17:01.135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6</v>
      </c>
      <c r="CP1683" t="s">
        <v>119</v>
      </c>
      <c r="CQ1683">
        <v>457</v>
      </c>
      <c r="CR1683">
        <v>0</v>
      </c>
      <c r="CW1683">
        <v>15517838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343"/>
        <v>08/29/2020 06:16:57.875</v>
      </c>
      <c r="C1684" t="str">
        <f t="shared" si="334"/>
        <v>FFDFD3C0</v>
      </c>
      <c r="D1684" t="s">
        <v>113</v>
      </c>
      <c r="E1684">
        <v>5</v>
      </c>
      <c r="H1684">
        <v>163</v>
      </c>
      <c r="I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344"/>
        <v>06:17:01.133</v>
      </c>
      <c r="T1684" t="str">
        <f t="shared" si="345"/>
        <v>06:17:00.733</v>
      </c>
      <c r="U1684" t="str">
        <f t="shared" si="335"/>
        <v>A7E2E0</v>
      </c>
      <c r="V1684">
        <v>0</v>
      </c>
      <c r="W1684">
        <v>0</v>
      </c>
      <c r="X1684">
        <v>1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0</v>
      </c>
      <c r="AI1684" t="s">
        <v>1097</v>
      </c>
      <c r="AJ1684">
        <v>38.99859</v>
      </c>
      <c r="AK1684" t="s">
        <v>1098</v>
      </c>
      <c r="AL1684">
        <v>-87.572385999999995</v>
      </c>
      <c r="AM1684">
        <v>100</v>
      </c>
      <c r="AN1684">
        <v>2800</v>
      </c>
      <c r="AO1684" t="s">
        <v>118</v>
      </c>
      <c r="AP1684">
        <v>-93</v>
      </c>
      <c r="AQ1684">
        <v>-124</v>
      </c>
      <c r="AR1684">
        <v>0</v>
      </c>
      <c r="AZ1684">
        <v>4552</v>
      </c>
      <c r="BA1684">
        <v>1</v>
      </c>
      <c r="BB1684" t="str">
        <f t="shared" si="336"/>
        <v xml:space="preserve">N607SR  </v>
      </c>
      <c r="BC1684">
        <v>1</v>
      </c>
      <c r="BE1684">
        <v>0</v>
      </c>
      <c r="BF1684">
        <v>0</v>
      </c>
      <c r="BG1684">
        <v>0</v>
      </c>
      <c r="BH1684">
        <v>2600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 t="shared" si="346"/>
        <v>06:17:01.135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6</v>
      </c>
      <c r="CP1684" t="s">
        <v>119</v>
      </c>
      <c r="CQ1684">
        <v>465</v>
      </c>
      <c r="CR1684">
        <v>0</v>
      </c>
      <c r="CW1684">
        <v>4722108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 t="shared" si="343"/>
        <v>08/29/2020 06:16:57.875</v>
      </c>
      <c r="C1685" t="str">
        <f t="shared" si="334"/>
        <v>FFDFD3C0</v>
      </c>
      <c r="D1685" t="s">
        <v>128</v>
      </c>
      <c r="E1685">
        <v>5</v>
      </c>
      <c r="H1685">
        <v>241</v>
      </c>
      <c r="I1685" t="s">
        <v>129</v>
      </c>
      <c r="J1685" t="s">
        <v>130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344"/>
        <v>06:17:01.133</v>
      </c>
      <c r="T1685" t="str">
        <f t="shared" si="345"/>
        <v>06:17:00.733</v>
      </c>
      <c r="U1685" t="str">
        <f t="shared" si="335"/>
        <v>A7E2E0</v>
      </c>
      <c r="V1685">
        <v>0</v>
      </c>
      <c r="W1685">
        <v>0</v>
      </c>
      <c r="X1685">
        <v>1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0</v>
      </c>
      <c r="AI1685" t="s">
        <v>1097</v>
      </c>
      <c r="AJ1685">
        <v>38.99859</v>
      </c>
      <c r="AK1685" t="s">
        <v>1098</v>
      </c>
      <c r="AL1685">
        <v>-87.572385999999995</v>
      </c>
      <c r="AM1685">
        <v>100</v>
      </c>
      <c r="AN1685">
        <v>2800</v>
      </c>
      <c r="AO1685" t="s">
        <v>118</v>
      </c>
      <c r="AP1685">
        <v>-93</v>
      </c>
      <c r="AQ1685">
        <v>-124</v>
      </c>
      <c r="AR1685">
        <v>0</v>
      </c>
      <c r="AZ1685">
        <v>4552</v>
      </c>
      <c r="BA1685">
        <v>1</v>
      </c>
      <c r="BB1685" t="str">
        <f t="shared" si="336"/>
        <v xml:space="preserve">N607SR  </v>
      </c>
      <c r="BC1685">
        <v>1</v>
      </c>
      <c r="BE1685">
        <v>0</v>
      </c>
      <c r="BF1685">
        <v>0</v>
      </c>
      <c r="BG1685">
        <v>0</v>
      </c>
      <c r="BH1685">
        <v>2600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 t="shared" si="346"/>
        <v>06:17:01.135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6</v>
      </c>
      <c r="CP1685" t="s">
        <v>119</v>
      </c>
      <c r="CQ1685">
        <v>465</v>
      </c>
      <c r="CR1685">
        <v>0</v>
      </c>
      <c r="CW1685">
        <v>4722108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 t="shared" si="343"/>
        <v>08/29/2020 06:16:57.875</v>
      </c>
      <c r="C1686" t="str">
        <f t="shared" si="334"/>
        <v>FFDFD3C0</v>
      </c>
      <c r="D1686" t="s">
        <v>121</v>
      </c>
      <c r="E1686">
        <v>10</v>
      </c>
      <c r="F1686">
        <v>1010</v>
      </c>
      <c r="G1686" t="s">
        <v>114</v>
      </c>
      <c r="J1686" t="s">
        <v>123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344"/>
        <v>06:17:01.133</v>
      </c>
      <c r="T1686" t="str">
        <f t="shared" si="345"/>
        <v>06:17:00.733</v>
      </c>
      <c r="U1686" t="str">
        <f t="shared" si="335"/>
        <v>A7E2E0</v>
      </c>
      <c r="V1686">
        <v>0</v>
      </c>
      <c r="W1686">
        <v>0</v>
      </c>
      <c r="X1686">
        <v>1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0</v>
      </c>
      <c r="AI1686" t="s">
        <v>1097</v>
      </c>
      <c r="AJ1686">
        <v>38.99859</v>
      </c>
      <c r="AK1686" t="s">
        <v>1098</v>
      </c>
      <c r="AL1686">
        <v>-87.572385999999995</v>
      </c>
      <c r="AM1686">
        <v>100</v>
      </c>
      <c r="AN1686">
        <v>2800</v>
      </c>
      <c r="AO1686" t="s">
        <v>118</v>
      </c>
      <c r="AP1686">
        <v>-93</v>
      </c>
      <c r="AQ1686">
        <v>-124</v>
      </c>
      <c r="AR1686">
        <v>0</v>
      </c>
      <c r="AZ1686">
        <v>4552</v>
      </c>
      <c r="BA1686">
        <v>1</v>
      </c>
      <c r="BB1686" t="str">
        <f t="shared" si="336"/>
        <v xml:space="preserve">N607SR  </v>
      </c>
      <c r="BC1686">
        <v>1</v>
      </c>
      <c r="BE1686">
        <v>0</v>
      </c>
      <c r="BF1686">
        <v>0</v>
      </c>
      <c r="BG1686">
        <v>0</v>
      </c>
      <c r="BH1686">
        <v>2600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 t="shared" si="346"/>
        <v>06:17:01.135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465</v>
      </c>
      <c r="CR1686">
        <v>0</v>
      </c>
      <c r="CW1686">
        <v>4722108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 t="shared" ref="A1687:A1692" si="347">"08/29/2020 06:16:58.983"</f>
        <v>08/29/2020 06:16:58.983</v>
      </c>
      <c r="C1687" t="str">
        <f t="shared" si="334"/>
        <v>FFDFD3C0</v>
      </c>
      <c r="D1687" t="s">
        <v>121</v>
      </c>
      <c r="E1687">
        <v>10</v>
      </c>
      <c r="F1687">
        <v>1010</v>
      </c>
      <c r="G1687" t="s">
        <v>114</v>
      </c>
      <c r="J1687" t="s">
        <v>123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ref="S1687:S1692" si="348">"06:17:02.211"</f>
        <v>06:17:02.211</v>
      </c>
      <c r="T1687" t="str">
        <f t="shared" ref="T1687:T1692" si="349">"06:17:01.811"</f>
        <v>06:17:01.811</v>
      </c>
      <c r="U1687" t="str">
        <f t="shared" si="335"/>
        <v>A7E2E0</v>
      </c>
      <c r="V1687">
        <v>0</v>
      </c>
      <c r="W1687">
        <v>0</v>
      </c>
      <c r="X1687">
        <v>1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0</v>
      </c>
      <c r="AI1687" t="s">
        <v>1099</v>
      </c>
      <c r="AJ1687">
        <v>38.997923999999998</v>
      </c>
      <c r="AK1687" t="s">
        <v>1100</v>
      </c>
      <c r="AL1687">
        <v>-87.573008999999999</v>
      </c>
      <c r="AM1687">
        <v>100</v>
      </c>
      <c r="AN1687">
        <v>2800</v>
      </c>
      <c r="AO1687" t="s">
        <v>118</v>
      </c>
      <c r="AP1687">
        <v>-93</v>
      </c>
      <c r="AQ1687">
        <v>-124</v>
      </c>
      <c r="AR1687">
        <v>0</v>
      </c>
      <c r="AZ1687">
        <v>4552</v>
      </c>
      <c r="BA1687">
        <v>1</v>
      </c>
      <c r="BB1687" t="str">
        <f t="shared" si="336"/>
        <v xml:space="preserve">N607SR  </v>
      </c>
      <c r="BC1687">
        <v>1</v>
      </c>
      <c r="BE1687">
        <v>0</v>
      </c>
      <c r="BF1687">
        <v>0</v>
      </c>
      <c r="BG1687">
        <v>0</v>
      </c>
      <c r="BH1687">
        <v>2600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 t="shared" ref="BW1687:BW1692" si="350">"06:17:02.215"</f>
        <v>06:17:02.215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6</v>
      </c>
      <c r="CP1687" t="s">
        <v>119</v>
      </c>
      <c r="CQ1687">
        <v>465</v>
      </c>
      <c r="CR1687">
        <v>0</v>
      </c>
      <c r="CW1687">
        <v>4722139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 t="shared" si="347"/>
        <v>08/29/2020 06:16:58.983</v>
      </c>
      <c r="C1688" t="str">
        <f t="shared" si="334"/>
        <v>FFDFD3C0</v>
      </c>
      <c r="D1688" t="s">
        <v>121</v>
      </c>
      <c r="E1688">
        <v>13</v>
      </c>
      <c r="F1688">
        <v>1013</v>
      </c>
      <c r="G1688" t="s">
        <v>122</v>
      </c>
      <c r="J1688" t="s">
        <v>123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348"/>
        <v>06:17:02.211</v>
      </c>
      <c r="T1688" t="str">
        <f t="shared" si="349"/>
        <v>06:17:01.811</v>
      </c>
      <c r="U1688" t="str">
        <f t="shared" si="335"/>
        <v>A7E2E0</v>
      </c>
      <c r="V1688">
        <v>0</v>
      </c>
      <c r="W1688">
        <v>0</v>
      </c>
      <c r="X1688">
        <v>1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0</v>
      </c>
      <c r="AI1688" t="s">
        <v>1099</v>
      </c>
      <c r="AJ1688">
        <v>38.997923999999998</v>
      </c>
      <c r="AK1688" t="s">
        <v>1100</v>
      </c>
      <c r="AL1688">
        <v>-87.573008999999999</v>
      </c>
      <c r="AM1688">
        <v>100</v>
      </c>
      <c r="AN1688">
        <v>2800</v>
      </c>
      <c r="AO1688" t="s">
        <v>118</v>
      </c>
      <c r="AP1688">
        <v>-93</v>
      </c>
      <c r="AQ1688">
        <v>-124</v>
      </c>
      <c r="AR1688">
        <v>0</v>
      </c>
      <c r="AZ1688">
        <v>4552</v>
      </c>
      <c r="BA1688">
        <v>1</v>
      </c>
      <c r="BB1688" t="str">
        <f t="shared" si="336"/>
        <v xml:space="preserve">N607SR  </v>
      </c>
      <c r="BC1688">
        <v>1</v>
      </c>
      <c r="BE1688">
        <v>0</v>
      </c>
      <c r="BF1688">
        <v>0</v>
      </c>
      <c r="BG1688">
        <v>0</v>
      </c>
      <c r="BH1688">
        <v>2600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 t="shared" si="350"/>
        <v>06:17:02.215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6</v>
      </c>
      <c r="CP1688" t="s">
        <v>119</v>
      </c>
      <c r="CQ1688">
        <v>465</v>
      </c>
      <c r="CR1688">
        <v>0</v>
      </c>
      <c r="CW1688">
        <v>4722139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 t="shared" si="347"/>
        <v>08/29/2020 06:16:58.983</v>
      </c>
      <c r="C1689" t="str">
        <f t="shared" si="334"/>
        <v>FFDFD3C0</v>
      </c>
      <c r="D1689" t="s">
        <v>939</v>
      </c>
      <c r="E1689">
        <v>10</v>
      </c>
      <c r="H1689">
        <v>79</v>
      </c>
      <c r="I1689" t="s">
        <v>940</v>
      </c>
      <c r="J1689" t="s">
        <v>130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348"/>
        <v>06:17:02.211</v>
      </c>
      <c r="T1689" t="str">
        <f t="shared" si="349"/>
        <v>06:17:01.811</v>
      </c>
      <c r="U1689" t="str">
        <f t="shared" si="335"/>
        <v>A7E2E0</v>
      </c>
      <c r="V1689">
        <v>0</v>
      </c>
      <c r="W1689">
        <v>0</v>
      </c>
      <c r="X1689">
        <v>1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0</v>
      </c>
      <c r="AI1689" t="s">
        <v>1099</v>
      </c>
      <c r="AJ1689">
        <v>38.997923999999998</v>
      </c>
      <c r="AK1689" t="s">
        <v>1100</v>
      </c>
      <c r="AL1689">
        <v>-87.573008999999999</v>
      </c>
      <c r="AM1689">
        <v>100</v>
      </c>
      <c r="AN1689">
        <v>2800</v>
      </c>
      <c r="AO1689" t="s">
        <v>118</v>
      </c>
      <c r="AP1689">
        <v>-93</v>
      </c>
      <c r="AQ1689">
        <v>-124</v>
      </c>
      <c r="AR1689">
        <v>0</v>
      </c>
      <c r="AZ1689">
        <v>4552</v>
      </c>
      <c r="BA1689">
        <v>1</v>
      </c>
      <c r="BB1689" t="str">
        <f t="shared" si="336"/>
        <v xml:space="preserve">N607SR  </v>
      </c>
      <c r="BC1689">
        <v>1</v>
      </c>
      <c r="BE1689">
        <v>0</v>
      </c>
      <c r="BF1689">
        <v>0</v>
      </c>
      <c r="BG1689">
        <v>0</v>
      </c>
      <c r="BH1689">
        <v>2600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 t="shared" si="350"/>
        <v>06:17:02.215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6</v>
      </c>
      <c r="CP1689" t="s">
        <v>119</v>
      </c>
      <c r="CQ1689">
        <v>465</v>
      </c>
      <c r="CR1689">
        <v>0</v>
      </c>
      <c r="CW1689">
        <v>4722139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 t="shared" si="347"/>
        <v>08/29/2020 06:16:58.983</v>
      </c>
      <c r="C1690" t="str">
        <f t="shared" si="334"/>
        <v>FFDFD3C0</v>
      </c>
      <c r="D1690" t="s">
        <v>121</v>
      </c>
      <c r="E1690">
        <v>11</v>
      </c>
      <c r="F1690">
        <v>1011</v>
      </c>
      <c r="G1690" t="s">
        <v>125</v>
      </c>
      <c r="J1690" t="s">
        <v>123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348"/>
        <v>06:17:02.211</v>
      </c>
      <c r="T1690" t="str">
        <f t="shared" si="349"/>
        <v>06:17:01.811</v>
      </c>
      <c r="U1690" t="str">
        <f t="shared" si="335"/>
        <v>A7E2E0</v>
      </c>
      <c r="V1690">
        <v>0</v>
      </c>
      <c r="W1690">
        <v>0</v>
      </c>
      <c r="X1690">
        <v>1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0</v>
      </c>
      <c r="AI1690" t="s">
        <v>1099</v>
      </c>
      <c r="AJ1690">
        <v>38.997923999999998</v>
      </c>
      <c r="AK1690" t="s">
        <v>1100</v>
      </c>
      <c r="AL1690">
        <v>-87.573008999999999</v>
      </c>
      <c r="AM1690">
        <v>100</v>
      </c>
      <c r="AN1690">
        <v>2800</v>
      </c>
      <c r="AO1690" t="s">
        <v>118</v>
      </c>
      <c r="AP1690">
        <v>-93</v>
      </c>
      <c r="AQ1690">
        <v>-124</v>
      </c>
      <c r="AR1690">
        <v>0</v>
      </c>
      <c r="AZ1690">
        <v>4552</v>
      </c>
      <c r="BA1690">
        <v>1</v>
      </c>
      <c r="BB1690" t="str">
        <f t="shared" si="336"/>
        <v xml:space="preserve">N607SR  </v>
      </c>
      <c r="BC1690">
        <v>1</v>
      </c>
      <c r="BE1690">
        <v>0</v>
      </c>
      <c r="BF1690">
        <v>0</v>
      </c>
      <c r="BG1690">
        <v>0</v>
      </c>
      <c r="BH1690">
        <v>2600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 t="shared" si="350"/>
        <v>06:17:02.215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6</v>
      </c>
      <c r="CP1690" t="s">
        <v>119</v>
      </c>
      <c r="CQ1690">
        <v>457</v>
      </c>
      <c r="CR1690">
        <v>0</v>
      </c>
      <c r="CW1690">
        <v>15517867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 t="shared" si="347"/>
        <v>08/29/2020 06:16:58.983</v>
      </c>
      <c r="C1691" t="str">
        <f t="shared" si="334"/>
        <v>FFDFD3C0</v>
      </c>
      <c r="D1691" t="s">
        <v>113</v>
      </c>
      <c r="E1691">
        <v>5</v>
      </c>
      <c r="H1691">
        <v>163</v>
      </c>
      <c r="I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348"/>
        <v>06:17:02.211</v>
      </c>
      <c r="T1691" t="str">
        <f t="shared" si="349"/>
        <v>06:17:01.811</v>
      </c>
      <c r="U1691" t="str">
        <f t="shared" si="335"/>
        <v>A7E2E0</v>
      </c>
      <c r="V1691">
        <v>0</v>
      </c>
      <c r="W1691">
        <v>0</v>
      </c>
      <c r="X1691">
        <v>1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0</v>
      </c>
      <c r="AI1691" t="s">
        <v>1099</v>
      </c>
      <c r="AJ1691">
        <v>38.997923999999998</v>
      </c>
      <c r="AK1691" t="s">
        <v>1100</v>
      </c>
      <c r="AL1691">
        <v>-87.573008999999999</v>
      </c>
      <c r="AM1691">
        <v>100</v>
      </c>
      <c r="AN1691">
        <v>2800</v>
      </c>
      <c r="AO1691" t="s">
        <v>118</v>
      </c>
      <c r="AP1691">
        <v>-93</v>
      </c>
      <c r="AQ1691">
        <v>-124</v>
      </c>
      <c r="AR1691">
        <v>0</v>
      </c>
      <c r="AZ1691">
        <v>4552</v>
      </c>
      <c r="BA1691">
        <v>1</v>
      </c>
      <c r="BB1691" t="str">
        <f t="shared" si="336"/>
        <v xml:space="preserve">N607SR  </v>
      </c>
      <c r="BC1691">
        <v>1</v>
      </c>
      <c r="BE1691">
        <v>0</v>
      </c>
      <c r="BF1691">
        <v>0</v>
      </c>
      <c r="BG1691">
        <v>0</v>
      </c>
      <c r="BH1691">
        <v>2600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 t="shared" si="350"/>
        <v>06:17:02.215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465</v>
      </c>
      <c r="CR1691">
        <v>0</v>
      </c>
      <c r="CW1691">
        <v>4722139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 t="shared" si="347"/>
        <v>08/29/2020 06:16:58.983</v>
      </c>
      <c r="C1692" t="str">
        <f t="shared" si="334"/>
        <v>FFDFD3C0</v>
      </c>
      <c r="D1692" t="s">
        <v>128</v>
      </c>
      <c r="E1692">
        <v>5</v>
      </c>
      <c r="H1692">
        <v>241</v>
      </c>
      <c r="I1692" t="s">
        <v>129</v>
      </c>
      <c r="J1692" t="s">
        <v>130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348"/>
        <v>06:17:02.211</v>
      </c>
      <c r="T1692" t="str">
        <f t="shared" si="349"/>
        <v>06:17:01.811</v>
      </c>
      <c r="U1692" t="str">
        <f t="shared" si="335"/>
        <v>A7E2E0</v>
      </c>
      <c r="V1692">
        <v>0</v>
      </c>
      <c r="W1692">
        <v>0</v>
      </c>
      <c r="X1692">
        <v>1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0</v>
      </c>
      <c r="AI1692" t="s">
        <v>1099</v>
      </c>
      <c r="AJ1692">
        <v>38.997923999999998</v>
      </c>
      <c r="AK1692" t="s">
        <v>1100</v>
      </c>
      <c r="AL1692">
        <v>-87.573008999999999</v>
      </c>
      <c r="AM1692">
        <v>100</v>
      </c>
      <c r="AN1692">
        <v>2800</v>
      </c>
      <c r="AO1692" t="s">
        <v>118</v>
      </c>
      <c r="AP1692">
        <v>-93</v>
      </c>
      <c r="AQ1692">
        <v>-124</v>
      </c>
      <c r="AR1692">
        <v>0</v>
      </c>
      <c r="AZ1692">
        <v>4552</v>
      </c>
      <c r="BA1692">
        <v>1</v>
      </c>
      <c r="BB1692" t="str">
        <f t="shared" si="336"/>
        <v xml:space="preserve">N607SR  </v>
      </c>
      <c r="BC1692">
        <v>1</v>
      </c>
      <c r="BE1692">
        <v>0</v>
      </c>
      <c r="BF1692">
        <v>0</v>
      </c>
      <c r="BG1692">
        <v>0</v>
      </c>
      <c r="BH1692">
        <v>2600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 t="shared" si="350"/>
        <v>06:17:02.215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6</v>
      </c>
      <c r="CP1692" t="s">
        <v>119</v>
      </c>
      <c r="CQ1692">
        <v>465</v>
      </c>
      <c r="CR1692">
        <v>0</v>
      </c>
      <c r="CW1692">
        <v>4722139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 t="shared" ref="A1693:A1698" si="351">"08/29/2020 06:16:59.946"</f>
        <v>08/29/2020 06:16:59.946</v>
      </c>
      <c r="C1693" t="str">
        <f t="shared" si="334"/>
        <v>FFDFD3C0</v>
      </c>
      <c r="D1693" t="s">
        <v>939</v>
      </c>
      <c r="E1693">
        <v>10</v>
      </c>
      <c r="H1693">
        <v>79</v>
      </c>
      <c r="I1693" t="s">
        <v>940</v>
      </c>
      <c r="J1693" t="s">
        <v>130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ref="S1693:S1698" si="352">"06:17:03.180"</f>
        <v>06:17:03.180</v>
      </c>
      <c r="T1693" t="str">
        <f t="shared" ref="T1693:T1698" si="353">"06:17:02.780"</f>
        <v>06:17:02.780</v>
      </c>
      <c r="U1693" t="str">
        <f t="shared" si="335"/>
        <v>A7E2E0</v>
      </c>
      <c r="V1693">
        <v>0</v>
      </c>
      <c r="W1693">
        <v>0</v>
      </c>
      <c r="X1693">
        <v>1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0</v>
      </c>
      <c r="AI1693" t="s">
        <v>1101</v>
      </c>
      <c r="AJ1693">
        <v>38.997430999999999</v>
      </c>
      <c r="AK1693" t="s">
        <v>1102</v>
      </c>
      <c r="AL1693">
        <v>-87.573459</v>
      </c>
      <c r="AM1693">
        <v>100</v>
      </c>
      <c r="AN1693">
        <v>2800</v>
      </c>
      <c r="AO1693" t="s">
        <v>118</v>
      </c>
      <c r="AP1693">
        <v>-92</v>
      </c>
      <c r="AQ1693">
        <v>-123</v>
      </c>
      <c r="AR1693">
        <v>0</v>
      </c>
      <c r="AZ1693">
        <v>4552</v>
      </c>
      <c r="BA1693">
        <v>1</v>
      </c>
      <c r="BB1693" t="str">
        <f t="shared" si="336"/>
        <v xml:space="preserve">N607SR  </v>
      </c>
      <c r="BC1693">
        <v>1</v>
      </c>
      <c r="BE1693">
        <v>0</v>
      </c>
      <c r="BF1693">
        <v>0</v>
      </c>
      <c r="BG1693">
        <v>0</v>
      </c>
      <c r="BH1693">
        <v>2600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 t="shared" ref="BW1693:BW1698" si="354">"06:17:03.185"</f>
        <v>06:17:03.185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6</v>
      </c>
      <c r="CP1693" t="s">
        <v>119</v>
      </c>
      <c r="CQ1693">
        <v>465</v>
      </c>
      <c r="CR1693">
        <v>0</v>
      </c>
      <c r="CW1693">
        <v>4722166</v>
      </c>
      <c r="CY1693">
        <v>1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 t="shared" si="351"/>
        <v>08/29/2020 06:16:59.946</v>
      </c>
      <c r="C1694" t="str">
        <f t="shared" si="334"/>
        <v>FFDFD3C0</v>
      </c>
      <c r="D1694" t="s">
        <v>121</v>
      </c>
      <c r="E1694">
        <v>13</v>
      </c>
      <c r="F1694">
        <v>1013</v>
      </c>
      <c r="G1694" t="s">
        <v>122</v>
      </c>
      <c r="J1694" t="s">
        <v>123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352"/>
        <v>06:17:03.180</v>
      </c>
      <c r="T1694" t="str">
        <f t="shared" si="353"/>
        <v>06:17:02.780</v>
      </c>
      <c r="U1694" t="str">
        <f t="shared" si="335"/>
        <v>A7E2E0</v>
      </c>
      <c r="V1694">
        <v>0</v>
      </c>
      <c r="W1694">
        <v>0</v>
      </c>
      <c r="X1694">
        <v>1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0</v>
      </c>
      <c r="AI1694" t="s">
        <v>1101</v>
      </c>
      <c r="AJ1694">
        <v>38.997430999999999</v>
      </c>
      <c r="AK1694" t="s">
        <v>1102</v>
      </c>
      <c r="AL1694">
        <v>-87.573459</v>
      </c>
      <c r="AM1694">
        <v>100</v>
      </c>
      <c r="AN1694">
        <v>2800</v>
      </c>
      <c r="AO1694" t="s">
        <v>118</v>
      </c>
      <c r="AP1694">
        <v>-92</v>
      </c>
      <c r="AQ1694">
        <v>-123</v>
      </c>
      <c r="AR1694">
        <v>0</v>
      </c>
      <c r="AZ1694">
        <v>4552</v>
      </c>
      <c r="BA1694">
        <v>1</v>
      </c>
      <c r="BB1694" t="str">
        <f t="shared" si="336"/>
        <v xml:space="preserve">N607SR  </v>
      </c>
      <c r="BC1694">
        <v>1</v>
      </c>
      <c r="BE1694">
        <v>0</v>
      </c>
      <c r="BF1694">
        <v>0</v>
      </c>
      <c r="BG1694">
        <v>0</v>
      </c>
      <c r="BH1694">
        <v>2600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 t="shared" si="354"/>
        <v>06:17:03.185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6</v>
      </c>
      <c r="CP1694" t="s">
        <v>119</v>
      </c>
      <c r="CQ1694">
        <v>465</v>
      </c>
      <c r="CR1694">
        <v>0</v>
      </c>
      <c r="CW1694">
        <v>4722166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 t="shared" si="351"/>
        <v>08/29/2020 06:16:59.946</v>
      </c>
      <c r="C1695" t="str">
        <f t="shared" si="334"/>
        <v>FFDFD3C0</v>
      </c>
      <c r="D1695" t="s">
        <v>121</v>
      </c>
      <c r="E1695">
        <v>10</v>
      </c>
      <c r="F1695">
        <v>1010</v>
      </c>
      <c r="G1695" t="s">
        <v>114</v>
      </c>
      <c r="J1695" t="s">
        <v>123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352"/>
        <v>06:17:03.180</v>
      </c>
      <c r="T1695" t="str">
        <f t="shared" si="353"/>
        <v>06:17:02.780</v>
      </c>
      <c r="U1695" t="str">
        <f t="shared" si="335"/>
        <v>A7E2E0</v>
      </c>
      <c r="V1695">
        <v>0</v>
      </c>
      <c r="W1695">
        <v>0</v>
      </c>
      <c r="X1695">
        <v>1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0</v>
      </c>
      <c r="AI1695" t="s">
        <v>1101</v>
      </c>
      <c r="AJ1695">
        <v>38.997430999999999</v>
      </c>
      <c r="AK1695" t="s">
        <v>1102</v>
      </c>
      <c r="AL1695">
        <v>-87.573459</v>
      </c>
      <c r="AM1695">
        <v>100</v>
      </c>
      <c r="AN1695">
        <v>2800</v>
      </c>
      <c r="AO1695" t="s">
        <v>118</v>
      </c>
      <c r="AP1695">
        <v>-92</v>
      </c>
      <c r="AQ1695">
        <v>-123</v>
      </c>
      <c r="AR1695">
        <v>0</v>
      </c>
      <c r="AZ1695">
        <v>4552</v>
      </c>
      <c r="BA1695">
        <v>1</v>
      </c>
      <c r="BB1695" t="str">
        <f t="shared" si="336"/>
        <v xml:space="preserve">N607SR  </v>
      </c>
      <c r="BC1695">
        <v>1</v>
      </c>
      <c r="BE1695">
        <v>0</v>
      </c>
      <c r="BF1695">
        <v>0</v>
      </c>
      <c r="BG1695">
        <v>0</v>
      </c>
      <c r="BH1695">
        <v>2600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 t="shared" si="354"/>
        <v>06:17:03.185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6</v>
      </c>
      <c r="CP1695" t="s">
        <v>119</v>
      </c>
      <c r="CQ1695">
        <v>465</v>
      </c>
      <c r="CR1695">
        <v>0</v>
      </c>
      <c r="CW1695">
        <v>4722166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 t="shared" si="351"/>
        <v>08/29/2020 06:16:59.946</v>
      </c>
      <c r="C1696" t="str">
        <f t="shared" si="334"/>
        <v>FFDFD3C0</v>
      </c>
      <c r="D1696" t="s">
        <v>121</v>
      </c>
      <c r="E1696">
        <v>11</v>
      </c>
      <c r="F1696">
        <v>1011</v>
      </c>
      <c r="G1696" t="s">
        <v>125</v>
      </c>
      <c r="J1696" t="s">
        <v>123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352"/>
        <v>06:17:03.180</v>
      </c>
      <c r="T1696" t="str">
        <f t="shared" si="353"/>
        <v>06:17:02.780</v>
      </c>
      <c r="U1696" t="str">
        <f t="shared" si="335"/>
        <v>A7E2E0</v>
      </c>
      <c r="V1696">
        <v>0</v>
      </c>
      <c r="W1696">
        <v>0</v>
      </c>
      <c r="X1696">
        <v>1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0</v>
      </c>
      <c r="AI1696" t="s">
        <v>1101</v>
      </c>
      <c r="AJ1696">
        <v>38.997430999999999</v>
      </c>
      <c r="AK1696" t="s">
        <v>1102</v>
      </c>
      <c r="AL1696">
        <v>-87.573459</v>
      </c>
      <c r="AM1696">
        <v>100</v>
      </c>
      <c r="AN1696">
        <v>2800</v>
      </c>
      <c r="AO1696" t="s">
        <v>118</v>
      </c>
      <c r="AP1696">
        <v>-92</v>
      </c>
      <c r="AQ1696">
        <v>-123</v>
      </c>
      <c r="AR1696">
        <v>0</v>
      </c>
      <c r="AZ1696">
        <v>4552</v>
      </c>
      <c r="BA1696">
        <v>1</v>
      </c>
      <c r="BB1696" t="str">
        <f t="shared" si="336"/>
        <v xml:space="preserve">N607SR  </v>
      </c>
      <c r="BC1696">
        <v>1</v>
      </c>
      <c r="BE1696">
        <v>0</v>
      </c>
      <c r="BF1696">
        <v>0</v>
      </c>
      <c r="BG1696">
        <v>0</v>
      </c>
      <c r="BH1696">
        <v>2600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 t="shared" si="354"/>
        <v>06:17:03.185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5</v>
      </c>
      <c r="CP1696" t="s">
        <v>119</v>
      </c>
      <c r="CQ1696">
        <v>457</v>
      </c>
      <c r="CR1696">
        <v>0</v>
      </c>
      <c r="CW1696">
        <v>15517892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 t="shared" si="351"/>
        <v>08/29/2020 06:16:59.946</v>
      </c>
      <c r="C1697" t="str">
        <f t="shared" si="334"/>
        <v>FFDFD3C0</v>
      </c>
      <c r="D1697" t="s">
        <v>113</v>
      </c>
      <c r="E1697">
        <v>5</v>
      </c>
      <c r="H1697">
        <v>163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352"/>
        <v>06:17:03.180</v>
      </c>
      <c r="T1697" t="str">
        <f t="shared" si="353"/>
        <v>06:17:02.780</v>
      </c>
      <c r="U1697" t="str">
        <f t="shared" si="335"/>
        <v>A7E2E0</v>
      </c>
      <c r="V1697">
        <v>0</v>
      </c>
      <c r="W1697">
        <v>0</v>
      </c>
      <c r="X1697">
        <v>1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0</v>
      </c>
      <c r="AI1697" t="s">
        <v>1101</v>
      </c>
      <c r="AJ1697">
        <v>38.997430999999999</v>
      </c>
      <c r="AK1697" t="s">
        <v>1102</v>
      </c>
      <c r="AL1697">
        <v>-87.573459</v>
      </c>
      <c r="AM1697">
        <v>100</v>
      </c>
      <c r="AN1697">
        <v>2800</v>
      </c>
      <c r="AO1697" t="s">
        <v>118</v>
      </c>
      <c r="AP1697">
        <v>-92</v>
      </c>
      <c r="AQ1697">
        <v>-123</v>
      </c>
      <c r="AR1697">
        <v>0</v>
      </c>
      <c r="AZ1697">
        <v>4552</v>
      </c>
      <c r="BA1697">
        <v>1</v>
      </c>
      <c r="BB1697" t="str">
        <f t="shared" si="336"/>
        <v xml:space="preserve">N607SR  </v>
      </c>
      <c r="BC1697">
        <v>1</v>
      </c>
      <c r="BE1697">
        <v>0</v>
      </c>
      <c r="BF1697">
        <v>0</v>
      </c>
      <c r="BG1697">
        <v>0</v>
      </c>
      <c r="BH1697">
        <v>2600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 t="shared" si="354"/>
        <v>06:17:03.185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465</v>
      </c>
      <c r="CR1697">
        <v>0</v>
      </c>
      <c r="CW1697">
        <v>4722166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 t="shared" si="351"/>
        <v>08/29/2020 06:16:59.946</v>
      </c>
      <c r="C1698" t="str">
        <f t="shared" si="334"/>
        <v>FFDFD3C0</v>
      </c>
      <c r="D1698" t="s">
        <v>128</v>
      </c>
      <c r="E1698">
        <v>5</v>
      </c>
      <c r="H1698">
        <v>241</v>
      </c>
      <c r="I1698" t="s">
        <v>129</v>
      </c>
      <c r="J1698" t="s">
        <v>130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352"/>
        <v>06:17:03.180</v>
      </c>
      <c r="T1698" t="str">
        <f t="shared" si="353"/>
        <v>06:17:02.780</v>
      </c>
      <c r="U1698" t="str">
        <f t="shared" si="335"/>
        <v>A7E2E0</v>
      </c>
      <c r="V1698">
        <v>0</v>
      </c>
      <c r="W1698">
        <v>0</v>
      </c>
      <c r="X1698">
        <v>1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0</v>
      </c>
      <c r="AI1698" t="s">
        <v>1101</v>
      </c>
      <c r="AJ1698">
        <v>38.997430999999999</v>
      </c>
      <c r="AK1698" t="s">
        <v>1102</v>
      </c>
      <c r="AL1698">
        <v>-87.573459</v>
      </c>
      <c r="AM1698">
        <v>100</v>
      </c>
      <c r="AN1698">
        <v>2800</v>
      </c>
      <c r="AO1698" t="s">
        <v>118</v>
      </c>
      <c r="AP1698">
        <v>-92</v>
      </c>
      <c r="AQ1698">
        <v>-123</v>
      </c>
      <c r="AR1698">
        <v>0</v>
      </c>
      <c r="AZ1698">
        <v>4552</v>
      </c>
      <c r="BA1698">
        <v>1</v>
      </c>
      <c r="BB1698" t="str">
        <f t="shared" si="336"/>
        <v xml:space="preserve">N607SR  </v>
      </c>
      <c r="BC1698">
        <v>1</v>
      </c>
      <c r="BE1698">
        <v>0</v>
      </c>
      <c r="BF1698">
        <v>0</v>
      </c>
      <c r="BG1698">
        <v>0</v>
      </c>
      <c r="BH1698">
        <v>2600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 t="shared" si="354"/>
        <v>06:17:03.185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6</v>
      </c>
      <c r="CP1698" t="s">
        <v>119</v>
      </c>
      <c r="CQ1698">
        <v>465</v>
      </c>
      <c r="CR1698">
        <v>0</v>
      </c>
      <c r="CW1698">
        <v>4722166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 t="shared" ref="A1699:A1704" si="355">"08/29/2020 06:17:00.901"</f>
        <v>08/29/2020 06:17:00.901</v>
      </c>
      <c r="C1699" t="str">
        <f t="shared" si="334"/>
        <v>FFDFD3C0</v>
      </c>
      <c r="D1699" t="s">
        <v>939</v>
      </c>
      <c r="E1699">
        <v>10</v>
      </c>
      <c r="H1699">
        <v>79</v>
      </c>
      <c r="I1699" t="s">
        <v>940</v>
      </c>
      <c r="J1699" t="s">
        <v>130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ref="S1699:S1704" si="356">"06:17:04.117"</f>
        <v>06:17:04.117</v>
      </c>
      <c r="T1699" t="str">
        <f t="shared" ref="T1699:T1704" si="357">"06:17:03.717"</f>
        <v>06:17:03.717</v>
      </c>
      <c r="U1699" t="str">
        <f t="shared" si="335"/>
        <v>A7E2E0</v>
      </c>
      <c r="V1699">
        <v>0</v>
      </c>
      <c r="W1699">
        <v>0</v>
      </c>
      <c r="X1699">
        <v>1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0</v>
      </c>
      <c r="AI1699" t="s">
        <v>1103</v>
      </c>
      <c r="AJ1699">
        <v>38.996850999999999</v>
      </c>
      <c r="AK1699" t="s">
        <v>1104</v>
      </c>
      <c r="AL1699">
        <v>-87.574060000000003</v>
      </c>
      <c r="AM1699">
        <v>100</v>
      </c>
      <c r="AN1699">
        <v>2800</v>
      </c>
      <c r="AO1699" t="s">
        <v>118</v>
      </c>
      <c r="AP1699">
        <v>-92</v>
      </c>
      <c r="AQ1699">
        <v>-123</v>
      </c>
      <c r="AR1699">
        <v>-64</v>
      </c>
      <c r="AZ1699">
        <v>4552</v>
      </c>
      <c r="BA1699">
        <v>1</v>
      </c>
      <c r="BB1699" t="str">
        <f t="shared" si="336"/>
        <v xml:space="preserve">N607SR  </v>
      </c>
      <c r="BC1699">
        <v>1</v>
      </c>
      <c r="BE1699">
        <v>0</v>
      </c>
      <c r="BF1699">
        <v>0</v>
      </c>
      <c r="BG1699">
        <v>0</v>
      </c>
      <c r="BH1699">
        <v>2600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 t="shared" ref="BW1699:BW1704" si="358">"06:17:04.117"</f>
        <v>06:17:04.117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6</v>
      </c>
      <c r="CP1699" t="s">
        <v>119</v>
      </c>
      <c r="CQ1699">
        <v>465</v>
      </c>
      <c r="CR1699">
        <v>0</v>
      </c>
      <c r="CW1699">
        <v>4722196</v>
      </c>
      <c r="CY1699">
        <v>1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 t="shared" si="355"/>
        <v>08/29/2020 06:17:00.901</v>
      </c>
      <c r="C1700" t="str">
        <f t="shared" si="334"/>
        <v>FFDFD3C0</v>
      </c>
      <c r="D1700" t="s">
        <v>121</v>
      </c>
      <c r="E1700">
        <v>10</v>
      </c>
      <c r="F1700">
        <v>1010</v>
      </c>
      <c r="G1700" t="s">
        <v>114</v>
      </c>
      <c r="J1700" t="s">
        <v>123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356"/>
        <v>06:17:04.117</v>
      </c>
      <c r="T1700" t="str">
        <f t="shared" si="357"/>
        <v>06:17:03.717</v>
      </c>
      <c r="U1700" t="str">
        <f t="shared" si="335"/>
        <v>A7E2E0</v>
      </c>
      <c r="V1700">
        <v>0</v>
      </c>
      <c r="W1700">
        <v>0</v>
      </c>
      <c r="X1700">
        <v>1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0</v>
      </c>
      <c r="AI1700" t="s">
        <v>1103</v>
      </c>
      <c r="AJ1700">
        <v>38.996850999999999</v>
      </c>
      <c r="AK1700" t="s">
        <v>1104</v>
      </c>
      <c r="AL1700">
        <v>-87.574060000000003</v>
      </c>
      <c r="AM1700">
        <v>100</v>
      </c>
      <c r="AN1700">
        <v>2800</v>
      </c>
      <c r="AO1700" t="s">
        <v>118</v>
      </c>
      <c r="AP1700">
        <v>-92</v>
      </c>
      <c r="AQ1700">
        <v>-123</v>
      </c>
      <c r="AR1700">
        <v>-64</v>
      </c>
      <c r="AZ1700">
        <v>4552</v>
      </c>
      <c r="BA1700">
        <v>1</v>
      </c>
      <c r="BB1700" t="str">
        <f t="shared" si="336"/>
        <v xml:space="preserve">N607SR  </v>
      </c>
      <c r="BC1700">
        <v>1</v>
      </c>
      <c r="BE1700">
        <v>0</v>
      </c>
      <c r="BF1700">
        <v>0</v>
      </c>
      <c r="BG1700">
        <v>0</v>
      </c>
      <c r="BH1700">
        <v>2600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 t="shared" si="358"/>
        <v>06:17:04.117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6</v>
      </c>
      <c r="CP1700" t="s">
        <v>119</v>
      </c>
      <c r="CQ1700">
        <v>465</v>
      </c>
      <c r="CR1700">
        <v>0</v>
      </c>
      <c r="CW1700">
        <v>4722196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 t="shared" si="355"/>
        <v>08/29/2020 06:17:00.901</v>
      </c>
      <c r="C1701" t="str">
        <f t="shared" si="334"/>
        <v>FFDFD3C0</v>
      </c>
      <c r="D1701" t="s">
        <v>121</v>
      </c>
      <c r="E1701">
        <v>13</v>
      </c>
      <c r="F1701">
        <v>1013</v>
      </c>
      <c r="G1701" t="s">
        <v>122</v>
      </c>
      <c r="J1701" t="s">
        <v>123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356"/>
        <v>06:17:04.117</v>
      </c>
      <c r="T1701" t="str">
        <f t="shared" si="357"/>
        <v>06:17:03.717</v>
      </c>
      <c r="U1701" t="str">
        <f t="shared" si="335"/>
        <v>A7E2E0</v>
      </c>
      <c r="V1701">
        <v>0</v>
      </c>
      <c r="W1701">
        <v>0</v>
      </c>
      <c r="X1701">
        <v>1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0</v>
      </c>
      <c r="AI1701" t="s">
        <v>1103</v>
      </c>
      <c r="AJ1701">
        <v>38.996850999999999</v>
      </c>
      <c r="AK1701" t="s">
        <v>1104</v>
      </c>
      <c r="AL1701">
        <v>-87.574060000000003</v>
      </c>
      <c r="AM1701">
        <v>100</v>
      </c>
      <c r="AN1701">
        <v>2800</v>
      </c>
      <c r="AO1701" t="s">
        <v>118</v>
      </c>
      <c r="AP1701">
        <v>-92</v>
      </c>
      <c r="AQ1701">
        <v>-123</v>
      </c>
      <c r="AR1701">
        <v>-64</v>
      </c>
      <c r="AZ1701">
        <v>4552</v>
      </c>
      <c r="BA1701">
        <v>1</v>
      </c>
      <c r="BB1701" t="str">
        <f t="shared" si="336"/>
        <v xml:space="preserve">N607SR  </v>
      </c>
      <c r="BC1701">
        <v>1</v>
      </c>
      <c r="BE1701">
        <v>0</v>
      </c>
      <c r="BF1701">
        <v>0</v>
      </c>
      <c r="BG1701">
        <v>0</v>
      </c>
      <c r="BH1701">
        <v>2600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 t="shared" si="358"/>
        <v>06:17:04.117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6</v>
      </c>
      <c r="CP1701" t="s">
        <v>119</v>
      </c>
      <c r="CQ1701">
        <v>465</v>
      </c>
      <c r="CR1701">
        <v>0</v>
      </c>
      <c r="CW1701">
        <v>4722196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 t="shared" si="355"/>
        <v>08/29/2020 06:17:00.901</v>
      </c>
      <c r="C1702" t="str">
        <f t="shared" si="334"/>
        <v>FFDFD3C0</v>
      </c>
      <c r="D1702" t="s">
        <v>121</v>
      </c>
      <c r="E1702">
        <v>11</v>
      </c>
      <c r="F1702">
        <v>1011</v>
      </c>
      <c r="G1702" t="s">
        <v>125</v>
      </c>
      <c r="J1702" t="s">
        <v>123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356"/>
        <v>06:17:04.117</v>
      </c>
      <c r="T1702" t="str">
        <f t="shared" si="357"/>
        <v>06:17:03.717</v>
      </c>
      <c r="U1702" t="str">
        <f t="shared" si="335"/>
        <v>A7E2E0</v>
      </c>
      <c r="V1702">
        <v>0</v>
      </c>
      <c r="W1702">
        <v>0</v>
      </c>
      <c r="X1702">
        <v>1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0</v>
      </c>
      <c r="AI1702" t="s">
        <v>1103</v>
      </c>
      <c r="AJ1702">
        <v>38.996850999999999</v>
      </c>
      <c r="AK1702" t="s">
        <v>1104</v>
      </c>
      <c r="AL1702">
        <v>-87.574060000000003</v>
      </c>
      <c r="AM1702">
        <v>100</v>
      </c>
      <c r="AN1702">
        <v>2800</v>
      </c>
      <c r="AO1702" t="s">
        <v>118</v>
      </c>
      <c r="AP1702">
        <v>-92</v>
      </c>
      <c r="AQ1702">
        <v>-123</v>
      </c>
      <c r="AR1702">
        <v>-64</v>
      </c>
      <c r="AZ1702">
        <v>4552</v>
      </c>
      <c r="BA1702">
        <v>1</v>
      </c>
      <c r="BB1702" t="str">
        <f t="shared" si="336"/>
        <v xml:space="preserve">N607SR  </v>
      </c>
      <c r="BC1702">
        <v>1</v>
      </c>
      <c r="BE1702">
        <v>0</v>
      </c>
      <c r="BF1702">
        <v>0</v>
      </c>
      <c r="BG1702">
        <v>0</v>
      </c>
      <c r="BH1702">
        <v>2600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 t="shared" si="358"/>
        <v>06:17:04.117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457</v>
      </c>
      <c r="CR1702">
        <v>0</v>
      </c>
      <c r="CW1702">
        <v>15517914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 t="shared" si="355"/>
        <v>08/29/2020 06:17:00.901</v>
      </c>
      <c r="C1703" t="str">
        <f t="shared" si="334"/>
        <v>FFDFD3C0</v>
      </c>
      <c r="D1703" t="s">
        <v>113</v>
      </c>
      <c r="E1703">
        <v>5</v>
      </c>
      <c r="H1703">
        <v>163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356"/>
        <v>06:17:04.117</v>
      </c>
      <c r="T1703" t="str">
        <f t="shared" si="357"/>
        <v>06:17:03.717</v>
      </c>
      <c r="U1703" t="str">
        <f t="shared" si="335"/>
        <v>A7E2E0</v>
      </c>
      <c r="V1703">
        <v>0</v>
      </c>
      <c r="W1703">
        <v>0</v>
      </c>
      <c r="X1703">
        <v>1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0</v>
      </c>
      <c r="AI1703" t="s">
        <v>1103</v>
      </c>
      <c r="AJ1703">
        <v>38.996850999999999</v>
      </c>
      <c r="AK1703" t="s">
        <v>1104</v>
      </c>
      <c r="AL1703">
        <v>-87.574060000000003</v>
      </c>
      <c r="AM1703">
        <v>100</v>
      </c>
      <c r="AN1703">
        <v>2800</v>
      </c>
      <c r="AO1703" t="s">
        <v>118</v>
      </c>
      <c r="AP1703">
        <v>-92</v>
      </c>
      <c r="AQ1703">
        <v>-123</v>
      </c>
      <c r="AR1703">
        <v>-64</v>
      </c>
      <c r="AZ1703">
        <v>4552</v>
      </c>
      <c r="BA1703">
        <v>1</v>
      </c>
      <c r="BB1703" t="str">
        <f t="shared" si="336"/>
        <v xml:space="preserve">N607SR  </v>
      </c>
      <c r="BC1703">
        <v>1</v>
      </c>
      <c r="BE1703">
        <v>0</v>
      </c>
      <c r="BF1703">
        <v>0</v>
      </c>
      <c r="BG1703">
        <v>0</v>
      </c>
      <c r="BH1703">
        <v>2600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 t="shared" si="358"/>
        <v>06:17:04.117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6</v>
      </c>
      <c r="CP1703" t="s">
        <v>119</v>
      </c>
      <c r="CQ1703">
        <v>465</v>
      </c>
      <c r="CR1703">
        <v>0</v>
      </c>
      <c r="CW1703">
        <v>4722196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 t="shared" si="355"/>
        <v>08/29/2020 06:17:00.901</v>
      </c>
      <c r="C1704" t="str">
        <f t="shared" si="334"/>
        <v>FFDFD3C0</v>
      </c>
      <c r="D1704" t="s">
        <v>128</v>
      </c>
      <c r="E1704">
        <v>5</v>
      </c>
      <c r="H1704">
        <v>241</v>
      </c>
      <c r="I1704" t="s">
        <v>129</v>
      </c>
      <c r="J1704" t="s">
        <v>130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356"/>
        <v>06:17:04.117</v>
      </c>
      <c r="T1704" t="str">
        <f t="shared" si="357"/>
        <v>06:17:03.717</v>
      </c>
      <c r="U1704" t="str">
        <f t="shared" si="335"/>
        <v>A7E2E0</v>
      </c>
      <c r="V1704">
        <v>0</v>
      </c>
      <c r="W1704">
        <v>0</v>
      </c>
      <c r="X1704">
        <v>1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0</v>
      </c>
      <c r="AI1704" t="s">
        <v>1103</v>
      </c>
      <c r="AJ1704">
        <v>38.996850999999999</v>
      </c>
      <c r="AK1704" t="s">
        <v>1104</v>
      </c>
      <c r="AL1704">
        <v>-87.574060000000003</v>
      </c>
      <c r="AM1704">
        <v>100</v>
      </c>
      <c r="AN1704">
        <v>2800</v>
      </c>
      <c r="AO1704" t="s">
        <v>118</v>
      </c>
      <c r="AP1704">
        <v>-92</v>
      </c>
      <c r="AQ1704">
        <v>-123</v>
      </c>
      <c r="AR1704">
        <v>-64</v>
      </c>
      <c r="AZ1704">
        <v>4552</v>
      </c>
      <c r="BA1704">
        <v>1</v>
      </c>
      <c r="BB1704" t="str">
        <f t="shared" si="336"/>
        <v xml:space="preserve">N607SR  </v>
      </c>
      <c r="BC1704">
        <v>1</v>
      </c>
      <c r="BE1704">
        <v>0</v>
      </c>
      <c r="BF1704">
        <v>0</v>
      </c>
      <c r="BG1704">
        <v>0</v>
      </c>
      <c r="BH1704">
        <v>2600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 t="shared" si="358"/>
        <v>06:17:04.117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465</v>
      </c>
      <c r="CR1704">
        <v>0</v>
      </c>
      <c r="CW1704">
        <v>4722196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 t="shared" ref="A1705:A1710" si="359">"08/29/2020 06:17:01.808"</f>
        <v>08/29/2020 06:17:01.808</v>
      </c>
      <c r="C1705" t="str">
        <f t="shared" si="334"/>
        <v>FFDFD3C0</v>
      </c>
      <c r="D1705" t="s">
        <v>939</v>
      </c>
      <c r="E1705">
        <v>10</v>
      </c>
      <c r="H1705">
        <v>79</v>
      </c>
      <c r="I1705" t="s">
        <v>940</v>
      </c>
      <c r="J1705" t="s">
        <v>130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ref="S1705:S1710" si="360">"06:17:05.039"</f>
        <v>06:17:05.039</v>
      </c>
      <c r="T1705" t="str">
        <f t="shared" ref="T1705:T1710" si="361">"06:17:04.639"</f>
        <v>06:17:04.639</v>
      </c>
      <c r="U1705" t="str">
        <f t="shared" si="335"/>
        <v>A7E2E0</v>
      </c>
      <c r="V1705">
        <v>0</v>
      </c>
      <c r="W1705">
        <v>0</v>
      </c>
      <c r="X1705">
        <v>1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0</v>
      </c>
      <c r="AI1705" t="s">
        <v>1105</v>
      </c>
      <c r="AJ1705">
        <v>38.996335999999999</v>
      </c>
      <c r="AK1705" t="s">
        <v>1106</v>
      </c>
      <c r="AL1705">
        <v>-87.574532000000005</v>
      </c>
      <c r="AM1705">
        <v>100</v>
      </c>
      <c r="AN1705">
        <v>2800</v>
      </c>
      <c r="AO1705" t="s">
        <v>118</v>
      </c>
      <c r="AP1705">
        <v>-92</v>
      </c>
      <c r="AQ1705">
        <v>-123</v>
      </c>
      <c r="AR1705">
        <v>-64</v>
      </c>
      <c r="AZ1705">
        <v>4552</v>
      </c>
      <c r="BA1705">
        <v>1</v>
      </c>
      <c r="BB1705" t="str">
        <f t="shared" si="336"/>
        <v xml:space="preserve">N607SR  </v>
      </c>
      <c r="BC1705">
        <v>1</v>
      </c>
      <c r="BE1705">
        <v>0</v>
      </c>
      <c r="BF1705">
        <v>0</v>
      </c>
      <c r="BG1705">
        <v>0</v>
      </c>
      <c r="BH1705">
        <v>2600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 t="shared" ref="BW1705:BW1710" si="362">"06:17:05.045"</f>
        <v>06:17:05.045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465</v>
      </c>
      <c r="CR1705">
        <v>0</v>
      </c>
      <c r="CW1705">
        <v>4722226</v>
      </c>
      <c r="CY1705">
        <v>1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 t="shared" si="359"/>
        <v>08/29/2020 06:17:01.808</v>
      </c>
      <c r="C1706" t="str">
        <f t="shared" si="334"/>
        <v>FFDFD3C0</v>
      </c>
      <c r="D1706" t="s">
        <v>121</v>
      </c>
      <c r="E1706">
        <v>10</v>
      </c>
      <c r="F1706">
        <v>1010</v>
      </c>
      <c r="G1706" t="s">
        <v>114</v>
      </c>
      <c r="J1706" t="s">
        <v>123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360"/>
        <v>06:17:05.039</v>
      </c>
      <c r="T1706" t="str">
        <f t="shared" si="361"/>
        <v>06:17:04.639</v>
      </c>
      <c r="U1706" t="str">
        <f t="shared" si="335"/>
        <v>A7E2E0</v>
      </c>
      <c r="V1706">
        <v>0</v>
      </c>
      <c r="W1706">
        <v>0</v>
      </c>
      <c r="X1706">
        <v>1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0</v>
      </c>
      <c r="AI1706" t="s">
        <v>1105</v>
      </c>
      <c r="AJ1706">
        <v>38.996335999999999</v>
      </c>
      <c r="AK1706" t="s">
        <v>1106</v>
      </c>
      <c r="AL1706">
        <v>-87.574532000000005</v>
      </c>
      <c r="AM1706">
        <v>100</v>
      </c>
      <c r="AN1706">
        <v>2800</v>
      </c>
      <c r="AO1706" t="s">
        <v>118</v>
      </c>
      <c r="AP1706">
        <v>-92</v>
      </c>
      <c r="AQ1706">
        <v>-123</v>
      </c>
      <c r="AR1706">
        <v>-64</v>
      </c>
      <c r="AZ1706">
        <v>4552</v>
      </c>
      <c r="BA1706">
        <v>1</v>
      </c>
      <c r="BB1706" t="str">
        <f t="shared" si="336"/>
        <v xml:space="preserve">N607SR  </v>
      </c>
      <c r="BC1706">
        <v>1</v>
      </c>
      <c r="BE1706">
        <v>0</v>
      </c>
      <c r="BF1706">
        <v>0</v>
      </c>
      <c r="BG1706">
        <v>0</v>
      </c>
      <c r="BH1706">
        <v>2600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 t="shared" si="362"/>
        <v>06:17:05.045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6</v>
      </c>
      <c r="CP1706" t="s">
        <v>119</v>
      </c>
      <c r="CQ1706">
        <v>465</v>
      </c>
      <c r="CR1706">
        <v>0</v>
      </c>
      <c r="CW1706">
        <v>4722226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 t="shared" si="359"/>
        <v>08/29/2020 06:17:01.808</v>
      </c>
      <c r="C1707" t="str">
        <f t="shared" si="334"/>
        <v>FFDFD3C0</v>
      </c>
      <c r="D1707" t="s">
        <v>121</v>
      </c>
      <c r="E1707">
        <v>13</v>
      </c>
      <c r="F1707">
        <v>1013</v>
      </c>
      <c r="G1707" t="s">
        <v>122</v>
      </c>
      <c r="J1707" t="s">
        <v>123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360"/>
        <v>06:17:05.039</v>
      </c>
      <c r="T1707" t="str">
        <f t="shared" si="361"/>
        <v>06:17:04.639</v>
      </c>
      <c r="U1707" t="str">
        <f t="shared" si="335"/>
        <v>A7E2E0</v>
      </c>
      <c r="V1707">
        <v>0</v>
      </c>
      <c r="W1707">
        <v>0</v>
      </c>
      <c r="X1707">
        <v>1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0</v>
      </c>
      <c r="AI1707" t="s">
        <v>1105</v>
      </c>
      <c r="AJ1707">
        <v>38.996335999999999</v>
      </c>
      <c r="AK1707" t="s">
        <v>1106</v>
      </c>
      <c r="AL1707">
        <v>-87.574532000000005</v>
      </c>
      <c r="AM1707">
        <v>100</v>
      </c>
      <c r="AN1707">
        <v>2800</v>
      </c>
      <c r="AO1707" t="s">
        <v>118</v>
      </c>
      <c r="AP1707">
        <v>-92</v>
      </c>
      <c r="AQ1707">
        <v>-123</v>
      </c>
      <c r="AR1707">
        <v>-64</v>
      </c>
      <c r="AZ1707">
        <v>4552</v>
      </c>
      <c r="BA1707">
        <v>1</v>
      </c>
      <c r="BB1707" t="str">
        <f t="shared" si="336"/>
        <v xml:space="preserve">N607SR  </v>
      </c>
      <c r="BC1707">
        <v>1</v>
      </c>
      <c r="BE1707">
        <v>0</v>
      </c>
      <c r="BF1707">
        <v>0</v>
      </c>
      <c r="BG1707">
        <v>0</v>
      </c>
      <c r="BH1707">
        <v>2600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 t="shared" si="362"/>
        <v>06:17:05.045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6</v>
      </c>
      <c r="CP1707" t="s">
        <v>119</v>
      </c>
      <c r="CQ1707">
        <v>465</v>
      </c>
      <c r="CR1707">
        <v>0</v>
      </c>
      <c r="CW1707">
        <v>4722226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 t="shared" si="359"/>
        <v>08/29/2020 06:17:01.808</v>
      </c>
      <c r="C1708" t="str">
        <f t="shared" si="334"/>
        <v>FFDFD3C0</v>
      </c>
      <c r="D1708" t="s">
        <v>113</v>
      </c>
      <c r="E1708">
        <v>5</v>
      </c>
      <c r="H1708">
        <v>163</v>
      </c>
      <c r="I1708" t="s">
        <v>114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360"/>
        <v>06:17:05.039</v>
      </c>
      <c r="T1708" t="str">
        <f t="shared" si="361"/>
        <v>06:17:04.639</v>
      </c>
      <c r="U1708" t="str">
        <f t="shared" si="335"/>
        <v>A7E2E0</v>
      </c>
      <c r="V1708">
        <v>0</v>
      </c>
      <c r="W1708">
        <v>0</v>
      </c>
      <c r="X1708">
        <v>1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0</v>
      </c>
      <c r="AI1708" t="s">
        <v>1105</v>
      </c>
      <c r="AJ1708">
        <v>38.996335999999999</v>
      </c>
      <c r="AK1708" t="s">
        <v>1106</v>
      </c>
      <c r="AL1708">
        <v>-87.574532000000005</v>
      </c>
      <c r="AM1708">
        <v>100</v>
      </c>
      <c r="AN1708">
        <v>2800</v>
      </c>
      <c r="AO1708" t="s">
        <v>118</v>
      </c>
      <c r="AP1708">
        <v>-92</v>
      </c>
      <c r="AQ1708">
        <v>-123</v>
      </c>
      <c r="AR1708">
        <v>-64</v>
      </c>
      <c r="AZ1708">
        <v>4552</v>
      </c>
      <c r="BA1708">
        <v>1</v>
      </c>
      <c r="BB1708" t="str">
        <f t="shared" si="336"/>
        <v xml:space="preserve">N607SR  </v>
      </c>
      <c r="BC1708">
        <v>1</v>
      </c>
      <c r="BE1708">
        <v>0</v>
      </c>
      <c r="BF1708">
        <v>0</v>
      </c>
      <c r="BG1708">
        <v>0</v>
      </c>
      <c r="BH1708">
        <v>2600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 t="shared" si="362"/>
        <v>06:17:05.045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465</v>
      </c>
      <c r="CR1708">
        <v>0</v>
      </c>
      <c r="CW1708">
        <v>4722226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 t="shared" si="359"/>
        <v>08/29/2020 06:17:01.808</v>
      </c>
      <c r="C1709" t="str">
        <f t="shared" si="334"/>
        <v>FFDFD3C0</v>
      </c>
      <c r="D1709" t="s">
        <v>121</v>
      </c>
      <c r="E1709">
        <v>11</v>
      </c>
      <c r="F1709">
        <v>1011</v>
      </c>
      <c r="G1709" t="s">
        <v>125</v>
      </c>
      <c r="J1709" t="s">
        <v>123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360"/>
        <v>06:17:05.039</v>
      </c>
      <c r="T1709" t="str">
        <f t="shared" si="361"/>
        <v>06:17:04.639</v>
      </c>
      <c r="U1709" t="str">
        <f t="shared" si="335"/>
        <v>A7E2E0</v>
      </c>
      <c r="V1709">
        <v>0</v>
      </c>
      <c r="W1709">
        <v>0</v>
      </c>
      <c r="X1709">
        <v>1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0</v>
      </c>
      <c r="AI1709" t="s">
        <v>1105</v>
      </c>
      <c r="AJ1709">
        <v>38.996335999999999</v>
      </c>
      <c r="AK1709" t="s">
        <v>1106</v>
      </c>
      <c r="AL1709">
        <v>-87.574532000000005</v>
      </c>
      <c r="AM1709">
        <v>100</v>
      </c>
      <c r="AN1709">
        <v>2800</v>
      </c>
      <c r="AO1709" t="s">
        <v>118</v>
      </c>
      <c r="AP1709">
        <v>-92</v>
      </c>
      <c r="AQ1709">
        <v>-123</v>
      </c>
      <c r="AR1709">
        <v>-64</v>
      </c>
      <c r="AZ1709">
        <v>4552</v>
      </c>
      <c r="BA1709">
        <v>1</v>
      </c>
      <c r="BB1709" t="str">
        <f t="shared" si="336"/>
        <v xml:space="preserve">N607SR  </v>
      </c>
      <c r="BC1709">
        <v>1</v>
      </c>
      <c r="BE1709">
        <v>0</v>
      </c>
      <c r="BF1709">
        <v>0</v>
      </c>
      <c r="BG1709">
        <v>0</v>
      </c>
      <c r="BH1709">
        <v>2600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 t="shared" si="362"/>
        <v>06:17:05.045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457</v>
      </c>
      <c r="CR1709">
        <v>0</v>
      </c>
      <c r="CW1709">
        <v>15517939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 t="shared" si="359"/>
        <v>08/29/2020 06:17:01.808</v>
      </c>
      <c r="C1710" t="str">
        <f t="shared" si="334"/>
        <v>FFDFD3C0</v>
      </c>
      <c r="D1710" t="s">
        <v>128</v>
      </c>
      <c r="E1710">
        <v>5</v>
      </c>
      <c r="H1710">
        <v>241</v>
      </c>
      <c r="I1710" t="s">
        <v>129</v>
      </c>
      <c r="J1710" t="s">
        <v>130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360"/>
        <v>06:17:05.039</v>
      </c>
      <c r="T1710" t="str">
        <f t="shared" si="361"/>
        <v>06:17:04.639</v>
      </c>
      <c r="U1710" t="str">
        <f t="shared" si="335"/>
        <v>A7E2E0</v>
      </c>
      <c r="V1710">
        <v>0</v>
      </c>
      <c r="W1710">
        <v>0</v>
      </c>
      <c r="X1710">
        <v>1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0</v>
      </c>
      <c r="AI1710" t="s">
        <v>1105</v>
      </c>
      <c r="AJ1710">
        <v>38.996335999999999</v>
      </c>
      <c r="AK1710" t="s">
        <v>1106</v>
      </c>
      <c r="AL1710">
        <v>-87.574532000000005</v>
      </c>
      <c r="AM1710">
        <v>100</v>
      </c>
      <c r="AN1710">
        <v>2800</v>
      </c>
      <c r="AO1710" t="s">
        <v>118</v>
      </c>
      <c r="AP1710">
        <v>-92</v>
      </c>
      <c r="AQ1710">
        <v>-123</v>
      </c>
      <c r="AR1710">
        <v>-64</v>
      </c>
      <c r="AZ1710">
        <v>4552</v>
      </c>
      <c r="BA1710">
        <v>1</v>
      </c>
      <c r="BB1710" t="str">
        <f t="shared" si="336"/>
        <v xml:space="preserve">N607SR  </v>
      </c>
      <c r="BC1710">
        <v>1</v>
      </c>
      <c r="BE1710">
        <v>0</v>
      </c>
      <c r="BF1710">
        <v>0</v>
      </c>
      <c r="BG1710">
        <v>0</v>
      </c>
      <c r="BH1710">
        <v>2600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 t="shared" si="362"/>
        <v>06:17:05.045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465</v>
      </c>
      <c r="CR1710">
        <v>0</v>
      </c>
      <c r="CW1710">
        <v>4722226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 t="shared" ref="A1711:A1716" si="363">"08/29/2020 06:17:02.839"</f>
        <v>08/29/2020 06:17:02.839</v>
      </c>
      <c r="C1711" t="str">
        <f t="shared" si="334"/>
        <v>FFDFD3C0</v>
      </c>
      <c r="D1711" t="s">
        <v>121</v>
      </c>
      <c r="E1711">
        <v>13</v>
      </c>
      <c r="F1711">
        <v>1013</v>
      </c>
      <c r="G1711" t="s">
        <v>122</v>
      </c>
      <c r="J1711" t="s">
        <v>123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ref="S1711:S1716" si="364">"06:17:06.047"</f>
        <v>06:17:06.047</v>
      </c>
      <c r="T1711" t="str">
        <f t="shared" ref="T1711:T1716" si="365">"06:17:05.647"</f>
        <v>06:17:05.647</v>
      </c>
      <c r="U1711" t="str">
        <f t="shared" si="335"/>
        <v>A7E2E0</v>
      </c>
      <c r="V1711">
        <v>0</v>
      </c>
      <c r="W1711">
        <v>0</v>
      </c>
      <c r="X1711">
        <v>1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0</v>
      </c>
      <c r="AI1711" t="s">
        <v>1107</v>
      </c>
      <c r="AJ1711">
        <v>38.995778999999999</v>
      </c>
      <c r="AK1711" t="s">
        <v>1108</v>
      </c>
      <c r="AL1711">
        <v>-87.575068000000002</v>
      </c>
      <c r="AM1711">
        <v>100</v>
      </c>
      <c r="AN1711">
        <v>2800</v>
      </c>
      <c r="AO1711" t="s">
        <v>118</v>
      </c>
      <c r="AP1711">
        <v>-92</v>
      </c>
      <c r="AQ1711">
        <v>-122</v>
      </c>
      <c r="AR1711">
        <v>0</v>
      </c>
      <c r="AZ1711">
        <v>4552</v>
      </c>
      <c r="BA1711">
        <v>1</v>
      </c>
      <c r="BB1711" t="str">
        <f t="shared" si="336"/>
        <v xml:space="preserve">N607SR  </v>
      </c>
      <c r="BC1711">
        <v>1</v>
      </c>
      <c r="BE1711">
        <v>0</v>
      </c>
      <c r="BF1711">
        <v>0</v>
      </c>
      <c r="BG1711">
        <v>0</v>
      </c>
      <c r="BH1711">
        <v>2600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 t="shared" ref="BW1711:BW1716" si="366">"06:17:06.054"</f>
        <v>06:17:06.054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6</v>
      </c>
      <c r="CP1711" t="s">
        <v>119</v>
      </c>
      <c r="CQ1711">
        <v>465</v>
      </c>
      <c r="CR1711">
        <v>0</v>
      </c>
      <c r="CW1711">
        <v>4722256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 t="shared" si="363"/>
        <v>08/29/2020 06:17:02.839</v>
      </c>
      <c r="C1712" t="str">
        <f t="shared" si="334"/>
        <v>FFDFD3C0</v>
      </c>
      <c r="D1712" t="s">
        <v>113</v>
      </c>
      <c r="E1712">
        <v>5</v>
      </c>
      <c r="H1712">
        <v>163</v>
      </c>
      <c r="I1712" t="s">
        <v>114</v>
      </c>
      <c r="J1712" t="s">
        <v>115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364"/>
        <v>06:17:06.047</v>
      </c>
      <c r="T1712" t="str">
        <f t="shared" si="365"/>
        <v>06:17:05.647</v>
      </c>
      <c r="U1712" t="str">
        <f t="shared" si="335"/>
        <v>A7E2E0</v>
      </c>
      <c r="V1712">
        <v>0</v>
      </c>
      <c r="W1712">
        <v>0</v>
      </c>
      <c r="X1712">
        <v>1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0</v>
      </c>
      <c r="AI1712" t="s">
        <v>1107</v>
      </c>
      <c r="AJ1712">
        <v>38.995778999999999</v>
      </c>
      <c r="AK1712" t="s">
        <v>1108</v>
      </c>
      <c r="AL1712">
        <v>-87.575068000000002</v>
      </c>
      <c r="AM1712">
        <v>100</v>
      </c>
      <c r="AN1712">
        <v>2800</v>
      </c>
      <c r="AO1712" t="s">
        <v>118</v>
      </c>
      <c r="AP1712">
        <v>-92</v>
      </c>
      <c r="AQ1712">
        <v>-122</v>
      </c>
      <c r="AR1712">
        <v>0</v>
      </c>
      <c r="AZ1712">
        <v>4552</v>
      </c>
      <c r="BA1712">
        <v>1</v>
      </c>
      <c r="BB1712" t="str">
        <f t="shared" si="336"/>
        <v xml:space="preserve">N607SR  </v>
      </c>
      <c r="BC1712">
        <v>1</v>
      </c>
      <c r="BE1712">
        <v>0</v>
      </c>
      <c r="BF1712">
        <v>0</v>
      </c>
      <c r="BG1712">
        <v>0</v>
      </c>
      <c r="BH1712">
        <v>2600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 t="shared" si="366"/>
        <v>06:17:06.054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6</v>
      </c>
      <c r="CP1712" t="s">
        <v>119</v>
      </c>
      <c r="CQ1712">
        <v>465</v>
      </c>
      <c r="CR1712">
        <v>0</v>
      </c>
      <c r="CW1712">
        <v>4722256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 t="shared" si="363"/>
        <v>08/29/2020 06:17:02.839</v>
      </c>
      <c r="C1713" t="str">
        <f t="shared" si="334"/>
        <v>FFDFD3C0</v>
      </c>
      <c r="D1713" t="s">
        <v>121</v>
      </c>
      <c r="E1713">
        <v>11</v>
      </c>
      <c r="F1713">
        <v>1011</v>
      </c>
      <c r="G1713" t="s">
        <v>125</v>
      </c>
      <c r="J1713" t="s">
        <v>123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364"/>
        <v>06:17:06.047</v>
      </c>
      <c r="T1713" t="str">
        <f t="shared" si="365"/>
        <v>06:17:05.647</v>
      </c>
      <c r="U1713" t="str">
        <f t="shared" si="335"/>
        <v>A7E2E0</v>
      </c>
      <c r="V1713">
        <v>0</v>
      </c>
      <c r="W1713">
        <v>0</v>
      </c>
      <c r="X1713">
        <v>1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0</v>
      </c>
      <c r="AI1713" t="s">
        <v>1107</v>
      </c>
      <c r="AJ1713">
        <v>38.995778999999999</v>
      </c>
      <c r="AK1713" t="s">
        <v>1108</v>
      </c>
      <c r="AL1713">
        <v>-87.575068000000002</v>
      </c>
      <c r="AM1713">
        <v>100</v>
      </c>
      <c r="AN1713">
        <v>2800</v>
      </c>
      <c r="AO1713" t="s">
        <v>118</v>
      </c>
      <c r="AP1713">
        <v>-92</v>
      </c>
      <c r="AQ1713">
        <v>-122</v>
      </c>
      <c r="AR1713">
        <v>0</v>
      </c>
      <c r="AZ1713">
        <v>4552</v>
      </c>
      <c r="BA1713">
        <v>1</v>
      </c>
      <c r="BB1713" t="str">
        <f t="shared" si="336"/>
        <v xml:space="preserve">N607SR  </v>
      </c>
      <c r="BC1713">
        <v>1</v>
      </c>
      <c r="BE1713">
        <v>0</v>
      </c>
      <c r="BF1713">
        <v>0</v>
      </c>
      <c r="BG1713">
        <v>0</v>
      </c>
      <c r="BH1713">
        <v>2600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 t="shared" si="366"/>
        <v>06:17:06.054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6</v>
      </c>
      <c r="CP1713" t="s">
        <v>119</v>
      </c>
      <c r="CQ1713">
        <v>457</v>
      </c>
      <c r="CR1713">
        <v>0</v>
      </c>
      <c r="CW1713">
        <v>15517965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 t="shared" si="363"/>
        <v>08/29/2020 06:17:02.839</v>
      </c>
      <c r="C1714" t="str">
        <f t="shared" si="334"/>
        <v>FFDFD3C0</v>
      </c>
      <c r="D1714" t="s">
        <v>128</v>
      </c>
      <c r="E1714">
        <v>5</v>
      </c>
      <c r="H1714">
        <v>241</v>
      </c>
      <c r="I1714" t="s">
        <v>129</v>
      </c>
      <c r="J1714" t="s">
        <v>130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364"/>
        <v>06:17:06.047</v>
      </c>
      <c r="T1714" t="str">
        <f t="shared" si="365"/>
        <v>06:17:05.647</v>
      </c>
      <c r="U1714" t="str">
        <f t="shared" si="335"/>
        <v>A7E2E0</v>
      </c>
      <c r="V1714">
        <v>0</v>
      </c>
      <c r="W1714">
        <v>0</v>
      </c>
      <c r="X1714">
        <v>1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0</v>
      </c>
      <c r="AI1714" t="s">
        <v>1107</v>
      </c>
      <c r="AJ1714">
        <v>38.995778999999999</v>
      </c>
      <c r="AK1714" t="s">
        <v>1108</v>
      </c>
      <c r="AL1714">
        <v>-87.575068000000002</v>
      </c>
      <c r="AM1714">
        <v>100</v>
      </c>
      <c r="AN1714">
        <v>2800</v>
      </c>
      <c r="AO1714" t="s">
        <v>118</v>
      </c>
      <c r="AP1714">
        <v>-92</v>
      </c>
      <c r="AQ1714">
        <v>-122</v>
      </c>
      <c r="AR1714">
        <v>0</v>
      </c>
      <c r="AZ1714">
        <v>4552</v>
      </c>
      <c r="BA1714">
        <v>1</v>
      </c>
      <c r="BB1714" t="str">
        <f t="shared" si="336"/>
        <v xml:space="preserve">N607SR  </v>
      </c>
      <c r="BC1714">
        <v>1</v>
      </c>
      <c r="BE1714">
        <v>0</v>
      </c>
      <c r="BF1714">
        <v>0</v>
      </c>
      <c r="BG1714">
        <v>0</v>
      </c>
      <c r="BH1714">
        <v>2600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 t="shared" si="366"/>
        <v>06:17:06.054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6</v>
      </c>
      <c r="CP1714" t="s">
        <v>119</v>
      </c>
      <c r="CQ1714">
        <v>465</v>
      </c>
      <c r="CR1714">
        <v>0</v>
      </c>
      <c r="CW1714">
        <v>4722256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 t="shared" si="363"/>
        <v>08/29/2020 06:17:02.839</v>
      </c>
      <c r="C1715" t="str">
        <f t="shared" si="334"/>
        <v>FFDFD3C0</v>
      </c>
      <c r="D1715" t="s">
        <v>939</v>
      </c>
      <c r="E1715">
        <v>10</v>
      </c>
      <c r="H1715">
        <v>79</v>
      </c>
      <c r="I1715" t="s">
        <v>940</v>
      </c>
      <c r="J1715" t="s">
        <v>130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364"/>
        <v>06:17:06.047</v>
      </c>
      <c r="T1715" t="str">
        <f t="shared" si="365"/>
        <v>06:17:05.647</v>
      </c>
      <c r="U1715" t="str">
        <f t="shared" si="335"/>
        <v>A7E2E0</v>
      </c>
      <c r="V1715">
        <v>0</v>
      </c>
      <c r="W1715">
        <v>0</v>
      </c>
      <c r="X1715">
        <v>1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0</v>
      </c>
      <c r="AI1715" t="s">
        <v>1107</v>
      </c>
      <c r="AJ1715">
        <v>38.995778999999999</v>
      </c>
      <c r="AK1715" t="s">
        <v>1108</v>
      </c>
      <c r="AL1715">
        <v>-87.575068000000002</v>
      </c>
      <c r="AM1715">
        <v>100</v>
      </c>
      <c r="AN1715">
        <v>2800</v>
      </c>
      <c r="AO1715" t="s">
        <v>118</v>
      </c>
      <c r="AP1715">
        <v>-92</v>
      </c>
      <c r="AQ1715">
        <v>-122</v>
      </c>
      <c r="AR1715">
        <v>0</v>
      </c>
      <c r="AZ1715">
        <v>4552</v>
      </c>
      <c r="BA1715">
        <v>1</v>
      </c>
      <c r="BB1715" t="str">
        <f t="shared" si="336"/>
        <v xml:space="preserve">N607SR  </v>
      </c>
      <c r="BC1715">
        <v>1</v>
      </c>
      <c r="BE1715">
        <v>0</v>
      </c>
      <c r="BF1715">
        <v>0</v>
      </c>
      <c r="BG1715">
        <v>0</v>
      </c>
      <c r="BH1715">
        <v>2600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 t="shared" si="366"/>
        <v>06:17:06.054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465</v>
      </c>
      <c r="CR1715">
        <v>0</v>
      </c>
      <c r="CW1715">
        <v>4722256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 t="shared" si="363"/>
        <v>08/29/2020 06:17:02.839</v>
      </c>
      <c r="C1716" t="str">
        <f t="shared" si="334"/>
        <v>FFDFD3C0</v>
      </c>
      <c r="D1716" t="s">
        <v>121</v>
      </c>
      <c r="E1716">
        <v>10</v>
      </c>
      <c r="F1716">
        <v>1010</v>
      </c>
      <c r="G1716" t="s">
        <v>114</v>
      </c>
      <c r="J1716" t="s">
        <v>123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364"/>
        <v>06:17:06.047</v>
      </c>
      <c r="T1716" t="str">
        <f t="shared" si="365"/>
        <v>06:17:05.647</v>
      </c>
      <c r="U1716" t="str">
        <f t="shared" si="335"/>
        <v>A7E2E0</v>
      </c>
      <c r="V1716">
        <v>0</v>
      </c>
      <c r="W1716">
        <v>0</v>
      </c>
      <c r="X1716">
        <v>1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0</v>
      </c>
      <c r="AI1716" t="s">
        <v>1107</v>
      </c>
      <c r="AJ1716">
        <v>38.995778999999999</v>
      </c>
      <c r="AK1716" t="s">
        <v>1108</v>
      </c>
      <c r="AL1716">
        <v>-87.575068000000002</v>
      </c>
      <c r="AM1716">
        <v>100</v>
      </c>
      <c r="AN1716">
        <v>2800</v>
      </c>
      <c r="AO1716" t="s">
        <v>118</v>
      </c>
      <c r="AP1716">
        <v>-92</v>
      </c>
      <c r="AQ1716">
        <v>-122</v>
      </c>
      <c r="AR1716">
        <v>0</v>
      </c>
      <c r="AZ1716">
        <v>4552</v>
      </c>
      <c r="BA1716">
        <v>1</v>
      </c>
      <c r="BB1716" t="str">
        <f t="shared" si="336"/>
        <v xml:space="preserve">N607SR  </v>
      </c>
      <c r="BC1716">
        <v>1</v>
      </c>
      <c r="BE1716">
        <v>0</v>
      </c>
      <c r="BF1716">
        <v>0</v>
      </c>
      <c r="BG1716">
        <v>0</v>
      </c>
      <c r="BH1716">
        <v>2600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 t="shared" si="366"/>
        <v>06:17:06.054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465</v>
      </c>
      <c r="CR1716">
        <v>0</v>
      </c>
      <c r="CW1716">
        <v>4722256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 t="shared" ref="A1717:A1722" si="367">"08/29/2020 06:17:03.715"</f>
        <v>08/29/2020 06:17:03.715</v>
      </c>
      <c r="C1717" t="str">
        <f t="shared" si="334"/>
        <v>FFDFD3C0</v>
      </c>
      <c r="D1717" t="s">
        <v>113</v>
      </c>
      <c r="E1717">
        <v>5</v>
      </c>
      <c r="H1717">
        <v>163</v>
      </c>
      <c r="I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ref="S1717:S1722" si="368">"06:17:06.930"</f>
        <v>06:17:06.930</v>
      </c>
      <c r="T1717" t="str">
        <f t="shared" ref="T1717:T1722" si="369">"06:17:06.530"</f>
        <v>06:17:06.530</v>
      </c>
      <c r="U1717" t="str">
        <f t="shared" si="335"/>
        <v>A7E2E0</v>
      </c>
      <c r="V1717">
        <v>0</v>
      </c>
      <c r="W1717">
        <v>0</v>
      </c>
      <c r="X1717">
        <v>1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0</v>
      </c>
      <c r="AI1717" t="s">
        <v>1109</v>
      </c>
      <c r="AJ1717">
        <v>38.995285000000003</v>
      </c>
      <c r="AK1717" t="s">
        <v>1110</v>
      </c>
      <c r="AL1717">
        <v>-87.575541000000001</v>
      </c>
      <c r="AM1717">
        <v>100</v>
      </c>
      <c r="AN1717">
        <v>2800</v>
      </c>
      <c r="AO1717" t="s">
        <v>118</v>
      </c>
      <c r="AP1717">
        <v>-92</v>
      </c>
      <c r="AQ1717">
        <v>-122</v>
      </c>
      <c r="AR1717">
        <v>0</v>
      </c>
      <c r="AZ1717">
        <v>4552</v>
      </c>
      <c r="BA1717">
        <v>1</v>
      </c>
      <c r="BB1717" t="str">
        <f t="shared" si="336"/>
        <v xml:space="preserve">N607SR  </v>
      </c>
      <c r="BC1717">
        <v>1</v>
      </c>
      <c r="BE1717">
        <v>0</v>
      </c>
      <c r="BF1717">
        <v>0</v>
      </c>
      <c r="BG1717">
        <v>0</v>
      </c>
      <c r="BH1717">
        <v>2600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 t="shared" ref="BW1717:BW1722" si="370">"06:17:06.937"</f>
        <v>06:17:06.937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6</v>
      </c>
      <c r="CP1717" t="s">
        <v>119</v>
      </c>
      <c r="CQ1717">
        <v>465</v>
      </c>
      <c r="CR1717">
        <v>0</v>
      </c>
      <c r="CW1717">
        <v>4722281</v>
      </c>
      <c r="CY1717">
        <v>1</v>
      </c>
      <c r="CZ1717">
        <v>0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 t="shared" si="367"/>
        <v>08/29/2020 06:17:03.715</v>
      </c>
      <c r="C1718" t="str">
        <f t="shared" si="334"/>
        <v>FFDFD3C0</v>
      </c>
      <c r="D1718" t="s">
        <v>121</v>
      </c>
      <c r="E1718">
        <v>11</v>
      </c>
      <c r="F1718">
        <v>1011</v>
      </c>
      <c r="G1718" t="s">
        <v>125</v>
      </c>
      <c r="J1718" t="s">
        <v>123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368"/>
        <v>06:17:06.930</v>
      </c>
      <c r="T1718" t="str">
        <f t="shared" si="369"/>
        <v>06:17:06.530</v>
      </c>
      <c r="U1718" t="str">
        <f t="shared" si="335"/>
        <v>A7E2E0</v>
      </c>
      <c r="V1718">
        <v>0</v>
      </c>
      <c r="W1718">
        <v>0</v>
      </c>
      <c r="X1718">
        <v>1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0</v>
      </c>
      <c r="AI1718" t="s">
        <v>1109</v>
      </c>
      <c r="AJ1718">
        <v>38.995285000000003</v>
      </c>
      <c r="AK1718" t="s">
        <v>1110</v>
      </c>
      <c r="AL1718">
        <v>-87.575541000000001</v>
      </c>
      <c r="AM1718">
        <v>100</v>
      </c>
      <c r="AN1718">
        <v>2800</v>
      </c>
      <c r="AO1718" t="s">
        <v>118</v>
      </c>
      <c r="AP1718">
        <v>-92</v>
      </c>
      <c r="AQ1718">
        <v>-122</v>
      </c>
      <c r="AR1718">
        <v>0</v>
      </c>
      <c r="AZ1718">
        <v>4552</v>
      </c>
      <c r="BA1718">
        <v>1</v>
      </c>
      <c r="BB1718" t="str">
        <f t="shared" si="336"/>
        <v xml:space="preserve">N607SR  </v>
      </c>
      <c r="BC1718">
        <v>1</v>
      </c>
      <c r="BE1718">
        <v>0</v>
      </c>
      <c r="BF1718">
        <v>0</v>
      </c>
      <c r="BG1718">
        <v>0</v>
      </c>
      <c r="BH1718">
        <v>2600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 t="shared" si="370"/>
        <v>06:17:06.937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6</v>
      </c>
      <c r="CP1718" t="s">
        <v>119</v>
      </c>
      <c r="CQ1718">
        <v>457</v>
      </c>
      <c r="CR1718">
        <v>0</v>
      </c>
      <c r="CW1718">
        <v>15517988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 t="shared" si="367"/>
        <v>08/29/2020 06:17:03.715</v>
      </c>
      <c r="C1719" t="str">
        <f t="shared" si="334"/>
        <v>FFDFD3C0</v>
      </c>
      <c r="D1719" t="s">
        <v>939</v>
      </c>
      <c r="E1719">
        <v>10</v>
      </c>
      <c r="H1719">
        <v>79</v>
      </c>
      <c r="I1719" t="s">
        <v>940</v>
      </c>
      <c r="J1719" t="s">
        <v>130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368"/>
        <v>06:17:06.930</v>
      </c>
      <c r="T1719" t="str">
        <f t="shared" si="369"/>
        <v>06:17:06.530</v>
      </c>
      <c r="U1719" t="str">
        <f t="shared" si="335"/>
        <v>A7E2E0</v>
      </c>
      <c r="V1719">
        <v>0</v>
      </c>
      <c r="W1719">
        <v>0</v>
      </c>
      <c r="X1719">
        <v>1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0</v>
      </c>
      <c r="AI1719" t="s">
        <v>1109</v>
      </c>
      <c r="AJ1719">
        <v>38.995285000000003</v>
      </c>
      <c r="AK1719" t="s">
        <v>1110</v>
      </c>
      <c r="AL1719">
        <v>-87.575541000000001</v>
      </c>
      <c r="AM1719">
        <v>100</v>
      </c>
      <c r="AN1719">
        <v>2800</v>
      </c>
      <c r="AO1719" t="s">
        <v>118</v>
      </c>
      <c r="AP1719">
        <v>-92</v>
      </c>
      <c r="AQ1719">
        <v>-122</v>
      </c>
      <c r="AR1719">
        <v>0</v>
      </c>
      <c r="AZ1719">
        <v>4552</v>
      </c>
      <c r="BA1719">
        <v>1</v>
      </c>
      <c r="BB1719" t="str">
        <f t="shared" si="336"/>
        <v xml:space="preserve">N607SR  </v>
      </c>
      <c r="BC1719">
        <v>1</v>
      </c>
      <c r="BE1719">
        <v>0</v>
      </c>
      <c r="BF1719">
        <v>0</v>
      </c>
      <c r="BG1719">
        <v>0</v>
      </c>
      <c r="BH1719">
        <v>2600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 t="shared" si="370"/>
        <v>06:17:06.937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465</v>
      </c>
      <c r="CR1719">
        <v>0</v>
      </c>
      <c r="CW1719">
        <v>4722281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 t="shared" si="367"/>
        <v>08/29/2020 06:17:03.715</v>
      </c>
      <c r="C1720" t="str">
        <f t="shared" si="334"/>
        <v>FFDFD3C0</v>
      </c>
      <c r="D1720" t="s">
        <v>128</v>
      </c>
      <c r="E1720">
        <v>5</v>
      </c>
      <c r="H1720">
        <v>241</v>
      </c>
      <c r="I1720" t="s">
        <v>129</v>
      </c>
      <c r="J1720" t="s">
        <v>130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368"/>
        <v>06:17:06.930</v>
      </c>
      <c r="T1720" t="str">
        <f t="shared" si="369"/>
        <v>06:17:06.530</v>
      </c>
      <c r="U1720" t="str">
        <f t="shared" si="335"/>
        <v>A7E2E0</v>
      </c>
      <c r="V1720">
        <v>0</v>
      </c>
      <c r="W1720">
        <v>0</v>
      </c>
      <c r="X1720">
        <v>1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0</v>
      </c>
      <c r="AI1720" t="s">
        <v>1109</v>
      </c>
      <c r="AJ1720">
        <v>38.995285000000003</v>
      </c>
      <c r="AK1720" t="s">
        <v>1110</v>
      </c>
      <c r="AL1720">
        <v>-87.575541000000001</v>
      </c>
      <c r="AM1720">
        <v>100</v>
      </c>
      <c r="AN1720">
        <v>2800</v>
      </c>
      <c r="AO1720" t="s">
        <v>118</v>
      </c>
      <c r="AP1720">
        <v>-92</v>
      </c>
      <c r="AQ1720">
        <v>-122</v>
      </c>
      <c r="AR1720">
        <v>0</v>
      </c>
      <c r="AZ1720">
        <v>4552</v>
      </c>
      <c r="BA1720">
        <v>1</v>
      </c>
      <c r="BB1720" t="str">
        <f t="shared" si="336"/>
        <v xml:space="preserve">N607SR  </v>
      </c>
      <c r="BC1720">
        <v>1</v>
      </c>
      <c r="BE1720">
        <v>0</v>
      </c>
      <c r="BF1720">
        <v>0</v>
      </c>
      <c r="BG1720">
        <v>0</v>
      </c>
      <c r="BH1720">
        <v>2600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 t="shared" si="370"/>
        <v>06:17:06.937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6</v>
      </c>
      <c r="CP1720" t="s">
        <v>119</v>
      </c>
      <c r="CQ1720">
        <v>465</v>
      </c>
      <c r="CR1720">
        <v>0</v>
      </c>
      <c r="CW1720">
        <v>4722281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 t="shared" si="367"/>
        <v>08/29/2020 06:17:03.715</v>
      </c>
      <c r="C1721" t="str">
        <f t="shared" si="334"/>
        <v>FFDFD3C0</v>
      </c>
      <c r="D1721" t="s">
        <v>121</v>
      </c>
      <c r="E1721">
        <v>10</v>
      </c>
      <c r="F1721">
        <v>1010</v>
      </c>
      <c r="G1721" t="s">
        <v>114</v>
      </c>
      <c r="J1721" t="s">
        <v>123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368"/>
        <v>06:17:06.930</v>
      </c>
      <c r="T1721" t="str">
        <f t="shared" si="369"/>
        <v>06:17:06.530</v>
      </c>
      <c r="U1721" t="str">
        <f t="shared" si="335"/>
        <v>A7E2E0</v>
      </c>
      <c r="V1721">
        <v>0</v>
      </c>
      <c r="W1721">
        <v>0</v>
      </c>
      <c r="X1721">
        <v>1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0</v>
      </c>
      <c r="AI1721" t="s">
        <v>1109</v>
      </c>
      <c r="AJ1721">
        <v>38.995285000000003</v>
      </c>
      <c r="AK1721" t="s">
        <v>1110</v>
      </c>
      <c r="AL1721">
        <v>-87.575541000000001</v>
      </c>
      <c r="AM1721">
        <v>100</v>
      </c>
      <c r="AN1721">
        <v>2800</v>
      </c>
      <c r="AO1721" t="s">
        <v>118</v>
      </c>
      <c r="AP1721">
        <v>-92</v>
      </c>
      <c r="AQ1721">
        <v>-122</v>
      </c>
      <c r="AR1721">
        <v>0</v>
      </c>
      <c r="AZ1721">
        <v>4552</v>
      </c>
      <c r="BA1721">
        <v>1</v>
      </c>
      <c r="BB1721" t="str">
        <f t="shared" si="336"/>
        <v xml:space="preserve">N607SR  </v>
      </c>
      <c r="BC1721">
        <v>1</v>
      </c>
      <c r="BE1721">
        <v>0</v>
      </c>
      <c r="BF1721">
        <v>0</v>
      </c>
      <c r="BG1721">
        <v>0</v>
      </c>
      <c r="BH1721">
        <v>2600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 t="shared" si="370"/>
        <v>06:17:06.937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6</v>
      </c>
      <c r="CP1721" t="s">
        <v>119</v>
      </c>
      <c r="CQ1721">
        <v>465</v>
      </c>
      <c r="CR1721">
        <v>0</v>
      </c>
      <c r="CW1721">
        <v>4722281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 t="shared" si="367"/>
        <v>08/29/2020 06:17:03.715</v>
      </c>
      <c r="C1722" t="str">
        <f t="shared" si="334"/>
        <v>FFDFD3C0</v>
      </c>
      <c r="D1722" t="s">
        <v>121</v>
      </c>
      <c r="E1722">
        <v>13</v>
      </c>
      <c r="F1722">
        <v>1013</v>
      </c>
      <c r="G1722" t="s">
        <v>122</v>
      </c>
      <c r="J1722" t="s">
        <v>123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368"/>
        <v>06:17:06.930</v>
      </c>
      <c r="T1722" t="str">
        <f t="shared" si="369"/>
        <v>06:17:06.530</v>
      </c>
      <c r="U1722" t="str">
        <f t="shared" si="335"/>
        <v>A7E2E0</v>
      </c>
      <c r="V1722">
        <v>0</v>
      </c>
      <c r="W1722">
        <v>0</v>
      </c>
      <c r="X1722">
        <v>1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0</v>
      </c>
      <c r="AI1722" t="s">
        <v>1109</v>
      </c>
      <c r="AJ1722">
        <v>38.995285000000003</v>
      </c>
      <c r="AK1722" t="s">
        <v>1110</v>
      </c>
      <c r="AL1722">
        <v>-87.575541000000001</v>
      </c>
      <c r="AM1722">
        <v>100</v>
      </c>
      <c r="AN1722">
        <v>2800</v>
      </c>
      <c r="AO1722" t="s">
        <v>118</v>
      </c>
      <c r="AP1722">
        <v>-92</v>
      </c>
      <c r="AQ1722">
        <v>-122</v>
      </c>
      <c r="AR1722">
        <v>0</v>
      </c>
      <c r="AZ1722">
        <v>4552</v>
      </c>
      <c r="BA1722">
        <v>1</v>
      </c>
      <c r="BB1722" t="str">
        <f t="shared" si="336"/>
        <v xml:space="preserve">N607SR  </v>
      </c>
      <c r="BC1722">
        <v>1</v>
      </c>
      <c r="BE1722">
        <v>0</v>
      </c>
      <c r="BF1722">
        <v>0</v>
      </c>
      <c r="BG1722">
        <v>0</v>
      </c>
      <c r="BH1722">
        <v>2600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 t="shared" si="370"/>
        <v>06:17:06.937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6</v>
      </c>
      <c r="CP1722" t="s">
        <v>119</v>
      </c>
      <c r="CQ1722">
        <v>465</v>
      </c>
      <c r="CR1722">
        <v>0</v>
      </c>
      <c r="CW1722">
        <v>4722281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 t="shared" ref="A1723:A1728" si="371">"08/29/2020 06:17:04.664"</f>
        <v>08/29/2020 06:17:04.664</v>
      </c>
      <c r="C1723" t="str">
        <f t="shared" si="334"/>
        <v>FFDFD3C0</v>
      </c>
      <c r="D1723" t="s">
        <v>121</v>
      </c>
      <c r="E1723">
        <v>13</v>
      </c>
      <c r="F1723">
        <v>1013</v>
      </c>
      <c r="G1723" t="s">
        <v>122</v>
      </c>
      <c r="J1723" t="s">
        <v>123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ref="S1723:S1728" si="372">"06:17:07.867"</f>
        <v>06:17:07.867</v>
      </c>
      <c r="U1723" t="str">
        <f t="shared" si="335"/>
        <v>A7E2E0</v>
      </c>
      <c r="V1723">
        <v>0</v>
      </c>
      <c r="W1723">
        <v>0</v>
      </c>
      <c r="X1723">
        <v>1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0</v>
      </c>
      <c r="AI1723" t="s">
        <v>1111</v>
      </c>
      <c r="AJ1723">
        <v>38.994770000000003</v>
      </c>
      <c r="AK1723" t="s">
        <v>1112</v>
      </c>
      <c r="AL1723">
        <v>-87.576055999999994</v>
      </c>
      <c r="AM1723">
        <v>100</v>
      </c>
      <c r="AN1723">
        <v>2800</v>
      </c>
      <c r="AO1723" t="s">
        <v>118</v>
      </c>
      <c r="AP1723">
        <v>-91</v>
      </c>
      <c r="AQ1723">
        <v>-121</v>
      </c>
      <c r="AR1723">
        <v>0</v>
      </c>
      <c r="AZ1723">
        <v>4552</v>
      </c>
      <c r="BA1723">
        <v>1</v>
      </c>
      <c r="BB1723" t="str">
        <f t="shared" si="336"/>
        <v xml:space="preserve">N607SR  </v>
      </c>
      <c r="BC1723">
        <v>1</v>
      </c>
      <c r="BE1723">
        <v>0</v>
      </c>
      <c r="BF1723">
        <v>0</v>
      </c>
      <c r="BG1723">
        <v>0</v>
      </c>
      <c r="BH1723">
        <v>2600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 t="shared" ref="BW1723:BW1728" si="373">"06:17:07.871"</f>
        <v>06:17:07.871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6</v>
      </c>
      <c r="CP1723" t="s">
        <v>119</v>
      </c>
      <c r="CQ1723">
        <v>465</v>
      </c>
      <c r="CR1723">
        <v>0</v>
      </c>
      <c r="CW1723">
        <v>4722311</v>
      </c>
      <c r="CY1723">
        <v>1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 t="shared" si="371"/>
        <v>08/29/2020 06:17:04.664</v>
      </c>
      <c r="C1724" t="str">
        <f t="shared" si="334"/>
        <v>FFDFD3C0</v>
      </c>
      <c r="D1724" t="s">
        <v>113</v>
      </c>
      <c r="E1724">
        <v>5</v>
      </c>
      <c r="H1724">
        <v>163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372"/>
        <v>06:17:07.867</v>
      </c>
      <c r="U1724" t="str">
        <f t="shared" si="335"/>
        <v>A7E2E0</v>
      </c>
      <c r="V1724">
        <v>0</v>
      </c>
      <c r="W1724">
        <v>0</v>
      </c>
      <c r="X1724">
        <v>1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0</v>
      </c>
      <c r="AI1724" t="s">
        <v>1111</v>
      </c>
      <c r="AJ1724">
        <v>38.994770000000003</v>
      </c>
      <c r="AK1724" t="s">
        <v>1112</v>
      </c>
      <c r="AL1724">
        <v>-87.576055999999994</v>
      </c>
      <c r="AM1724">
        <v>100</v>
      </c>
      <c r="AN1724">
        <v>2800</v>
      </c>
      <c r="AO1724" t="s">
        <v>118</v>
      </c>
      <c r="AP1724">
        <v>-91</v>
      </c>
      <c r="AQ1724">
        <v>-121</v>
      </c>
      <c r="AR1724">
        <v>0</v>
      </c>
      <c r="AZ1724">
        <v>4552</v>
      </c>
      <c r="BA1724">
        <v>1</v>
      </c>
      <c r="BB1724" t="str">
        <f t="shared" si="336"/>
        <v xml:space="preserve">N607SR  </v>
      </c>
      <c r="BC1724">
        <v>1</v>
      </c>
      <c r="BE1724">
        <v>0</v>
      </c>
      <c r="BF1724">
        <v>0</v>
      </c>
      <c r="BG1724">
        <v>0</v>
      </c>
      <c r="BH1724">
        <v>2600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 t="shared" si="373"/>
        <v>06:17:07.871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6</v>
      </c>
      <c r="CP1724" t="s">
        <v>119</v>
      </c>
      <c r="CQ1724">
        <v>465</v>
      </c>
      <c r="CR1724">
        <v>0</v>
      </c>
      <c r="CW1724">
        <v>4722311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 t="shared" si="371"/>
        <v>08/29/2020 06:17:04.664</v>
      </c>
      <c r="C1725" t="str">
        <f t="shared" si="334"/>
        <v>FFDFD3C0</v>
      </c>
      <c r="D1725" t="s">
        <v>121</v>
      </c>
      <c r="E1725">
        <v>11</v>
      </c>
      <c r="F1725">
        <v>1011</v>
      </c>
      <c r="G1725" t="s">
        <v>125</v>
      </c>
      <c r="J1725" t="s">
        <v>123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372"/>
        <v>06:17:07.867</v>
      </c>
      <c r="T1725" t="str">
        <f>"06:17:07.467"</f>
        <v>06:17:07.467</v>
      </c>
      <c r="U1725" t="str">
        <f t="shared" si="335"/>
        <v>A7E2E0</v>
      </c>
      <c r="V1725">
        <v>0</v>
      </c>
      <c r="W1725">
        <v>0</v>
      </c>
      <c r="X1725">
        <v>1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0</v>
      </c>
      <c r="AI1725" t="s">
        <v>1111</v>
      </c>
      <c r="AJ1725">
        <v>38.994770000000003</v>
      </c>
      <c r="AK1725" t="s">
        <v>1112</v>
      </c>
      <c r="AL1725">
        <v>-87.576055999999994</v>
      </c>
      <c r="AM1725">
        <v>100</v>
      </c>
      <c r="AN1725">
        <v>2800</v>
      </c>
      <c r="AO1725" t="s">
        <v>118</v>
      </c>
      <c r="AP1725">
        <v>-91</v>
      </c>
      <c r="AQ1725">
        <v>-122</v>
      </c>
      <c r="AR1725">
        <v>0</v>
      </c>
      <c r="AZ1725">
        <v>4552</v>
      </c>
      <c r="BA1725">
        <v>1</v>
      </c>
      <c r="BB1725" t="str">
        <f t="shared" si="336"/>
        <v xml:space="preserve">N607SR  </v>
      </c>
      <c r="BC1725">
        <v>1</v>
      </c>
      <c r="BE1725">
        <v>0</v>
      </c>
      <c r="BF1725">
        <v>0</v>
      </c>
      <c r="BG1725">
        <v>0</v>
      </c>
      <c r="BH1725">
        <v>2600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 t="shared" si="373"/>
        <v>06:17:07.871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6</v>
      </c>
      <c r="CP1725" t="s">
        <v>119</v>
      </c>
      <c r="CQ1725">
        <v>457</v>
      </c>
      <c r="CR1725">
        <v>0</v>
      </c>
      <c r="CW1725">
        <v>15518016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 t="shared" si="371"/>
        <v>08/29/2020 06:17:04.664</v>
      </c>
      <c r="C1726" t="str">
        <f t="shared" si="334"/>
        <v>FFDFD3C0</v>
      </c>
      <c r="D1726" t="s">
        <v>939</v>
      </c>
      <c r="E1726">
        <v>10</v>
      </c>
      <c r="H1726">
        <v>79</v>
      </c>
      <c r="I1726" t="s">
        <v>940</v>
      </c>
      <c r="J1726" t="s">
        <v>130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372"/>
        <v>06:17:07.867</v>
      </c>
      <c r="U1726" t="str">
        <f t="shared" si="335"/>
        <v>A7E2E0</v>
      </c>
      <c r="V1726">
        <v>0</v>
      </c>
      <c r="W1726">
        <v>0</v>
      </c>
      <c r="X1726">
        <v>1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0</v>
      </c>
      <c r="AI1726" t="s">
        <v>1111</v>
      </c>
      <c r="AJ1726">
        <v>38.994770000000003</v>
      </c>
      <c r="AK1726" t="s">
        <v>1112</v>
      </c>
      <c r="AL1726">
        <v>-87.576055999999994</v>
      </c>
      <c r="AM1726">
        <v>100</v>
      </c>
      <c r="AN1726">
        <v>2800</v>
      </c>
      <c r="AO1726" t="s">
        <v>118</v>
      </c>
      <c r="AP1726">
        <v>-91</v>
      </c>
      <c r="AQ1726">
        <v>-121</v>
      </c>
      <c r="AR1726">
        <v>0</v>
      </c>
      <c r="AZ1726">
        <v>4552</v>
      </c>
      <c r="BA1726">
        <v>1</v>
      </c>
      <c r="BB1726" t="str">
        <f t="shared" si="336"/>
        <v xml:space="preserve">N607SR  </v>
      </c>
      <c r="BC1726">
        <v>1</v>
      </c>
      <c r="BE1726">
        <v>0</v>
      </c>
      <c r="BF1726">
        <v>0</v>
      </c>
      <c r="BG1726">
        <v>0</v>
      </c>
      <c r="BH1726">
        <v>2600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 t="shared" si="373"/>
        <v>06:17:07.871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465</v>
      </c>
      <c r="CR1726">
        <v>0</v>
      </c>
      <c r="CW1726">
        <v>4722311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 t="shared" si="371"/>
        <v>08/29/2020 06:17:04.664</v>
      </c>
      <c r="C1727" t="str">
        <f t="shared" si="334"/>
        <v>FFDFD3C0</v>
      </c>
      <c r="D1727" t="s">
        <v>128</v>
      </c>
      <c r="E1727">
        <v>5</v>
      </c>
      <c r="H1727">
        <v>241</v>
      </c>
      <c r="I1727" t="s">
        <v>129</v>
      </c>
      <c r="J1727" t="s">
        <v>130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372"/>
        <v>06:17:07.867</v>
      </c>
      <c r="U1727" t="str">
        <f t="shared" si="335"/>
        <v>A7E2E0</v>
      </c>
      <c r="V1727">
        <v>0</v>
      </c>
      <c r="W1727">
        <v>0</v>
      </c>
      <c r="X1727">
        <v>1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0</v>
      </c>
      <c r="AI1727" t="s">
        <v>1111</v>
      </c>
      <c r="AJ1727">
        <v>38.994770000000003</v>
      </c>
      <c r="AK1727" t="s">
        <v>1112</v>
      </c>
      <c r="AL1727">
        <v>-87.576055999999994</v>
      </c>
      <c r="AM1727">
        <v>100</v>
      </c>
      <c r="AN1727">
        <v>2800</v>
      </c>
      <c r="AO1727" t="s">
        <v>118</v>
      </c>
      <c r="AP1727">
        <v>-91</v>
      </c>
      <c r="AQ1727">
        <v>-121</v>
      </c>
      <c r="AR1727">
        <v>0</v>
      </c>
      <c r="AZ1727">
        <v>4552</v>
      </c>
      <c r="BA1727">
        <v>1</v>
      </c>
      <c r="BB1727" t="str">
        <f t="shared" si="336"/>
        <v xml:space="preserve">N607SR  </v>
      </c>
      <c r="BC1727">
        <v>1</v>
      </c>
      <c r="BE1727">
        <v>0</v>
      </c>
      <c r="BF1727">
        <v>0</v>
      </c>
      <c r="BG1727">
        <v>0</v>
      </c>
      <c r="BH1727">
        <v>2600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 t="shared" si="373"/>
        <v>06:17:07.871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465</v>
      </c>
      <c r="CR1727">
        <v>0</v>
      </c>
      <c r="CW1727">
        <v>4722311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 t="shared" si="371"/>
        <v>08/29/2020 06:17:04.664</v>
      </c>
      <c r="C1728" t="str">
        <f t="shared" si="334"/>
        <v>FFDFD3C0</v>
      </c>
      <c r="D1728" t="s">
        <v>121</v>
      </c>
      <c r="E1728">
        <v>10</v>
      </c>
      <c r="F1728">
        <v>1010</v>
      </c>
      <c r="G1728" t="s">
        <v>114</v>
      </c>
      <c r="J1728" t="s">
        <v>123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372"/>
        <v>06:17:07.867</v>
      </c>
      <c r="U1728" t="str">
        <f t="shared" si="335"/>
        <v>A7E2E0</v>
      </c>
      <c r="V1728">
        <v>0</v>
      </c>
      <c r="W1728">
        <v>0</v>
      </c>
      <c r="X1728">
        <v>1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0</v>
      </c>
      <c r="AI1728" t="s">
        <v>1111</v>
      </c>
      <c r="AJ1728">
        <v>38.994770000000003</v>
      </c>
      <c r="AK1728" t="s">
        <v>1112</v>
      </c>
      <c r="AL1728">
        <v>-87.576055999999994</v>
      </c>
      <c r="AM1728">
        <v>100</v>
      </c>
      <c r="AN1728">
        <v>2800</v>
      </c>
      <c r="AO1728" t="s">
        <v>118</v>
      </c>
      <c r="AP1728">
        <v>-91</v>
      </c>
      <c r="AQ1728">
        <v>-121</v>
      </c>
      <c r="AR1728">
        <v>0</v>
      </c>
      <c r="AZ1728">
        <v>4552</v>
      </c>
      <c r="BA1728">
        <v>1</v>
      </c>
      <c r="BB1728" t="str">
        <f t="shared" si="336"/>
        <v xml:space="preserve">N607SR  </v>
      </c>
      <c r="BC1728">
        <v>1</v>
      </c>
      <c r="BE1728">
        <v>0</v>
      </c>
      <c r="BF1728">
        <v>0</v>
      </c>
      <c r="BG1728">
        <v>0</v>
      </c>
      <c r="BH1728">
        <v>2600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 t="shared" si="373"/>
        <v>06:17:07.871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465</v>
      </c>
      <c r="CR1728">
        <v>0</v>
      </c>
      <c r="CW1728">
        <v>4722311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 t="shared" ref="A1729:A1734" si="374">"08/29/2020 06:17:05.677"</f>
        <v>08/29/2020 06:17:05.677</v>
      </c>
      <c r="C1729" t="str">
        <f t="shared" si="334"/>
        <v>FFDFD3C0</v>
      </c>
      <c r="D1729" t="s">
        <v>121</v>
      </c>
      <c r="E1729">
        <v>13</v>
      </c>
      <c r="F1729">
        <v>1013</v>
      </c>
      <c r="G1729" t="s">
        <v>122</v>
      </c>
      <c r="J1729" t="s">
        <v>123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ref="S1729:S1734" si="375">"06:17:08.898"</f>
        <v>06:17:08.898</v>
      </c>
      <c r="T1729" t="str">
        <f t="shared" ref="T1729:T1734" si="376">"06:17:08.398"</f>
        <v>06:17:08.398</v>
      </c>
      <c r="U1729" t="str">
        <f t="shared" si="335"/>
        <v>A7E2E0</v>
      </c>
      <c r="V1729">
        <v>0</v>
      </c>
      <c r="W1729">
        <v>0</v>
      </c>
      <c r="X1729">
        <v>1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0</v>
      </c>
      <c r="AI1729" t="s">
        <v>1113</v>
      </c>
      <c r="AJ1729">
        <v>38.994211999999997</v>
      </c>
      <c r="AK1729" t="s">
        <v>1114</v>
      </c>
      <c r="AL1729">
        <v>-87.576592000000005</v>
      </c>
      <c r="AM1729">
        <v>100</v>
      </c>
      <c r="AN1729">
        <v>2800</v>
      </c>
      <c r="AO1729" t="s">
        <v>118</v>
      </c>
      <c r="AP1729">
        <v>-91</v>
      </c>
      <c r="AQ1729">
        <v>-121</v>
      </c>
      <c r="AR1729">
        <v>0</v>
      </c>
      <c r="AZ1729">
        <v>4552</v>
      </c>
      <c r="BA1729">
        <v>1</v>
      </c>
      <c r="BB1729" t="str">
        <f t="shared" si="336"/>
        <v xml:space="preserve">N607SR  </v>
      </c>
      <c r="BC1729">
        <v>1</v>
      </c>
      <c r="BE1729">
        <v>0</v>
      </c>
      <c r="BF1729">
        <v>0</v>
      </c>
      <c r="BG1729">
        <v>0</v>
      </c>
      <c r="BH1729">
        <v>2600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 t="shared" ref="BW1729:BW1734" si="377">"06:17:08.902"</f>
        <v>06:17:08.902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6</v>
      </c>
      <c r="CP1729" t="s">
        <v>119</v>
      </c>
      <c r="CQ1729">
        <v>457</v>
      </c>
      <c r="CR1729">
        <v>0</v>
      </c>
      <c r="CW1729">
        <v>15518041</v>
      </c>
      <c r="CY1729">
        <v>1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 t="shared" si="374"/>
        <v>08/29/2020 06:17:05.677</v>
      </c>
      <c r="C1730" t="str">
        <f t="shared" ref="C1730:C1793" si="378">"FFDFD3C0"</f>
        <v>FFDFD3C0</v>
      </c>
      <c r="D1730" t="s">
        <v>939</v>
      </c>
      <c r="E1730">
        <v>10</v>
      </c>
      <c r="H1730">
        <v>79</v>
      </c>
      <c r="I1730" t="s">
        <v>940</v>
      </c>
      <c r="J1730" t="s">
        <v>130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375"/>
        <v>06:17:08.898</v>
      </c>
      <c r="T1730" t="str">
        <f t="shared" si="376"/>
        <v>06:17:08.398</v>
      </c>
      <c r="U1730" t="str">
        <f t="shared" ref="U1730:U1793" si="379">"A7E2E0"</f>
        <v>A7E2E0</v>
      </c>
      <c r="V1730">
        <v>0</v>
      </c>
      <c r="W1730">
        <v>0</v>
      </c>
      <c r="X1730">
        <v>1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1113</v>
      </c>
      <c r="AJ1730">
        <v>38.994211999999997</v>
      </c>
      <c r="AK1730" t="s">
        <v>1114</v>
      </c>
      <c r="AL1730">
        <v>-87.576592000000005</v>
      </c>
      <c r="AM1730">
        <v>100</v>
      </c>
      <c r="AN1730">
        <v>2800</v>
      </c>
      <c r="AO1730" t="s">
        <v>118</v>
      </c>
      <c r="AP1730">
        <v>-91</v>
      </c>
      <c r="AQ1730">
        <v>-121</v>
      </c>
      <c r="AR1730">
        <v>0</v>
      </c>
      <c r="AZ1730">
        <v>4552</v>
      </c>
      <c r="BA1730">
        <v>1</v>
      </c>
      <c r="BB1730" t="str">
        <f t="shared" ref="BB1730:BB1793" si="380">"N607SR  "</f>
        <v xml:space="preserve">N607SR  </v>
      </c>
      <c r="BC1730">
        <v>1</v>
      </c>
      <c r="BE1730">
        <v>0</v>
      </c>
      <c r="BF1730">
        <v>0</v>
      </c>
      <c r="BG1730">
        <v>0</v>
      </c>
      <c r="BH1730">
        <v>2600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 t="shared" si="377"/>
        <v>06:17:08.902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6</v>
      </c>
      <c r="CP1730" t="s">
        <v>119</v>
      </c>
      <c r="CQ1730">
        <v>465</v>
      </c>
      <c r="CR1730">
        <v>0</v>
      </c>
      <c r="CW1730">
        <v>4722340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 t="shared" si="374"/>
        <v>08/29/2020 06:17:05.677</v>
      </c>
      <c r="C1731" t="str">
        <f t="shared" si="378"/>
        <v>FFDFD3C0</v>
      </c>
      <c r="D1731" t="s">
        <v>113</v>
      </c>
      <c r="E1731">
        <v>5</v>
      </c>
      <c r="H1731">
        <v>163</v>
      </c>
      <c r="I1731" t="s">
        <v>114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375"/>
        <v>06:17:08.898</v>
      </c>
      <c r="T1731" t="str">
        <f t="shared" si="376"/>
        <v>06:17:08.398</v>
      </c>
      <c r="U1731" t="str">
        <f t="shared" si="379"/>
        <v>A7E2E0</v>
      </c>
      <c r="V1731">
        <v>0</v>
      </c>
      <c r="W1731">
        <v>0</v>
      </c>
      <c r="X1731">
        <v>1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1113</v>
      </c>
      <c r="AJ1731">
        <v>38.994211999999997</v>
      </c>
      <c r="AK1731" t="s">
        <v>1114</v>
      </c>
      <c r="AL1731">
        <v>-87.576592000000005</v>
      </c>
      <c r="AM1731">
        <v>100</v>
      </c>
      <c r="AN1731">
        <v>2800</v>
      </c>
      <c r="AO1731" t="s">
        <v>118</v>
      </c>
      <c r="AP1731">
        <v>-91</v>
      </c>
      <c r="AQ1731">
        <v>-121</v>
      </c>
      <c r="AR1731">
        <v>0</v>
      </c>
      <c r="AZ1731">
        <v>4552</v>
      </c>
      <c r="BA1731">
        <v>1</v>
      </c>
      <c r="BB1731" t="str">
        <f t="shared" si="380"/>
        <v xml:space="preserve">N607SR  </v>
      </c>
      <c r="BC1731">
        <v>1</v>
      </c>
      <c r="BE1731">
        <v>0</v>
      </c>
      <c r="BF1731">
        <v>0</v>
      </c>
      <c r="BG1731">
        <v>0</v>
      </c>
      <c r="BH1731">
        <v>2600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 t="shared" si="377"/>
        <v>06:17:08.902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457</v>
      </c>
      <c r="CR1731">
        <v>0</v>
      </c>
      <c r="CW1731">
        <v>15518041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 t="shared" si="374"/>
        <v>08/29/2020 06:17:05.677</v>
      </c>
      <c r="C1732" t="str">
        <f t="shared" si="378"/>
        <v>FFDFD3C0</v>
      </c>
      <c r="D1732" t="s">
        <v>121</v>
      </c>
      <c r="E1732">
        <v>11</v>
      </c>
      <c r="F1732">
        <v>1011</v>
      </c>
      <c r="G1732" t="s">
        <v>125</v>
      </c>
      <c r="J1732" t="s">
        <v>123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375"/>
        <v>06:17:08.898</v>
      </c>
      <c r="T1732" t="str">
        <f t="shared" si="376"/>
        <v>06:17:08.398</v>
      </c>
      <c r="U1732" t="str">
        <f t="shared" si="379"/>
        <v>A7E2E0</v>
      </c>
      <c r="V1732">
        <v>0</v>
      </c>
      <c r="W1732">
        <v>0</v>
      </c>
      <c r="X1732">
        <v>1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1113</v>
      </c>
      <c r="AJ1732">
        <v>38.994211999999997</v>
      </c>
      <c r="AK1732" t="s">
        <v>1114</v>
      </c>
      <c r="AL1732">
        <v>-87.576592000000005</v>
      </c>
      <c r="AM1732">
        <v>100</v>
      </c>
      <c r="AN1732">
        <v>2800</v>
      </c>
      <c r="AO1732" t="s">
        <v>118</v>
      </c>
      <c r="AP1732">
        <v>-91</v>
      </c>
      <c r="AQ1732">
        <v>-121</v>
      </c>
      <c r="AR1732">
        <v>0</v>
      </c>
      <c r="AZ1732">
        <v>4552</v>
      </c>
      <c r="BA1732">
        <v>1</v>
      </c>
      <c r="BB1732" t="str">
        <f t="shared" si="380"/>
        <v xml:space="preserve">N607SR  </v>
      </c>
      <c r="BC1732">
        <v>1</v>
      </c>
      <c r="BE1732">
        <v>0</v>
      </c>
      <c r="BF1732">
        <v>0</v>
      </c>
      <c r="BG1732">
        <v>0</v>
      </c>
      <c r="BH1732">
        <v>2600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 t="shared" si="377"/>
        <v>06:17:08.902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6</v>
      </c>
      <c r="CP1732" t="s">
        <v>119</v>
      </c>
      <c r="CQ1732">
        <v>457</v>
      </c>
      <c r="CR1732">
        <v>0</v>
      </c>
      <c r="CW1732">
        <v>15518041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 t="shared" si="374"/>
        <v>08/29/2020 06:17:05.677</v>
      </c>
      <c r="C1733" t="str">
        <f t="shared" si="378"/>
        <v>FFDFD3C0</v>
      </c>
      <c r="D1733" t="s">
        <v>128</v>
      </c>
      <c r="E1733">
        <v>5</v>
      </c>
      <c r="H1733">
        <v>241</v>
      </c>
      <c r="I1733" t="s">
        <v>129</v>
      </c>
      <c r="J1733" t="s">
        <v>130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375"/>
        <v>06:17:08.898</v>
      </c>
      <c r="T1733" t="str">
        <f t="shared" si="376"/>
        <v>06:17:08.398</v>
      </c>
      <c r="U1733" t="str">
        <f t="shared" si="379"/>
        <v>A7E2E0</v>
      </c>
      <c r="V1733">
        <v>0</v>
      </c>
      <c r="W1733">
        <v>0</v>
      </c>
      <c r="X1733">
        <v>1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1113</v>
      </c>
      <c r="AJ1733">
        <v>38.994211999999997</v>
      </c>
      <c r="AK1733" t="s">
        <v>1114</v>
      </c>
      <c r="AL1733">
        <v>-87.576592000000005</v>
      </c>
      <c r="AM1733">
        <v>100</v>
      </c>
      <c r="AN1733">
        <v>2800</v>
      </c>
      <c r="AO1733" t="s">
        <v>118</v>
      </c>
      <c r="AP1733">
        <v>-91</v>
      </c>
      <c r="AQ1733">
        <v>-121</v>
      </c>
      <c r="AR1733">
        <v>0</v>
      </c>
      <c r="AZ1733">
        <v>4552</v>
      </c>
      <c r="BA1733">
        <v>1</v>
      </c>
      <c r="BB1733" t="str">
        <f t="shared" si="380"/>
        <v xml:space="preserve">N607SR  </v>
      </c>
      <c r="BC1733">
        <v>1</v>
      </c>
      <c r="BE1733">
        <v>0</v>
      </c>
      <c r="BF1733">
        <v>0</v>
      </c>
      <c r="BG1733">
        <v>0</v>
      </c>
      <c r="BH1733">
        <v>2600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 t="shared" si="377"/>
        <v>06:17:08.902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457</v>
      </c>
      <c r="CR1733">
        <v>0</v>
      </c>
      <c r="CW1733">
        <v>15518041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 t="shared" si="374"/>
        <v>08/29/2020 06:17:05.677</v>
      </c>
      <c r="C1734" t="str">
        <f t="shared" si="378"/>
        <v>FFDFD3C0</v>
      </c>
      <c r="D1734" t="s">
        <v>121</v>
      </c>
      <c r="E1734">
        <v>10</v>
      </c>
      <c r="F1734">
        <v>1010</v>
      </c>
      <c r="G1734" t="s">
        <v>114</v>
      </c>
      <c r="J1734" t="s">
        <v>123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375"/>
        <v>06:17:08.898</v>
      </c>
      <c r="T1734" t="str">
        <f t="shared" si="376"/>
        <v>06:17:08.398</v>
      </c>
      <c r="U1734" t="str">
        <f t="shared" si="379"/>
        <v>A7E2E0</v>
      </c>
      <c r="V1734">
        <v>0</v>
      </c>
      <c r="W1734">
        <v>0</v>
      </c>
      <c r="X1734">
        <v>1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0</v>
      </c>
      <c r="AI1734" t="s">
        <v>1113</v>
      </c>
      <c r="AJ1734">
        <v>38.994211999999997</v>
      </c>
      <c r="AK1734" t="s">
        <v>1114</v>
      </c>
      <c r="AL1734">
        <v>-87.576592000000005</v>
      </c>
      <c r="AM1734">
        <v>100</v>
      </c>
      <c r="AN1734">
        <v>2800</v>
      </c>
      <c r="AO1734" t="s">
        <v>118</v>
      </c>
      <c r="AP1734">
        <v>-91</v>
      </c>
      <c r="AQ1734">
        <v>-121</v>
      </c>
      <c r="AR1734">
        <v>0</v>
      </c>
      <c r="AZ1734">
        <v>4552</v>
      </c>
      <c r="BA1734">
        <v>1</v>
      </c>
      <c r="BB1734" t="str">
        <f t="shared" si="380"/>
        <v xml:space="preserve">N607SR  </v>
      </c>
      <c r="BC1734">
        <v>1</v>
      </c>
      <c r="BE1734">
        <v>0</v>
      </c>
      <c r="BF1734">
        <v>0</v>
      </c>
      <c r="BG1734">
        <v>0</v>
      </c>
      <c r="BH1734">
        <v>2600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 t="shared" si="377"/>
        <v>06:17:08.902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6</v>
      </c>
      <c r="CP1734" t="s">
        <v>119</v>
      </c>
      <c r="CQ1734">
        <v>457</v>
      </c>
      <c r="CR1734">
        <v>0</v>
      </c>
      <c r="CW1734">
        <v>15518041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 t="shared" ref="A1735:A1740" si="381">"08/29/2020 06:17:06.690"</f>
        <v>08/29/2020 06:17:06.690</v>
      </c>
      <c r="C1735" t="str">
        <f t="shared" si="378"/>
        <v>FFDFD3C0</v>
      </c>
      <c r="D1735" t="s">
        <v>939</v>
      </c>
      <c r="E1735">
        <v>10</v>
      </c>
      <c r="H1735">
        <v>79</v>
      </c>
      <c r="I1735" t="s">
        <v>940</v>
      </c>
      <c r="J1735" t="s">
        <v>130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ref="S1735:S1740" si="382">"06:17:09.945"</f>
        <v>06:17:09.945</v>
      </c>
      <c r="T1735" t="str">
        <f t="shared" ref="T1735:T1740" si="383">"06:17:09.445"</f>
        <v>06:17:09.445</v>
      </c>
      <c r="U1735" t="str">
        <f t="shared" si="379"/>
        <v>A7E2E0</v>
      </c>
      <c r="V1735">
        <v>0</v>
      </c>
      <c r="W1735">
        <v>0</v>
      </c>
      <c r="X1735">
        <v>1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0</v>
      </c>
      <c r="AI1735" t="s">
        <v>1115</v>
      </c>
      <c r="AJ1735">
        <v>38.993589999999998</v>
      </c>
      <c r="AK1735" t="s">
        <v>1116</v>
      </c>
      <c r="AL1735">
        <v>-87.577150000000003</v>
      </c>
      <c r="AM1735">
        <v>100</v>
      </c>
      <c r="AN1735">
        <v>2800</v>
      </c>
      <c r="AO1735" t="s">
        <v>118</v>
      </c>
      <c r="AP1735">
        <v>-91</v>
      </c>
      <c r="AQ1735">
        <v>-121</v>
      </c>
      <c r="AR1735">
        <v>0</v>
      </c>
      <c r="AZ1735">
        <v>4552</v>
      </c>
      <c r="BA1735">
        <v>1</v>
      </c>
      <c r="BB1735" t="str">
        <f t="shared" si="380"/>
        <v xml:space="preserve">N607SR  </v>
      </c>
      <c r="BC1735">
        <v>1</v>
      </c>
      <c r="BE1735">
        <v>0</v>
      </c>
      <c r="BF1735">
        <v>0</v>
      </c>
      <c r="BG1735">
        <v>0</v>
      </c>
      <c r="BH1735">
        <v>2600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 t="shared" ref="BW1735:BW1740" si="384">"06:17:09.952"</f>
        <v>06:17:09.952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6</v>
      </c>
      <c r="CP1735" t="s">
        <v>119</v>
      </c>
      <c r="CQ1735">
        <v>465</v>
      </c>
      <c r="CR1735">
        <v>0</v>
      </c>
      <c r="CW1735">
        <v>4722376</v>
      </c>
      <c r="CY1735">
        <v>1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 t="shared" si="381"/>
        <v>08/29/2020 06:17:06.690</v>
      </c>
      <c r="C1736" t="str">
        <f t="shared" si="378"/>
        <v>FFDFD3C0</v>
      </c>
      <c r="D1736" t="s">
        <v>121</v>
      </c>
      <c r="E1736">
        <v>13</v>
      </c>
      <c r="F1736">
        <v>1013</v>
      </c>
      <c r="G1736" t="s">
        <v>122</v>
      </c>
      <c r="J1736" t="s">
        <v>123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382"/>
        <v>06:17:09.945</v>
      </c>
      <c r="T1736" t="str">
        <f t="shared" si="383"/>
        <v>06:17:09.445</v>
      </c>
      <c r="U1736" t="str">
        <f t="shared" si="379"/>
        <v>A7E2E0</v>
      </c>
      <c r="V1736">
        <v>0</v>
      </c>
      <c r="W1736">
        <v>0</v>
      </c>
      <c r="X1736">
        <v>1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0</v>
      </c>
      <c r="AI1736" t="s">
        <v>1115</v>
      </c>
      <c r="AJ1736">
        <v>38.993589999999998</v>
      </c>
      <c r="AK1736" t="s">
        <v>1116</v>
      </c>
      <c r="AL1736">
        <v>-87.577150000000003</v>
      </c>
      <c r="AM1736">
        <v>100</v>
      </c>
      <c r="AN1736">
        <v>2800</v>
      </c>
      <c r="AO1736" t="s">
        <v>118</v>
      </c>
      <c r="AP1736">
        <v>-91</v>
      </c>
      <c r="AQ1736">
        <v>-121</v>
      </c>
      <c r="AR1736">
        <v>0</v>
      </c>
      <c r="AZ1736">
        <v>4552</v>
      </c>
      <c r="BA1736">
        <v>1</v>
      </c>
      <c r="BB1736" t="str">
        <f t="shared" si="380"/>
        <v xml:space="preserve">N607SR  </v>
      </c>
      <c r="BC1736">
        <v>1</v>
      </c>
      <c r="BE1736">
        <v>0</v>
      </c>
      <c r="BF1736">
        <v>0</v>
      </c>
      <c r="BG1736">
        <v>0</v>
      </c>
      <c r="BH1736">
        <v>2600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 t="shared" si="384"/>
        <v>06:17:09.952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465</v>
      </c>
      <c r="CR1736">
        <v>0</v>
      </c>
      <c r="CW1736">
        <v>4722376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 t="shared" si="381"/>
        <v>08/29/2020 06:17:06.690</v>
      </c>
      <c r="C1737" t="str">
        <f t="shared" si="378"/>
        <v>FFDFD3C0</v>
      </c>
      <c r="D1737" t="s">
        <v>113</v>
      </c>
      <c r="E1737">
        <v>5</v>
      </c>
      <c r="H1737">
        <v>163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382"/>
        <v>06:17:09.945</v>
      </c>
      <c r="T1737" t="str">
        <f t="shared" si="383"/>
        <v>06:17:09.445</v>
      </c>
      <c r="U1737" t="str">
        <f t="shared" si="379"/>
        <v>A7E2E0</v>
      </c>
      <c r="V1737">
        <v>0</v>
      </c>
      <c r="W1737">
        <v>0</v>
      </c>
      <c r="X1737">
        <v>1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0</v>
      </c>
      <c r="AI1737" t="s">
        <v>1115</v>
      </c>
      <c r="AJ1737">
        <v>38.993589999999998</v>
      </c>
      <c r="AK1737" t="s">
        <v>1116</v>
      </c>
      <c r="AL1737">
        <v>-87.577150000000003</v>
      </c>
      <c r="AM1737">
        <v>100</v>
      </c>
      <c r="AN1737">
        <v>2800</v>
      </c>
      <c r="AO1737" t="s">
        <v>118</v>
      </c>
      <c r="AP1737">
        <v>-91</v>
      </c>
      <c r="AQ1737">
        <v>-121</v>
      </c>
      <c r="AR1737">
        <v>0</v>
      </c>
      <c r="AZ1737">
        <v>4552</v>
      </c>
      <c r="BA1737">
        <v>1</v>
      </c>
      <c r="BB1737" t="str">
        <f t="shared" si="380"/>
        <v xml:space="preserve">N607SR  </v>
      </c>
      <c r="BC1737">
        <v>1</v>
      </c>
      <c r="BE1737">
        <v>0</v>
      </c>
      <c r="BF1737">
        <v>0</v>
      </c>
      <c r="BG1737">
        <v>0</v>
      </c>
      <c r="BH1737">
        <v>2600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 t="shared" si="384"/>
        <v>06:17:09.952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465</v>
      </c>
      <c r="CR1737">
        <v>0</v>
      </c>
      <c r="CW1737">
        <v>4722376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 t="shared" si="381"/>
        <v>08/29/2020 06:17:06.690</v>
      </c>
      <c r="C1738" t="str">
        <f t="shared" si="378"/>
        <v>FFDFD3C0</v>
      </c>
      <c r="D1738" t="s">
        <v>128</v>
      </c>
      <c r="E1738">
        <v>5</v>
      </c>
      <c r="H1738">
        <v>241</v>
      </c>
      <c r="I1738" t="s">
        <v>129</v>
      </c>
      <c r="J1738" t="s">
        <v>130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382"/>
        <v>06:17:09.945</v>
      </c>
      <c r="T1738" t="str">
        <f t="shared" si="383"/>
        <v>06:17:09.445</v>
      </c>
      <c r="U1738" t="str">
        <f t="shared" si="379"/>
        <v>A7E2E0</v>
      </c>
      <c r="V1738">
        <v>0</v>
      </c>
      <c r="W1738">
        <v>0</v>
      </c>
      <c r="X1738">
        <v>1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0</v>
      </c>
      <c r="AI1738" t="s">
        <v>1115</v>
      </c>
      <c r="AJ1738">
        <v>38.993589999999998</v>
      </c>
      <c r="AK1738" t="s">
        <v>1116</v>
      </c>
      <c r="AL1738">
        <v>-87.577150000000003</v>
      </c>
      <c r="AM1738">
        <v>100</v>
      </c>
      <c r="AN1738">
        <v>2800</v>
      </c>
      <c r="AO1738" t="s">
        <v>118</v>
      </c>
      <c r="AP1738">
        <v>-91</v>
      </c>
      <c r="AQ1738">
        <v>-121</v>
      </c>
      <c r="AR1738">
        <v>0</v>
      </c>
      <c r="AZ1738">
        <v>4552</v>
      </c>
      <c r="BA1738">
        <v>1</v>
      </c>
      <c r="BB1738" t="str">
        <f t="shared" si="380"/>
        <v xml:space="preserve">N607SR  </v>
      </c>
      <c r="BC1738">
        <v>1</v>
      </c>
      <c r="BE1738">
        <v>0</v>
      </c>
      <c r="BF1738">
        <v>0</v>
      </c>
      <c r="BG1738">
        <v>0</v>
      </c>
      <c r="BH1738">
        <v>2600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 t="shared" si="384"/>
        <v>06:17:09.952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465</v>
      </c>
      <c r="CR1738">
        <v>0</v>
      </c>
      <c r="CW1738">
        <v>4722376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 t="shared" si="381"/>
        <v>08/29/2020 06:17:06.690</v>
      </c>
      <c r="C1739" t="str">
        <f t="shared" si="378"/>
        <v>FFDFD3C0</v>
      </c>
      <c r="D1739" t="s">
        <v>121</v>
      </c>
      <c r="E1739">
        <v>11</v>
      </c>
      <c r="F1739">
        <v>1011</v>
      </c>
      <c r="G1739" t="s">
        <v>125</v>
      </c>
      <c r="J1739" t="s">
        <v>123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382"/>
        <v>06:17:09.945</v>
      </c>
      <c r="T1739" t="str">
        <f t="shared" si="383"/>
        <v>06:17:09.445</v>
      </c>
      <c r="U1739" t="str">
        <f t="shared" si="379"/>
        <v>A7E2E0</v>
      </c>
      <c r="V1739">
        <v>0</v>
      </c>
      <c r="W1739">
        <v>0</v>
      </c>
      <c r="X1739">
        <v>1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0</v>
      </c>
      <c r="AI1739" t="s">
        <v>1115</v>
      </c>
      <c r="AJ1739">
        <v>38.993589999999998</v>
      </c>
      <c r="AK1739" t="s">
        <v>1116</v>
      </c>
      <c r="AL1739">
        <v>-87.577150000000003</v>
      </c>
      <c r="AM1739">
        <v>100</v>
      </c>
      <c r="AN1739">
        <v>2800</v>
      </c>
      <c r="AO1739" t="s">
        <v>118</v>
      </c>
      <c r="AP1739">
        <v>-91</v>
      </c>
      <c r="AQ1739">
        <v>-121</v>
      </c>
      <c r="AR1739">
        <v>0</v>
      </c>
      <c r="AZ1739">
        <v>4552</v>
      </c>
      <c r="BA1739">
        <v>1</v>
      </c>
      <c r="BB1739" t="str">
        <f t="shared" si="380"/>
        <v xml:space="preserve">N607SR  </v>
      </c>
      <c r="BC1739">
        <v>1</v>
      </c>
      <c r="BE1739">
        <v>0</v>
      </c>
      <c r="BF1739">
        <v>0</v>
      </c>
      <c r="BG1739">
        <v>0</v>
      </c>
      <c r="BH1739">
        <v>2600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 t="shared" si="384"/>
        <v>06:17:09.952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6</v>
      </c>
      <c r="CP1739" t="s">
        <v>119</v>
      </c>
      <c r="CQ1739">
        <v>457</v>
      </c>
      <c r="CR1739">
        <v>0</v>
      </c>
      <c r="CW1739">
        <v>15518069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 t="shared" si="381"/>
        <v>08/29/2020 06:17:06.690</v>
      </c>
      <c r="C1740" t="str">
        <f t="shared" si="378"/>
        <v>FFDFD3C0</v>
      </c>
      <c r="D1740" t="s">
        <v>121</v>
      </c>
      <c r="E1740">
        <v>10</v>
      </c>
      <c r="F1740">
        <v>1010</v>
      </c>
      <c r="G1740" t="s">
        <v>114</v>
      </c>
      <c r="J1740" t="s">
        <v>123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382"/>
        <v>06:17:09.945</v>
      </c>
      <c r="T1740" t="str">
        <f t="shared" si="383"/>
        <v>06:17:09.445</v>
      </c>
      <c r="U1740" t="str">
        <f t="shared" si="379"/>
        <v>A7E2E0</v>
      </c>
      <c r="V1740">
        <v>0</v>
      </c>
      <c r="W1740">
        <v>0</v>
      </c>
      <c r="X1740">
        <v>1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0</v>
      </c>
      <c r="AI1740" t="s">
        <v>1115</v>
      </c>
      <c r="AJ1740">
        <v>38.993589999999998</v>
      </c>
      <c r="AK1740" t="s">
        <v>1116</v>
      </c>
      <c r="AL1740">
        <v>-87.577150000000003</v>
      </c>
      <c r="AM1740">
        <v>100</v>
      </c>
      <c r="AN1740">
        <v>2800</v>
      </c>
      <c r="AO1740" t="s">
        <v>118</v>
      </c>
      <c r="AP1740">
        <v>-91</v>
      </c>
      <c r="AQ1740">
        <v>-121</v>
      </c>
      <c r="AR1740">
        <v>0</v>
      </c>
      <c r="AZ1740">
        <v>4552</v>
      </c>
      <c r="BA1740">
        <v>1</v>
      </c>
      <c r="BB1740" t="str">
        <f t="shared" si="380"/>
        <v xml:space="preserve">N607SR  </v>
      </c>
      <c r="BC1740">
        <v>1</v>
      </c>
      <c r="BE1740">
        <v>0</v>
      </c>
      <c r="BF1740">
        <v>0</v>
      </c>
      <c r="BG1740">
        <v>0</v>
      </c>
      <c r="BH1740">
        <v>2600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 t="shared" si="384"/>
        <v>06:17:09.952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465</v>
      </c>
      <c r="CR1740">
        <v>0</v>
      </c>
      <c r="CW1740">
        <v>4722376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 t="shared" ref="A1741:A1746" si="385">"08/29/2020 06:17:07.698"</f>
        <v>08/29/2020 06:17:07.698</v>
      </c>
      <c r="C1741" t="str">
        <f t="shared" si="378"/>
        <v>FFDFD3C0</v>
      </c>
      <c r="D1741" t="s">
        <v>939</v>
      </c>
      <c r="E1741">
        <v>10</v>
      </c>
      <c r="H1741">
        <v>79</v>
      </c>
      <c r="I1741" t="s">
        <v>940</v>
      </c>
      <c r="J1741" t="s">
        <v>130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ref="S1741:S1746" si="386">"06:17:10.930"</f>
        <v>06:17:10.930</v>
      </c>
      <c r="T1741" t="str">
        <f t="shared" ref="T1741:T1746" si="387">"06:17:10.530"</f>
        <v>06:17:10.530</v>
      </c>
      <c r="U1741" t="str">
        <f t="shared" si="379"/>
        <v>A7E2E0</v>
      </c>
      <c r="V1741">
        <v>0</v>
      </c>
      <c r="W1741">
        <v>0</v>
      </c>
      <c r="X1741">
        <v>1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0</v>
      </c>
      <c r="AI1741" t="s">
        <v>1117</v>
      </c>
      <c r="AJ1741">
        <v>38.993031999999999</v>
      </c>
      <c r="AK1741" t="s">
        <v>1118</v>
      </c>
      <c r="AL1741">
        <v>-87.577686</v>
      </c>
      <c r="AM1741">
        <v>100</v>
      </c>
      <c r="AN1741">
        <v>2800</v>
      </c>
      <c r="AO1741" t="s">
        <v>118</v>
      </c>
      <c r="AP1741">
        <v>-91</v>
      </c>
      <c r="AQ1741">
        <v>-121</v>
      </c>
      <c r="AR1741">
        <v>0</v>
      </c>
      <c r="AZ1741">
        <v>4552</v>
      </c>
      <c r="BA1741">
        <v>1</v>
      </c>
      <c r="BB1741" t="str">
        <f t="shared" si="380"/>
        <v xml:space="preserve">N607SR  </v>
      </c>
      <c r="BC1741">
        <v>1</v>
      </c>
      <c r="BE1741">
        <v>0</v>
      </c>
      <c r="BF1741">
        <v>0</v>
      </c>
      <c r="BG1741">
        <v>0</v>
      </c>
      <c r="BH1741">
        <v>2600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 t="shared" ref="BW1741:BW1746" si="388">"06:17:10.933"</f>
        <v>06:17:10.933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6</v>
      </c>
      <c r="CP1741" t="s">
        <v>119</v>
      </c>
      <c r="CQ1741">
        <v>465</v>
      </c>
      <c r="CR1741">
        <v>0</v>
      </c>
      <c r="CW1741">
        <v>4722406</v>
      </c>
      <c r="CY1741">
        <v>1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 t="shared" si="385"/>
        <v>08/29/2020 06:17:07.698</v>
      </c>
      <c r="C1742" t="str">
        <f t="shared" si="378"/>
        <v>FFDFD3C0</v>
      </c>
      <c r="D1742" t="s">
        <v>121</v>
      </c>
      <c r="E1742">
        <v>13</v>
      </c>
      <c r="F1742">
        <v>1013</v>
      </c>
      <c r="G1742" t="s">
        <v>122</v>
      </c>
      <c r="J1742" t="s">
        <v>123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386"/>
        <v>06:17:10.930</v>
      </c>
      <c r="T1742" t="str">
        <f t="shared" si="387"/>
        <v>06:17:10.530</v>
      </c>
      <c r="U1742" t="str">
        <f t="shared" si="379"/>
        <v>A7E2E0</v>
      </c>
      <c r="V1742">
        <v>0</v>
      </c>
      <c r="W1742">
        <v>0</v>
      </c>
      <c r="X1742">
        <v>1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0</v>
      </c>
      <c r="AI1742" t="s">
        <v>1117</v>
      </c>
      <c r="AJ1742">
        <v>38.993031999999999</v>
      </c>
      <c r="AK1742" t="s">
        <v>1118</v>
      </c>
      <c r="AL1742">
        <v>-87.577686</v>
      </c>
      <c r="AM1742">
        <v>100</v>
      </c>
      <c r="AN1742">
        <v>2800</v>
      </c>
      <c r="AO1742" t="s">
        <v>118</v>
      </c>
      <c r="AP1742">
        <v>-91</v>
      </c>
      <c r="AQ1742">
        <v>-121</v>
      </c>
      <c r="AR1742">
        <v>0</v>
      </c>
      <c r="AZ1742">
        <v>4552</v>
      </c>
      <c r="BA1742">
        <v>1</v>
      </c>
      <c r="BB1742" t="str">
        <f t="shared" si="380"/>
        <v xml:space="preserve">N607SR  </v>
      </c>
      <c r="BC1742">
        <v>1</v>
      </c>
      <c r="BE1742">
        <v>0</v>
      </c>
      <c r="BF1742">
        <v>0</v>
      </c>
      <c r="BG1742">
        <v>0</v>
      </c>
      <c r="BH1742">
        <v>2600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 t="shared" si="388"/>
        <v>06:17:10.933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6</v>
      </c>
      <c r="CP1742" t="s">
        <v>119</v>
      </c>
      <c r="CQ1742">
        <v>465</v>
      </c>
      <c r="CR1742">
        <v>0</v>
      </c>
      <c r="CW1742">
        <v>4722406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 t="shared" si="385"/>
        <v>08/29/2020 06:17:07.698</v>
      </c>
      <c r="C1743" t="str">
        <f t="shared" si="378"/>
        <v>FFDFD3C0</v>
      </c>
      <c r="D1743" t="s">
        <v>113</v>
      </c>
      <c r="E1743">
        <v>5</v>
      </c>
      <c r="H1743">
        <v>163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386"/>
        <v>06:17:10.930</v>
      </c>
      <c r="T1743" t="str">
        <f t="shared" si="387"/>
        <v>06:17:10.530</v>
      </c>
      <c r="U1743" t="str">
        <f t="shared" si="379"/>
        <v>A7E2E0</v>
      </c>
      <c r="V1743">
        <v>0</v>
      </c>
      <c r="W1743">
        <v>0</v>
      </c>
      <c r="X1743">
        <v>1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0</v>
      </c>
      <c r="AI1743" t="s">
        <v>1117</v>
      </c>
      <c r="AJ1743">
        <v>38.993031999999999</v>
      </c>
      <c r="AK1743" t="s">
        <v>1118</v>
      </c>
      <c r="AL1743">
        <v>-87.577686</v>
      </c>
      <c r="AM1743">
        <v>100</v>
      </c>
      <c r="AN1743">
        <v>2800</v>
      </c>
      <c r="AO1743" t="s">
        <v>118</v>
      </c>
      <c r="AP1743">
        <v>-91</v>
      </c>
      <c r="AQ1743">
        <v>-121</v>
      </c>
      <c r="AR1743">
        <v>0</v>
      </c>
      <c r="AZ1743">
        <v>4552</v>
      </c>
      <c r="BA1743">
        <v>1</v>
      </c>
      <c r="BB1743" t="str">
        <f t="shared" si="380"/>
        <v xml:space="preserve">N607SR  </v>
      </c>
      <c r="BC1743">
        <v>1</v>
      </c>
      <c r="BE1743">
        <v>0</v>
      </c>
      <c r="BF1743">
        <v>0</v>
      </c>
      <c r="BG1743">
        <v>0</v>
      </c>
      <c r="BH1743">
        <v>2600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 t="shared" si="388"/>
        <v>06:17:10.933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6</v>
      </c>
      <c r="CP1743" t="s">
        <v>119</v>
      </c>
      <c r="CQ1743">
        <v>465</v>
      </c>
      <c r="CR1743">
        <v>0</v>
      </c>
      <c r="CW1743">
        <v>4722406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 t="shared" si="385"/>
        <v>08/29/2020 06:17:07.698</v>
      </c>
      <c r="C1744" t="str">
        <f t="shared" si="378"/>
        <v>FFDFD3C0</v>
      </c>
      <c r="D1744" t="s">
        <v>128</v>
      </c>
      <c r="E1744">
        <v>5</v>
      </c>
      <c r="H1744">
        <v>241</v>
      </c>
      <c r="I1744" t="s">
        <v>129</v>
      </c>
      <c r="J1744" t="s">
        <v>130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386"/>
        <v>06:17:10.930</v>
      </c>
      <c r="T1744" t="str">
        <f t="shared" si="387"/>
        <v>06:17:10.530</v>
      </c>
      <c r="U1744" t="str">
        <f t="shared" si="379"/>
        <v>A7E2E0</v>
      </c>
      <c r="V1744">
        <v>0</v>
      </c>
      <c r="W1744">
        <v>0</v>
      </c>
      <c r="X1744">
        <v>1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0</v>
      </c>
      <c r="AI1744" t="s">
        <v>1117</v>
      </c>
      <c r="AJ1744">
        <v>38.993031999999999</v>
      </c>
      <c r="AK1744" t="s">
        <v>1118</v>
      </c>
      <c r="AL1744">
        <v>-87.577686</v>
      </c>
      <c r="AM1744">
        <v>100</v>
      </c>
      <c r="AN1744">
        <v>2800</v>
      </c>
      <c r="AO1744" t="s">
        <v>118</v>
      </c>
      <c r="AP1744">
        <v>-91</v>
      </c>
      <c r="AQ1744">
        <v>-121</v>
      </c>
      <c r="AR1744">
        <v>0</v>
      </c>
      <c r="AZ1744">
        <v>4552</v>
      </c>
      <c r="BA1744">
        <v>1</v>
      </c>
      <c r="BB1744" t="str">
        <f t="shared" si="380"/>
        <v xml:space="preserve">N607SR  </v>
      </c>
      <c r="BC1744">
        <v>1</v>
      </c>
      <c r="BE1744">
        <v>0</v>
      </c>
      <c r="BF1744">
        <v>0</v>
      </c>
      <c r="BG1744">
        <v>0</v>
      </c>
      <c r="BH1744">
        <v>2600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 t="shared" si="388"/>
        <v>06:17:10.933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6</v>
      </c>
      <c r="CP1744" t="s">
        <v>119</v>
      </c>
      <c r="CQ1744">
        <v>465</v>
      </c>
      <c r="CR1744">
        <v>0</v>
      </c>
      <c r="CW1744">
        <v>4722406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si="385"/>
        <v>08/29/2020 06:17:07.698</v>
      </c>
      <c r="C1745" t="str">
        <f t="shared" si="378"/>
        <v>FFDFD3C0</v>
      </c>
      <c r="D1745" t="s">
        <v>121</v>
      </c>
      <c r="E1745">
        <v>11</v>
      </c>
      <c r="F1745">
        <v>1011</v>
      </c>
      <c r="G1745" t="s">
        <v>125</v>
      </c>
      <c r="J1745" t="s">
        <v>123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386"/>
        <v>06:17:10.930</v>
      </c>
      <c r="T1745" t="str">
        <f t="shared" si="387"/>
        <v>06:17:10.530</v>
      </c>
      <c r="U1745" t="str">
        <f t="shared" si="379"/>
        <v>A7E2E0</v>
      </c>
      <c r="V1745">
        <v>0</v>
      </c>
      <c r="W1745">
        <v>0</v>
      </c>
      <c r="X1745">
        <v>1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0</v>
      </c>
      <c r="AI1745" t="s">
        <v>1117</v>
      </c>
      <c r="AJ1745">
        <v>38.993031999999999</v>
      </c>
      <c r="AK1745" t="s">
        <v>1118</v>
      </c>
      <c r="AL1745">
        <v>-87.577686</v>
      </c>
      <c r="AM1745">
        <v>100</v>
      </c>
      <c r="AN1745">
        <v>2800</v>
      </c>
      <c r="AO1745" t="s">
        <v>118</v>
      </c>
      <c r="AP1745">
        <v>-91</v>
      </c>
      <c r="AQ1745">
        <v>-121</v>
      </c>
      <c r="AR1745">
        <v>0</v>
      </c>
      <c r="AZ1745">
        <v>4552</v>
      </c>
      <c r="BA1745">
        <v>1</v>
      </c>
      <c r="BB1745" t="str">
        <f t="shared" si="380"/>
        <v xml:space="preserve">N607SR  </v>
      </c>
      <c r="BC1745">
        <v>1</v>
      </c>
      <c r="BE1745">
        <v>0</v>
      </c>
      <c r="BF1745">
        <v>0</v>
      </c>
      <c r="BG1745">
        <v>0</v>
      </c>
      <c r="BH1745">
        <v>2600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 t="shared" si="388"/>
        <v>06:17:10.933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5</v>
      </c>
      <c r="CP1745" t="s">
        <v>119</v>
      </c>
      <c r="CQ1745">
        <v>457</v>
      </c>
      <c r="CR1745">
        <v>0</v>
      </c>
      <c r="CW1745">
        <v>15518094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385"/>
        <v>08/29/2020 06:17:07.698</v>
      </c>
      <c r="C1746" t="str">
        <f t="shared" si="378"/>
        <v>FFDFD3C0</v>
      </c>
      <c r="D1746" t="s">
        <v>121</v>
      </c>
      <c r="E1746">
        <v>10</v>
      </c>
      <c r="F1746">
        <v>1010</v>
      </c>
      <c r="G1746" t="s">
        <v>114</v>
      </c>
      <c r="J1746" t="s">
        <v>123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386"/>
        <v>06:17:10.930</v>
      </c>
      <c r="T1746" t="str">
        <f t="shared" si="387"/>
        <v>06:17:10.530</v>
      </c>
      <c r="U1746" t="str">
        <f t="shared" si="379"/>
        <v>A7E2E0</v>
      </c>
      <c r="V1746">
        <v>0</v>
      </c>
      <c r="W1746">
        <v>0</v>
      </c>
      <c r="X1746">
        <v>1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0</v>
      </c>
      <c r="AI1746" t="s">
        <v>1117</v>
      </c>
      <c r="AJ1746">
        <v>38.993031999999999</v>
      </c>
      <c r="AK1746" t="s">
        <v>1118</v>
      </c>
      <c r="AL1746">
        <v>-87.577686</v>
      </c>
      <c r="AM1746">
        <v>100</v>
      </c>
      <c r="AN1746">
        <v>2800</v>
      </c>
      <c r="AO1746" t="s">
        <v>118</v>
      </c>
      <c r="AP1746">
        <v>-91</v>
      </c>
      <c r="AQ1746">
        <v>-121</v>
      </c>
      <c r="AR1746">
        <v>0</v>
      </c>
      <c r="AZ1746">
        <v>4552</v>
      </c>
      <c r="BA1746">
        <v>1</v>
      </c>
      <c r="BB1746" t="str">
        <f t="shared" si="380"/>
        <v xml:space="preserve">N607SR  </v>
      </c>
      <c r="BC1746">
        <v>1</v>
      </c>
      <c r="BE1746">
        <v>0</v>
      </c>
      <c r="BF1746">
        <v>0</v>
      </c>
      <c r="BG1746">
        <v>0</v>
      </c>
      <c r="BH1746">
        <v>2600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 t="shared" si="388"/>
        <v>06:17:10.933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6</v>
      </c>
      <c r="CP1746" t="s">
        <v>119</v>
      </c>
      <c r="CQ1746">
        <v>465</v>
      </c>
      <c r="CR1746">
        <v>0</v>
      </c>
      <c r="CW1746">
        <v>4722406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ref="A1747:A1752" si="389">"08/29/2020 06:17:08.844"</f>
        <v>08/29/2020 06:17:08.844</v>
      </c>
      <c r="C1747" t="str">
        <f t="shared" si="378"/>
        <v>FFDFD3C0</v>
      </c>
      <c r="D1747" t="s">
        <v>121</v>
      </c>
      <c r="E1747">
        <v>11</v>
      </c>
      <c r="F1747">
        <v>1011</v>
      </c>
      <c r="G1747" t="s">
        <v>125</v>
      </c>
      <c r="J1747" t="s">
        <v>123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ref="S1747:S1752" si="390">"06:17:12.063"</f>
        <v>06:17:12.063</v>
      </c>
      <c r="T1747" t="str">
        <f t="shared" ref="T1747:T1752" si="391">"06:17:11.563"</f>
        <v>06:17:11.563</v>
      </c>
      <c r="U1747" t="str">
        <f t="shared" si="379"/>
        <v>A7E2E0</v>
      </c>
      <c r="V1747">
        <v>0</v>
      </c>
      <c r="W1747">
        <v>0</v>
      </c>
      <c r="X1747">
        <v>1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0</v>
      </c>
      <c r="AI1747" t="s">
        <v>1119</v>
      </c>
      <c r="AJ1747">
        <v>38.992431000000003</v>
      </c>
      <c r="AK1747" t="s">
        <v>1120</v>
      </c>
      <c r="AL1747">
        <v>-87.578309000000004</v>
      </c>
      <c r="AM1747">
        <v>100</v>
      </c>
      <c r="AN1747">
        <v>2800</v>
      </c>
      <c r="AO1747" t="s">
        <v>118</v>
      </c>
      <c r="AP1747">
        <v>-91</v>
      </c>
      <c r="AQ1747">
        <v>-121</v>
      </c>
      <c r="AR1747">
        <v>0</v>
      </c>
      <c r="AZ1747">
        <v>4552</v>
      </c>
      <c r="BA1747">
        <v>1</v>
      </c>
      <c r="BB1747" t="str">
        <f t="shared" si="380"/>
        <v xml:space="preserve">N607SR  </v>
      </c>
      <c r="BC1747">
        <v>1</v>
      </c>
      <c r="BE1747">
        <v>0</v>
      </c>
      <c r="BF1747">
        <v>0</v>
      </c>
      <c r="BG1747">
        <v>0</v>
      </c>
      <c r="BH1747">
        <v>2575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 t="shared" ref="BW1747:BW1752" si="392">"06:17:12.069"</f>
        <v>06:17:12.069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6</v>
      </c>
      <c r="CP1747" t="s">
        <v>119</v>
      </c>
      <c r="CQ1747">
        <v>457</v>
      </c>
      <c r="CR1747">
        <v>0</v>
      </c>
      <c r="CW1747">
        <v>15518122</v>
      </c>
      <c r="CY1747">
        <v>1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si="389"/>
        <v>08/29/2020 06:17:08.844</v>
      </c>
      <c r="C1748" t="str">
        <f t="shared" si="378"/>
        <v>FFDFD3C0</v>
      </c>
      <c r="D1748" t="s">
        <v>939</v>
      </c>
      <c r="E1748">
        <v>10</v>
      </c>
      <c r="H1748">
        <v>79</v>
      </c>
      <c r="I1748" t="s">
        <v>940</v>
      </c>
      <c r="J1748" t="s">
        <v>130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390"/>
        <v>06:17:12.063</v>
      </c>
      <c r="T1748" t="str">
        <f t="shared" si="391"/>
        <v>06:17:11.563</v>
      </c>
      <c r="U1748" t="str">
        <f t="shared" si="379"/>
        <v>A7E2E0</v>
      </c>
      <c r="V1748">
        <v>0</v>
      </c>
      <c r="W1748">
        <v>0</v>
      </c>
      <c r="X1748">
        <v>1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0</v>
      </c>
      <c r="AI1748" t="s">
        <v>1119</v>
      </c>
      <c r="AJ1748">
        <v>38.992431000000003</v>
      </c>
      <c r="AK1748" t="s">
        <v>1120</v>
      </c>
      <c r="AL1748">
        <v>-87.578309000000004</v>
      </c>
      <c r="AM1748">
        <v>100</v>
      </c>
      <c r="AN1748">
        <v>2800</v>
      </c>
      <c r="AO1748" t="s">
        <v>118</v>
      </c>
      <c r="AP1748">
        <v>-91</v>
      </c>
      <c r="AQ1748">
        <v>-121</v>
      </c>
      <c r="AR1748">
        <v>0</v>
      </c>
      <c r="AZ1748">
        <v>4552</v>
      </c>
      <c r="BA1748">
        <v>1</v>
      </c>
      <c r="BB1748" t="str">
        <f t="shared" si="380"/>
        <v xml:space="preserve">N607SR  </v>
      </c>
      <c r="BC1748">
        <v>1</v>
      </c>
      <c r="BE1748">
        <v>0</v>
      </c>
      <c r="BF1748">
        <v>0</v>
      </c>
      <c r="BG1748">
        <v>0</v>
      </c>
      <c r="BH1748">
        <v>2575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 t="shared" si="392"/>
        <v>06:17:12.069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6</v>
      </c>
      <c r="CP1748" t="s">
        <v>119</v>
      </c>
      <c r="CQ1748">
        <v>465</v>
      </c>
      <c r="CR1748">
        <v>0</v>
      </c>
      <c r="CW1748">
        <v>4722444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389"/>
        <v>08/29/2020 06:17:08.844</v>
      </c>
      <c r="C1749" t="str">
        <f t="shared" si="378"/>
        <v>FFDFD3C0</v>
      </c>
      <c r="D1749" t="s">
        <v>121</v>
      </c>
      <c r="E1749">
        <v>13</v>
      </c>
      <c r="F1749">
        <v>1013</v>
      </c>
      <c r="G1749" t="s">
        <v>122</v>
      </c>
      <c r="J1749" t="s">
        <v>123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390"/>
        <v>06:17:12.063</v>
      </c>
      <c r="T1749" t="str">
        <f t="shared" si="391"/>
        <v>06:17:11.563</v>
      </c>
      <c r="U1749" t="str">
        <f t="shared" si="379"/>
        <v>A7E2E0</v>
      </c>
      <c r="V1749">
        <v>0</v>
      </c>
      <c r="W1749">
        <v>0</v>
      </c>
      <c r="X1749">
        <v>1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0</v>
      </c>
      <c r="AI1749" t="s">
        <v>1119</v>
      </c>
      <c r="AJ1749">
        <v>38.992431000000003</v>
      </c>
      <c r="AK1749" t="s">
        <v>1120</v>
      </c>
      <c r="AL1749">
        <v>-87.578309000000004</v>
      </c>
      <c r="AM1749">
        <v>100</v>
      </c>
      <c r="AN1749">
        <v>2800</v>
      </c>
      <c r="AO1749" t="s">
        <v>118</v>
      </c>
      <c r="AP1749">
        <v>-91</v>
      </c>
      <c r="AQ1749">
        <v>-121</v>
      </c>
      <c r="AR1749">
        <v>0</v>
      </c>
      <c r="AZ1749">
        <v>4552</v>
      </c>
      <c r="BA1749">
        <v>1</v>
      </c>
      <c r="BB1749" t="str">
        <f t="shared" si="380"/>
        <v xml:space="preserve">N607SR  </v>
      </c>
      <c r="BC1749">
        <v>1</v>
      </c>
      <c r="BE1749">
        <v>0</v>
      </c>
      <c r="BF1749">
        <v>0</v>
      </c>
      <c r="BG1749">
        <v>0</v>
      </c>
      <c r="BH1749">
        <v>2575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 t="shared" si="392"/>
        <v>06:17:12.069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6</v>
      </c>
      <c r="CP1749" t="s">
        <v>119</v>
      </c>
      <c r="CQ1749">
        <v>465</v>
      </c>
      <c r="CR1749">
        <v>0</v>
      </c>
      <c r="CW1749">
        <v>4722444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389"/>
        <v>08/29/2020 06:17:08.844</v>
      </c>
      <c r="C1750" t="str">
        <f t="shared" si="378"/>
        <v>FFDFD3C0</v>
      </c>
      <c r="D1750" t="s">
        <v>113</v>
      </c>
      <c r="E1750">
        <v>5</v>
      </c>
      <c r="H1750">
        <v>163</v>
      </c>
      <c r="I1750" t="s">
        <v>114</v>
      </c>
      <c r="J1750" t="s">
        <v>115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390"/>
        <v>06:17:12.063</v>
      </c>
      <c r="T1750" t="str">
        <f t="shared" si="391"/>
        <v>06:17:11.563</v>
      </c>
      <c r="U1750" t="str">
        <f t="shared" si="379"/>
        <v>A7E2E0</v>
      </c>
      <c r="V1750">
        <v>0</v>
      </c>
      <c r="W1750">
        <v>0</v>
      </c>
      <c r="X1750">
        <v>1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0</v>
      </c>
      <c r="AI1750" t="s">
        <v>1119</v>
      </c>
      <c r="AJ1750">
        <v>38.992431000000003</v>
      </c>
      <c r="AK1750" t="s">
        <v>1120</v>
      </c>
      <c r="AL1750">
        <v>-87.578309000000004</v>
      </c>
      <c r="AM1750">
        <v>100</v>
      </c>
      <c r="AN1750">
        <v>2800</v>
      </c>
      <c r="AO1750" t="s">
        <v>118</v>
      </c>
      <c r="AP1750">
        <v>-91</v>
      </c>
      <c r="AQ1750">
        <v>-121</v>
      </c>
      <c r="AR1750">
        <v>0</v>
      </c>
      <c r="AZ1750">
        <v>4552</v>
      </c>
      <c r="BA1750">
        <v>1</v>
      </c>
      <c r="BB1750" t="str">
        <f t="shared" si="380"/>
        <v xml:space="preserve">N607SR  </v>
      </c>
      <c r="BC1750">
        <v>1</v>
      </c>
      <c r="BE1750">
        <v>0</v>
      </c>
      <c r="BF1750">
        <v>0</v>
      </c>
      <c r="BG1750">
        <v>0</v>
      </c>
      <c r="BH1750">
        <v>2575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 t="shared" si="392"/>
        <v>06:17:12.069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6</v>
      </c>
      <c r="CP1750" t="s">
        <v>119</v>
      </c>
      <c r="CQ1750">
        <v>465</v>
      </c>
      <c r="CR1750">
        <v>0</v>
      </c>
      <c r="CW1750">
        <v>4722444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 t="shared" si="389"/>
        <v>08/29/2020 06:17:08.844</v>
      </c>
      <c r="C1751" t="str">
        <f t="shared" si="378"/>
        <v>FFDFD3C0</v>
      </c>
      <c r="D1751" t="s">
        <v>128</v>
      </c>
      <c r="E1751">
        <v>5</v>
      </c>
      <c r="H1751">
        <v>241</v>
      </c>
      <c r="I1751" t="s">
        <v>129</v>
      </c>
      <c r="J1751" t="s">
        <v>130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390"/>
        <v>06:17:12.063</v>
      </c>
      <c r="T1751" t="str">
        <f t="shared" si="391"/>
        <v>06:17:11.563</v>
      </c>
      <c r="U1751" t="str">
        <f t="shared" si="379"/>
        <v>A7E2E0</v>
      </c>
      <c r="V1751">
        <v>0</v>
      </c>
      <c r="W1751">
        <v>0</v>
      </c>
      <c r="X1751">
        <v>1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0</v>
      </c>
      <c r="AI1751" t="s">
        <v>1119</v>
      </c>
      <c r="AJ1751">
        <v>38.992431000000003</v>
      </c>
      <c r="AK1751" t="s">
        <v>1120</v>
      </c>
      <c r="AL1751">
        <v>-87.578309000000004</v>
      </c>
      <c r="AM1751">
        <v>100</v>
      </c>
      <c r="AN1751">
        <v>2800</v>
      </c>
      <c r="AO1751" t="s">
        <v>118</v>
      </c>
      <c r="AP1751">
        <v>-91</v>
      </c>
      <c r="AQ1751">
        <v>-121</v>
      </c>
      <c r="AR1751">
        <v>0</v>
      </c>
      <c r="AZ1751">
        <v>4552</v>
      </c>
      <c r="BA1751">
        <v>1</v>
      </c>
      <c r="BB1751" t="str">
        <f t="shared" si="380"/>
        <v xml:space="preserve">N607SR  </v>
      </c>
      <c r="BC1751">
        <v>1</v>
      </c>
      <c r="BE1751">
        <v>0</v>
      </c>
      <c r="BF1751">
        <v>0</v>
      </c>
      <c r="BG1751">
        <v>0</v>
      </c>
      <c r="BH1751">
        <v>2575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 t="shared" si="392"/>
        <v>06:17:12.069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6</v>
      </c>
      <c r="CP1751" t="s">
        <v>119</v>
      </c>
      <c r="CQ1751">
        <v>465</v>
      </c>
      <c r="CR1751">
        <v>0</v>
      </c>
      <c r="CW1751">
        <v>4722444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 t="shared" si="389"/>
        <v>08/29/2020 06:17:08.844</v>
      </c>
      <c r="C1752" t="str">
        <f t="shared" si="378"/>
        <v>FFDFD3C0</v>
      </c>
      <c r="D1752" t="s">
        <v>121</v>
      </c>
      <c r="E1752">
        <v>10</v>
      </c>
      <c r="F1752">
        <v>1010</v>
      </c>
      <c r="G1752" t="s">
        <v>114</v>
      </c>
      <c r="J1752" t="s">
        <v>123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390"/>
        <v>06:17:12.063</v>
      </c>
      <c r="T1752" t="str">
        <f t="shared" si="391"/>
        <v>06:17:11.563</v>
      </c>
      <c r="U1752" t="str">
        <f t="shared" si="379"/>
        <v>A7E2E0</v>
      </c>
      <c r="V1752">
        <v>0</v>
      </c>
      <c r="W1752">
        <v>0</v>
      </c>
      <c r="X1752">
        <v>1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0</v>
      </c>
      <c r="AI1752" t="s">
        <v>1119</v>
      </c>
      <c r="AJ1752">
        <v>38.992431000000003</v>
      </c>
      <c r="AK1752" t="s">
        <v>1120</v>
      </c>
      <c r="AL1752">
        <v>-87.578309000000004</v>
      </c>
      <c r="AM1752">
        <v>100</v>
      </c>
      <c r="AN1752">
        <v>2800</v>
      </c>
      <c r="AO1752" t="s">
        <v>118</v>
      </c>
      <c r="AP1752">
        <v>-91</v>
      </c>
      <c r="AQ1752">
        <v>-121</v>
      </c>
      <c r="AR1752">
        <v>0</v>
      </c>
      <c r="AZ1752">
        <v>4552</v>
      </c>
      <c r="BA1752">
        <v>1</v>
      </c>
      <c r="BB1752" t="str">
        <f t="shared" si="380"/>
        <v xml:space="preserve">N607SR  </v>
      </c>
      <c r="BC1752">
        <v>1</v>
      </c>
      <c r="BE1752">
        <v>0</v>
      </c>
      <c r="BF1752">
        <v>0</v>
      </c>
      <c r="BG1752">
        <v>0</v>
      </c>
      <c r="BH1752">
        <v>2575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 t="shared" si="392"/>
        <v>06:17:12.069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6</v>
      </c>
      <c r="CP1752" t="s">
        <v>119</v>
      </c>
      <c r="CQ1752">
        <v>465</v>
      </c>
      <c r="CR1752">
        <v>0</v>
      </c>
      <c r="CW1752">
        <v>4722444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 t="shared" ref="A1753:A1758" si="393">"08/29/2020 06:17:09.933"</f>
        <v>08/29/2020 06:17:09.933</v>
      </c>
      <c r="C1753" t="str">
        <f t="shared" si="378"/>
        <v>FFDFD3C0</v>
      </c>
      <c r="D1753" t="s">
        <v>121</v>
      </c>
      <c r="E1753">
        <v>13</v>
      </c>
      <c r="F1753">
        <v>1013</v>
      </c>
      <c r="G1753" t="s">
        <v>122</v>
      </c>
      <c r="J1753" t="s">
        <v>123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ref="S1753:S1758" si="394">"06:17:13.156"</f>
        <v>06:17:13.156</v>
      </c>
      <c r="U1753" t="str">
        <f t="shared" si="379"/>
        <v>A7E2E0</v>
      </c>
      <c r="V1753">
        <v>0</v>
      </c>
      <c r="W1753">
        <v>0</v>
      </c>
      <c r="X1753">
        <v>1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0</v>
      </c>
      <c r="AI1753" t="s">
        <v>1121</v>
      </c>
      <c r="AJ1753">
        <v>38.991809000000003</v>
      </c>
      <c r="AK1753" t="s">
        <v>1122</v>
      </c>
      <c r="AL1753">
        <v>-87.578888000000006</v>
      </c>
      <c r="AM1753">
        <v>100</v>
      </c>
      <c r="AN1753">
        <v>2800</v>
      </c>
      <c r="AO1753" t="s">
        <v>118</v>
      </c>
      <c r="AP1753">
        <v>-90</v>
      </c>
      <c r="AQ1753">
        <v>-120</v>
      </c>
      <c r="AR1753">
        <v>0</v>
      </c>
      <c r="AZ1753">
        <v>4552</v>
      </c>
      <c r="BA1753">
        <v>1</v>
      </c>
      <c r="BB1753" t="str">
        <f t="shared" si="380"/>
        <v xml:space="preserve">N607SR  </v>
      </c>
      <c r="BC1753">
        <v>1</v>
      </c>
      <c r="BE1753">
        <v>0</v>
      </c>
      <c r="BF1753">
        <v>0</v>
      </c>
      <c r="BG1753">
        <v>0</v>
      </c>
      <c r="BH1753">
        <v>2575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 t="shared" ref="BW1753:BW1758" si="395">"06:17:13.158"</f>
        <v>06:17:13.158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6</v>
      </c>
      <c r="CP1753" t="s">
        <v>119</v>
      </c>
      <c r="CQ1753">
        <v>465</v>
      </c>
      <c r="CR1753">
        <v>0</v>
      </c>
      <c r="CW1753">
        <v>4722476</v>
      </c>
      <c r="CY1753">
        <v>1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 t="shared" si="393"/>
        <v>08/29/2020 06:17:09.933</v>
      </c>
      <c r="C1754" t="str">
        <f t="shared" si="378"/>
        <v>FFDFD3C0</v>
      </c>
      <c r="D1754" t="s">
        <v>113</v>
      </c>
      <c r="E1754">
        <v>5</v>
      </c>
      <c r="H1754">
        <v>163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394"/>
        <v>06:17:13.156</v>
      </c>
      <c r="U1754" t="str">
        <f t="shared" si="379"/>
        <v>A7E2E0</v>
      </c>
      <c r="V1754">
        <v>0</v>
      </c>
      <c r="W1754">
        <v>0</v>
      </c>
      <c r="X1754">
        <v>1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0</v>
      </c>
      <c r="AI1754" t="s">
        <v>1121</v>
      </c>
      <c r="AJ1754">
        <v>38.991809000000003</v>
      </c>
      <c r="AK1754" t="s">
        <v>1122</v>
      </c>
      <c r="AL1754">
        <v>-87.578888000000006</v>
      </c>
      <c r="AM1754">
        <v>100</v>
      </c>
      <c r="AN1754">
        <v>2800</v>
      </c>
      <c r="AO1754" t="s">
        <v>118</v>
      </c>
      <c r="AP1754">
        <v>-90</v>
      </c>
      <c r="AQ1754">
        <v>-120</v>
      </c>
      <c r="AR1754">
        <v>0</v>
      </c>
      <c r="AZ1754">
        <v>4552</v>
      </c>
      <c r="BA1754">
        <v>1</v>
      </c>
      <c r="BB1754" t="str">
        <f t="shared" si="380"/>
        <v xml:space="preserve">N607SR  </v>
      </c>
      <c r="BC1754">
        <v>1</v>
      </c>
      <c r="BE1754">
        <v>0</v>
      </c>
      <c r="BF1754">
        <v>0</v>
      </c>
      <c r="BG1754">
        <v>0</v>
      </c>
      <c r="BH1754">
        <v>2575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 t="shared" si="395"/>
        <v>06:17:13.158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6</v>
      </c>
      <c r="CP1754" t="s">
        <v>119</v>
      </c>
      <c r="CQ1754">
        <v>465</v>
      </c>
      <c r="CR1754">
        <v>0</v>
      </c>
      <c r="CW1754">
        <v>4722476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 t="shared" si="393"/>
        <v>08/29/2020 06:17:09.933</v>
      </c>
      <c r="C1755" t="str">
        <f t="shared" si="378"/>
        <v>FFDFD3C0</v>
      </c>
      <c r="D1755" t="s">
        <v>121</v>
      </c>
      <c r="E1755">
        <v>10</v>
      </c>
      <c r="F1755">
        <v>1010</v>
      </c>
      <c r="G1755" t="s">
        <v>114</v>
      </c>
      <c r="J1755" t="s">
        <v>123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394"/>
        <v>06:17:13.156</v>
      </c>
      <c r="U1755" t="str">
        <f t="shared" si="379"/>
        <v>A7E2E0</v>
      </c>
      <c r="V1755">
        <v>0</v>
      </c>
      <c r="W1755">
        <v>0</v>
      </c>
      <c r="X1755">
        <v>1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0</v>
      </c>
      <c r="AI1755" t="s">
        <v>1121</v>
      </c>
      <c r="AJ1755">
        <v>38.991809000000003</v>
      </c>
      <c r="AK1755" t="s">
        <v>1122</v>
      </c>
      <c r="AL1755">
        <v>-87.578888000000006</v>
      </c>
      <c r="AM1755">
        <v>100</v>
      </c>
      <c r="AN1755">
        <v>2800</v>
      </c>
      <c r="AO1755" t="s">
        <v>118</v>
      </c>
      <c r="AP1755">
        <v>-90</v>
      </c>
      <c r="AQ1755">
        <v>-120</v>
      </c>
      <c r="AR1755">
        <v>0</v>
      </c>
      <c r="AZ1755">
        <v>4552</v>
      </c>
      <c r="BA1755">
        <v>1</v>
      </c>
      <c r="BB1755" t="str">
        <f t="shared" si="380"/>
        <v xml:space="preserve">N607SR  </v>
      </c>
      <c r="BC1755">
        <v>1</v>
      </c>
      <c r="BE1755">
        <v>0</v>
      </c>
      <c r="BF1755">
        <v>0</v>
      </c>
      <c r="BG1755">
        <v>0</v>
      </c>
      <c r="BH1755">
        <v>2575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 t="shared" si="395"/>
        <v>06:17:13.158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6</v>
      </c>
      <c r="CP1755" t="s">
        <v>119</v>
      </c>
      <c r="CQ1755">
        <v>465</v>
      </c>
      <c r="CR1755">
        <v>0</v>
      </c>
      <c r="CW1755">
        <v>4722476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 t="shared" si="393"/>
        <v>08/29/2020 06:17:09.933</v>
      </c>
      <c r="C1756" t="str">
        <f t="shared" si="378"/>
        <v>FFDFD3C0</v>
      </c>
      <c r="D1756" t="s">
        <v>128</v>
      </c>
      <c r="E1756">
        <v>5</v>
      </c>
      <c r="H1756">
        <v>241</v>
      </c>
      <c r="I1756" t="s">
        <v>129</v>
      </c>
      <c r="J1756" t="s">
        <v>130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394"/>
        <v>06:17:13.156</v>
      </c>
      <c r="U1756" t="str">
        <f t="shared" si="379"/>
        <v>A7E2E0</v>
      </c>
      <c r="V1756">
        <v>0</v>
      </c>
      <c r="W1756">
        <v>0</v>
      </c>
      <c r="X1756">
        <v>1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0</v>
      </c>
      <c r="AI1756" t="s">
        <v>1121</v>
      </c>
      <c r="AJ1756">
        <v>38.991809000000003</v>
      </c>
      <c r="AK1756" t="s">
        <v>1122</v>
      </c>
      <c r="AL1756">
        <v>-87.578888000000006</v>
      </c>
      <c r="AM1756">
        <v>100</v>
      </c>
      <c r="AN1756">
        <v>2800</v>
      </c>
      <c r="AO1756" t="s">
        <v>118</v>
      </c>
      <c r="AP1756">
        <v>-90</v>
      </c>
      <c r="AQ1756">
        <v>-120</v>
      </c>
      <c r="AR1756">
        <v>0</v>
      </c>
      <c r="AZ1756">
        <v>4552</v>
      </c>
      <c r="BA1756">
        <v>1</v>
      </c>
      <c r="BB1756" t="str">
        <f t="shared" si="380"/>
        <v xml:space="preserve">N607SR  </v>
      </c>
      <c r="BC1756">
        <v>1</v>
      </c>
      <c r="BE1756">
        <v>0</v>
      </c>
      <c r="BF1756">
        <v>0</v>
      </c>
      <c r="BG1756">
        <v>0</v>
      </c>
      <c r="BH1756">
        <v>2575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 t="shared" si="395"/>
        <v>06:17:13.158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6</v>
      </c>
      <c r="CP1756" t="s">
        <v>119</v>
      </c>
      <c r="CQ1756">
        <v>465</v>
      </c>
      <c r="CR1756">
        <v>0</v>
      </c>
      <c r="CW1756">
        <v>4722476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 t="shared" si="393"/>
        <v>08/29/2020 06:17:09.933</v>
      </c>
      <c r="C1757" t="str">
        <f t="shared" si="378"/>
        <v>FFDFD3C0</v>
      </c>
      <c r="D1757" t="s">
        <v>121</v>
      </c>
      <c r="E1757">
        <v>11</v>
      </c>
      <c r="F1757">
        <v>1011</v>
      </c>
      <c r="G1757" t="s">
        <v>125</v>
      </c>
      <c r="J1757" t="s">
        <v>123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394"/>
        <v>06:17:13.156</v>
      </c>
      <c r="T1757" t="str">
        <f>"06:17:12.656"</f>
        <v>06:17:12.656</v>
      </c>
      <c r="U1757" t="str">
        <f t="shared" si="379"/>
        <v>A7E2E0</v>
      </c>
      <c r="V1757">
        <v>0</v>
      </c>
      <c r="W1757">
        <v>0</v>
      </c>
      <c r="X1757">
        <v>1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0</v>
      </c>
      <c r="AI1757" t="s">
        <v>1121</v>
      </c>
      <c r="AJ1757">
        <v>38.991809000000003</v>
      </c>
      <c r="AK1757" t="s">
        <v>1122</v>
      </c>
      <c r="AL1757">
        <v>-87.578888000000006</v>
      </c>
      <c r="AM1757">
        <v>100</v>
      </c>
      <c r="AN1757">
        <v>2800</v>
      </c>
      <c r="AO1757" t="s">
        <v>118</v>
      </c>
      <c r="AP1757">
        <v>-90</v>
      </c>
      <c r="AQ1757">
        <v>-121</v>
      </c>
      <c r="AR1757">
        <v>0</v>
      </c>
      <c r="AZ1757">
        <v>4552</v>
      </c>
      <c r="BA1757">
        <v>1</v>
      </c>
      <c r="BB1757" t="str">
        <f t="shared" si="380"/>
        <v xml:space="preserve">N607SR  </v>
      </c>
      <c r="BC1757">
        <v>1</v>
      </c>
      <c r="BE1757">
        <v>0</v>
      </c>
      <c r="BF1757">
        <v>0</v>
      </c>
      <c r="BG1757">
        <v>0</v>
      </c>
      <c r="BH1757">
        <v>2575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 t="shared" si="395"/>
        <v>06:17:13.158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5</v>
      </c>
      <c r="CP1757" t="s">
        <v>119</v>
      </c>
      <c r="CQ1757">
        <v>177</v>
      </c>
      <c r="CR1757">
        <v>2</v>
      </c>
      <c r="CW1757">
        <v>1652546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 t="shared" si="393"/>
        <v>08/29/2020 06:17:09.933</v>
      </c>
      <c r="C1758" t="str">
        <f t="shared" si="378"/>
        <v>FFDFD3C0</v>
      </c>
      <c r="D1758" t="s">
        <v>939</v>
      </c>
      <c r="E1758">
        <v>10</v>
      </c>
      <c r="H1758">
        <v>79</v>
      </c>
      <c r="I1758" t="s">
        <v>940</v>
      </c>
      <c r="J1758" t="s">
        <v>130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394"/>
        <v>06:17:13.156</v>
      </c>
      <c r="U1758" t="str">
        <f t="shared" si="379"/>
        <v>A7E2E0</v>
      </c>
      <c r="V1758">
        <v>0</v>
      </c>
      <c r="W1758">
        <v>0</v>
      </c>
      <c r="X1758">
        <v>1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0</v>
      </c>
      <c r="AI1758" t="s">
        <v>1121</v>
      </c>
      <c r="AJ1758">
        <v>38.991809000000003</v>
      </c>
      <c r="AK1758" t="s">
        <v>1122</v>
      </c>
      <c r="AL1758">
        <v>-87.578888000000006</v>
      </c>
      <c r="AM1758">
        <v>100</v>
      </c>
      <c r="AN1758">
        <v>2800</v>
      </c>
      <c r="AO1758" t="s">
        <v>118</v>
      </c>
      <c r="AP1758">
        <v>-90</v>
      </c>
      <c r="AQ1758">
        <v>-120</v>
      </c>
      <c r="AR1758">
        <v>0</v>
      </c>
      <c r="AZ1758">
        <v>4552</v>
      </c>
      <c r="BA1758">
        <v>1</v>
      </c>
      <c r="BB1758" t="str">
        <f t="shared" si="380"/>
        <v xml:space="preserve">N607SR  </v>
      </c>
      <c r="BC1758">
        <v>1</v>
      </c>
      <c r="BE1758">
        <v>0</v>
      </c>
      <c r="BF1758">
        <v>0</v>
      </c>
      <c r="BG1758">
        <v>0</v>
      </c>
      <c r="BH1758">
        <v>2575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 t="shared" si="395"/>
        <v>06:17:13.158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6</v>
      </c>
      <c r="CP1758" t="s">
        <v>119</v>
      </c>
      <c r="CQ1758">
        <v>465</v>
      </c>
      <c r="CR1758">
        <v>0</v>
      </c>
      <c r="CW1758">
        <v>4722476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 t="shared" ref="A1759:A1764" si="396">"08/29/2020 06:17:10.911"</f>
        <v>08/29/2020 06:17:10.911</v>
      </c>
      <c r="C1759" t="str">
        <f t="shared" si="378"/>
        <v>FFDFD3C0</v>
      </c>
      <c r="D1759" t="s">
        <v>121</v>
      </c>
      <c r="E1759">
        <v>10</v>
      </c>
      <c r="F1759">
        <v>1010</v>
      </c>
      <c r="G1759" t="s">
        <v>114</v>
      </c>
      <c r="J1759" t="s">
        <v>123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ref="S1759:S1764" si="397">"06:17:14.164"</f>
        <v>06:17:14.164</v>
      </c>
      <c r="T1759" t="str">
        <f t="shared" ref="T1759:T1764" si="398">"06:17:13.664"</f>
        <v>06:17:13.664</v>
      </c>
      <c r="U1759" t="str">
        <f t="shared" si="379"/>
        <v>A7E2E0</v>
      </c>
      <c r="V1759">
        <v>0</v>
      </c>
      <c r="W1759">
        <v>0</v>
      </c>
      <c r="X1759">
        <v>1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0</v>
      </c>
      <c r="AI1759" t="s">
        <v>1123</v>
      </c>
      <c r="AJ1759">
        <v>38.991250999999998</v>
      </c>
      <c r="AK1759" t="s">
        <v>1124</v>
      </c>
      <c r="AL1759">
        <v>-87.579424000000003</v>
      </c>
      <c r="AM1759">
        <v>100</v>
      </c>
      <c r="AN1759">
        <v>2800</v>
      </c>
      <c r="AO1759" t="s">
        <v>118</v>
      </c>
      <c r="AP1759">
        <v>-90</v>
      </c>
      <c r="AQ1759">
        <v>-120</v>
      </c>
      <c r="AR1759">
        <v>-64</v>
      </c>
      <c r="AZ1759">
        <v>4552</v>
      </c>
      <c r="BA1759">
        <v>1</v>
      </c>
      <c r="BB1759" t="str">
        <f t="shared" si="380"/>
        <v xml:space="preserve">N607SR  </v>
      </c>
      <c r="BC1759">
        <v>1</v>
      </c>
      <c r="BE1759">
        <v>0</v>
      </c>
      <c r="BF1759">
        <v>0</v>
      </c>
      <c r="BG1759">
        <v>0</v>
      </c>
      <c r="BH1759">
        <v>2575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 t="shared" ref="BW1759:BW1764" si="399">"06:17:14.164"</f>
        <v>06:17:14.164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465</v>
      </c>
      <c r="CR1759">
        <v>0</v>
      </c>
      <c r="CW1759">
        <v>4722509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 t="shared" si="396"/>
        <v>08/29/2020 06:17:10.911</v>
      </c>
      <c r="C1760" t="str">
        <f t="shared" si="378"/>
        <v>FFDFD3C0</v>
      </c>
      <c r="D1760" t="s">
        <v>128</v>
      </c>
      <c r="E1760">
        <v>5</v>
      </c>
      <c r="H1760">
        <v>241</v>
      </c>
      <c r="I1760" t="s">
        <v>129</v>
      </c>
      <c r="J1760" t="s">
        <v>130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397"/>
        <v>06:17:14.164</v>
      </c>
      <c r="T1760" t="str">
        <f t="shared" si="398"/>
        <v>06:17:13.664</v>
      </c>
      <c r="U1760" t="str">
        <f t="shared" si="379"/>
        <v>A7E2E0</v>
      </c>
      <c r="V1760">
        <v>0</v>
      </c>
      <c r="W1760">
        <v>0</v>
      </c>
      <c r="X1760">
        <v>1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0</v>
      </c>
      <c r="AI1760" t="s">
        <v>1123</v>
      </c>
      <c r="AJ1760">
        <v>38.991250999999998</v>
      </c>
      <c r="AK1760" t="s">
        <v>1124</v>
      </c>
      <c r="AL1760">
        <v>-87.579424000000003</v>
      </c>
      <c r="AM1760">
        <v>100</v>
      </c>
      <c r="AN1760">
        <v>2800</v>
      </c>
      <c r="AO1760" t="s">
        <v>118</v>
      </c>
      <c r="AP1760">
        <v>-90</v>
      </c>
      <c r="AQ1760">
        <v>-120</v>
      </c>
      <c r="AR1760">
        <v>-64</v>
      </c>
      <c r="AZ1760">
        <v>4552</v>
      </c>
      <c r="BA1760">
        <v>1</v>
      </c>
      <c r="BB1760" t="str">
        <f t="shared" si="380"/>
        <v xml:space="preserve">N607SR  </v>
      </c>
      <c r="BC1760">
        <v>1</v>
      </c>
      <c r="BE1760">
        <v>0</v>
      </c>
      <c r="BF1760">
        <v>0</v>
      </c>
      <c r="BG1760">
        <v>0</v>
      </c>
      <c r="BH1760">
        <v>2575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 t="shared" si="399"/>
        <v>06:17:14.164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465</v>
      </c>
      <c r="CR1760">
        <v>0</v>
      </c>
      <c r="CW1760">
        <v>4722509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 t="shared" si="396"/>
        <v>08/29/2020 06:17:10.911</v>
      </c>
      <c r="C1761" t="str">
        <f t="shared" si="378"/>
        <v>FFDFD3C0</v>
      </c>
      <c r="D1761" t="s">
        <v>939</v>
      </c>
      <c r="E1761">
        <v>10</v>
      </c>
      <c r="H1761">
        <v>79</v>
      </c>
      <c r="I1761" t="s">
        <v>940</v>
      </c>
      <c r="J1761" t="s">
        <v>130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397"/>
        <v>06:17:14.164</v>
      </c>
      <c r="T1761" t="str">
        <f t="shared" si="398"/>
        <v>06:17:13.664</v>
      </c>
      <c r="U1761" t="str">
        <f t="shared" si="379"/>
        <v>A7E2E0</v>
      </c>
      <c r="V1761">
        <v>0</v>
      </c>
      <c r="W1761">
        <v>0</v>
      </c>
      <c r="X1761">
        <v>1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0</v>
      </c>
      <c r="AI1761" t="s">
        <v>1123</v>
      </c>
      <c r="AJ1761">
        <v>38.991250999999998</v>
      </c>
      <c r="AK1761" t="s">
        <v>1124</v>
      </c>
      <c r="AL1761">
        <v>-87.579424000000003</v>
      </c>
      <c r="AM1761">
        <v>100</v>
      </c>
      <c r="AN1761">
        <v>2800</v>
      </c>
      <c r="AO1761" t="s">
        <v>118</v>
      </c>
      <c r="AP1761">
        <v>-90</v>
      </c>
      <c r="AQ1761">
        <v>-120</v>
      </c>
      <c r="AR1761">
        <v>-64</v>
      </c>
      <c r="AZ1761">
        <v>4552</v>
      </c>
      <c r="BA1761">
        <v>1</v>
      </c>
      <c r="BB1761" t="str">
        <f t="shared" si="380"/>
        <v xml:space="preserve">N607SR  </v>
      </c>
      <c r="BC1761">
        <v>1</v>
      </c>
      <c r="BE1761">
        <v>0</v>
      </c>
      <c r="BF1761">
        <v>0</v>
      </c>
      <c r="BG1761">
        <v>0</v>
      </c>
      <c r="BH1761">
        <v>2575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 t="shared" si="399"/>
        <v>06:17:14.164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6</v>
      </c>
      <c r="CP1761" t="s">
        <v>119</v>
      </c>
      <c r="CQ1761">
        <v>465</v>
      </c>
      <c r="CR1761">
        <v>0</v>
      </c>
      <c r="CW1761">
        <v>4722509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 t="shared" si="396"/>
        <v>08/29/2020 06:17:10.911</v>
      </c>
      <c r="C1762" t="str">
        <f t="shared" si="378"/>
        <v>FFDFD3C0</v>
      </c>
      <c r="D1762" t="s">
        <v>121</v>
      </c>
      <c r="E1762">
        <v>11</v>
      </c>
      <c r="F1762">
        <v>1011</v>
      </c>
      <c r="G1762" t="s">
        <v>125</v>
      </c>
      <c r="J1762" t="s">
        <v>123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397"/>
        <v>06:17:14.164</v>
      </c>
      <c r="T1762" t="str">
        <f t="shared" si="398"/>
        <v>06:17:13.664</v>
      </c>
      <c r="U1762" t="str">
        <f t="shared" si="379"/>
        <v>A7E2E0</v>
      </c>
      <c r="V1762">
        <v>0</v>
      </c>
      <c r="W1762">
        <v>0</v>
      </c>
      <c r="X1762">
        <v>1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0</v>
      </c>
      <c r="AI1762" t="s">
        <v>1123</v>
      </c>
      <c r="AJ1762">
        <v>38.991250999999998</v>
      </c>
      <c r="AK1762" t="s">
        <v>1124</v>
      </c>
      <c r="AL1762">
        <v>-87.579424000000003</v>
      </c>
      <c r="AM1762">
        <v>100</v>
      </c>
      <c r="AN1762">
        <v>2800</v>
      </c>
      <c r="AO1762" t="s">
        <v>118</v>
      </c>
      <c r="AP1762">
        <v>-90</v>
      </c>
      <c r="AQ1762">
        <v>-120</v>
      </c>
      <c r="AR1762">
        <v>-64</v>
      </c>
      <c r="AZ1762">
        <v>4552</v>
      </c>
      <c r="BA1762">
        <v>1</v>
      </c>
      <c r="BB1762" t="str">
        <f t="shared" si="380"/>
        <v xml:space="preserve">N607SR  </v>
      </c>
      <c r="BC1762">
        <v>1</v>
      </c>
      <c r="BE1762">
        <v>0</v>
      </c>
      <c r="BF1762">
        <v>0</v>
      </c>
      <c r="BG1762">
        <v>0</v>
      </c>
      <c r="BH1762">
        <v>2575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 t="shared" si="399"/>
        <v>06:17:14.164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5</v>
      </c>
      <c r="CP1762" t="s">
        <v>119</v>
      </c>
      <c r="CQ1762">
        <v>457</v>
      </c>
      <c r="CR1762">
        <v>0</v>
      </c>
      <c r="CW1762">
        <v>15518177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si="396"/>
        <v>08/29/2020 06:17:10.911</v>
      </c>
      <c r="C1763" t="str">
        <f t="shared" si="378"/>
        <v>FFDFD3C0</v>
      </c>
      <c r="D1763" t="s">
        <v>121</v>
      </c>
      <c r="E1763">
        <v>13</v>
      </c>
      <c r="F1763">
        <v>1013</v>
      </c>
      <c r="G1763" t="s">
        <v>122</v>
      </c>
      <c r="J1763" t="s">
        <v>123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397"/>
        <v>06:17:14.164</v>
      </c>
      <c r="T1763" t="str">
        <f t="shared" si="398"/>
        <v>06:17:13.664</v>
      </c>
      <c r="U1763" t="str">
        <f t="shared" si="379"/>
        <v>A7E2E0</v>
      </c>
      <c r="V1763">
        <v>0</v>
      </c>
      <c r="W1763">
        <v>0</v>
      </c>
      <c r="X1763">
        <v>1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0</v>
      </c>
      <c r="AI1763" t="s">
        <v>1123</v>
      </c>
      <c r="AJ1763">
        <v>38.991250999999998</v>
      </c>
      <c r="AK1763" t="s">
        <v>1124</v>
      </c>
      <c r="AL1763">
        <v>-87.579424000000003</v>
      </c>
      <c r="AM1763">
        <v>100</v>
      </c>
      <c r="AN1763">
        <v>2800</v>
      </c>
      <c r="AO1763" t="s">
        <v>118</v>
      </c>
      <c r="AP1763">
        <v>-90</v>
      </c>
      <c r="AQ1763">
        <v>-120</v>
      </c>
      <c r="AR1763">
        <v>-64</v>
      </c>
      <c r="AZ1763">
        <v>4552</v>
      </c>
      <c r="BA1763">
        <v>1</v>
      </c>
      <c r="BB1763" t="str">
        <f t="shared" si="380"/>
        <v xml:space="preserve">N607SR  </v>
      </c>
      <c r="BC1763">
        <v>1</v>
      </c>
      <c r="BE1763">
        <v>0</v>
      </c>
      <c r="BF1763">
        <v>0</v>
      </c>
      <c r="BG1763">
        <v>0</v>
      </c>
      <c r="BH1763">
        <v>2575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 t="shared" si="399"/>
        <v>06:17:14.164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6</v>
      </c>
      <c r="CP1763" t="s">
        <v>119</v>
      </c>
      <c r="CQ1763">
        <v>465</v>
      </c>
      <c r="CR1763">
        <v>0</v>
      </c>
      <c r="CW1763">
        <v>4722509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si="396"/>
        <v>08/29/2020 06:17:10.911</v>
      </c>
      <c r="C1764" t="str">
        <f t="shared" si="378"/>
        <v>FFDFD3C0</v>
      </c>
      <c r="D1764" t="s">
        <v>113</v>
      </c>
      <c r="E1764">
        <v>5</v>
      </c>
      <c r="H1764">
        <v>163</v>
      </c>
      <c r="I1764" t="s">
        <v>114</v>
      </c>
      <c r="J1764" t="s">
        <v>115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397"/>
        <v>06:17:14.164</v>
      </c>
      <c r="T1764" t="str">
        <f t="shared" si="398"/>
        <v>06:17:13.664</v>
      </c>
      <c r="U1764" t="str">
        <f t="shared" si="379"/>
        <v>A7E2E0</v>
      </c>
      <c r="V1764">
        <v>0</v>
      </c>
      <c r="W1764">
        <v>0</v>
      </c>
      <c r="X1764">
        <v>1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0</v>
      </c>
      <c r="AI1764" t="s">
        <v>1123</v>
      </c>
      <c r="AJ1764">
        <v>38.991250999999998</v>
      </c>
      <c r="AK1764" t="s">
        <v>1124</v>
      </c>
      <c r="AL1764">
        <v>-87.579424000000003</v>
      </c>
      <c r="AM1764">
        <v>100</v>
      </c>
      <c r="AN1764">
        <v>2800</v>
      </c>
      <c r="AO1764" t="s">
        <v>118</v>
      </c>
      <c r="AP1764">
        <v>-90</v>
      </c>
      <c r="AQ1764">
        <v>-120</v>
      </c>
      <c r="AR1764">
        <v>-64</v>
      </c>
      <c r="AZ1764">
        <v>4552</v>
      </c>
      <c r="BA1764">
        <v>1</v>
      </c>
      <c r="BB1764" t="str">
        <f t="shared" si="380"/>
        <v xml:space="preserve">N607SR  </v>
      </c>
      <c r="BC1764">
        <v>1</v>
      </c>
      <c r="BE1764">
        <v>0</v>
      </c>
      <c r="BF1764">
        <v>0</v>
      </c>
      <c r="BG1764">
        <v>0</v>
      </c>
      <c r="BH1764">
        <v>2575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 t="shared" si="399"/>
        <v>06:17:14.164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6</v>
      </c>
      <c r="CP1764" t="s">
        <v>119</v>
      </c>
      <c r="CQ1764">
        <v>465</v>
      </c>
      <c r="CR1764">
        <v>0</v>
      </c>
      <c r="CW1764">
        <v>4722509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ref="A1765:A1770" si="400">"08/29/2020 06:17:11.933"</f>
        <v>08/29/2020 06:17:11.933</v>
      </c>
      <c r="C1765" t="str">
        <f t="shared" si="378"/>
        <v>FFDFD3C0</v>
      </c>
      <c r="D1765" t="s">
        <v>939</v>
      </c>
      <c r="E1765">
        <v>10</v>
      </c>
      <c r="H1765">
        <v>79</v>
      </c>
      <c r="I1765" t="s">
        <v>940</v>
      </c>
      <c r="J1765" t="s">
        <v>130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ref="S1765:S1770" si="401">"06:17:15.188"</f>
        <v>06:17:15.188</v>
      </c>
      <c r="T1765" t="str">
        <f t="shared" ref="T1765:T1770" si="402">"06:17:14.688"</f>
        <v>06:17:14.688</v>
      </c>
      <c r="U1765" t="str">
        <f t="shared" si="379"/>
        <v>A7E2E0</v>
      </c>
      <c r="V1765">
        <v>0</v>
      </c>
      <c r="W1765">
        <v>0</v>
      </c>
      <c r="X1765">
        <v>1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0</v>
      </c>
      <c r="AI1765" t="s">
        <v>1125</v>
      </c>
      <c r="AJ1765">
        <v>38.990715000000002</v>
      </c>
      <c r="AK1765" t="s">
        <v>1126</v>
      </c>
      <c r="AL1765">
        <v>-87.579960999999997</v>
      </c>
      <c r="AM1765">
        <v>100</v>
      </c>
      <c r="AN1765">
        <v>2800</v>
      </c>
      <c r="AO1765" t="s">
        <v>118</v>
      </c>
      <c r="AP1765">
        <v>-90</v>
      </c>
      <c r="AQ1765">
        <v>-120</v>
      </c>
      <c r="AR1765">
        <v>-64</v>
      </c>
      <c r="AZ1765">
        <v>4552</v>
      </c>
      <c r="BA1765">
        <v>1</v>
      </c>
      <c r="BB1765" t="str">
        <f t="shared" si="380"/>
        <v xml:space="preserve">N607SR  </v>
      </c>
      <c r="BC1765">
        <v>1</v>
      </c>
      <c r="BE1765">
        <v>0</v>
      </c>
      <c r="BF1765">
        <v>0</v>
      </c>
      <c r="BG1765">
        <v>0</v>
      </c>
      <c r="BH1765">
        <v>2575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 t="shared" ref="BW1765:BW1770" si="403">"06:17:15.190"</f>
        <v>06:17:15.190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6</v>
      </c>
      <c r="CP1765" t="s">
        <v>119</v>
      </c>
      <c r="CQ1765">
        <v>465</v>
      </c>
      <c r="CR1765">
        <v>0</v>
      </c>
      <c r="CW1765">
        <v>4722542</v>
      </c>
      <c r="CY1765">
        <v>1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 t="shared" si="400"/>
        <v>08/29/2020 06:17:11.933</v>
      </c>
      <c r="C1766" t="str">
        <f t="shared" si="378"/>
        <v>FFDFD3C0</v>
      </c>
      <c r="D1766" t="s">
        <v>121</v>
      </c>
      <c r="E1766">
        <v>11</v>
      </c>
      <c r="F1766">
        <v>1011</v>
      </c>
      <c r="G1766" t="s">
        <v>125</v>
      </c>
      <c r="J1766" t="s">
        <v>123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401"/>
        <v>06:17:15.188</v>
      </c>
      <c r="T1766" t="str">
        <f t="shared" si="402"/>
        <v>06:17:14.688</v>
      </c>
      <c r="U1766" t="str">
        <f t="shared" si="379"/>
        <v>A7E2E0</v>
      </c>
      <c r="V1766">
        <v>0</v>
      </c>
      <c r="W1766">
        <v>0</v>
      </c>
      <c r="X1766">
        <v>1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0</v>
      </c>
      <c r="AI1766" t="s">
        <v>1125</v>
      </c>
      <c r="AJ1766">
        <v>38.990715000000002</v>
      </c>
      <c r="AK1766" t="s">
        <v>1126</v>
      </c>
      <c r="AL1766">
        <v>-87.579960999999997</v>
      </c>
      <c r="AM1766">
        <v>100</v>
      </c>
      <c r="AN1766">
        <v>2800</v>
      </c>
      <c r="AO1766" t="s">
        <v>118</v>
      </c>
      <c r="AP1766">
        <v>-90</v>
      </c>
      <c r="AQ1766">
        <v>-120</v>
      </c>
      <c r="AR1766">
        <v>-64</v>
      </c>
      <c r="AZ1766">
        <v>4552</v>
      </c>
      <c r="BA1766">
        <v>1</v>
      </c>
      <c r="BB1766" t="str">
        <f t="shared" si="380"/>
        <v xml:space="preserve">N607SR  </v>
      </c>
      <c r="BC1766">
        <v>1</v>
      </c>
      <c r="BE1766">
        <v>0</v>
      </c>
      <c r="BF1766">
        <v>0</v>
      </c>
      <c r="BG1766">
        <v>0</v>
      </c>
      <c r="BH1766">
        <v>2575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 t="shared" si="403"/>
        <v>06:17:15.190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5</v>
      </c>
      <c r="CP1766" t="s">
        <v>119</v>
      </c>
      <c r="CQ1766">
        <v>457</v>
      </c>
      <c r="CR1766">
        <v>0</v>
      </c>
      <c r="CW1766">
        <v>15518206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 t="shared" si="400"/>
        <v>08/29/2020 06:17:11.933</v>
      </c>
      <c r="C1767" t="str">
        <f t="shared" si="378"/>
        <v>FFDFD3C0</v>
      </c>
      <c r="D1767" t="s">
        <v>121</v>
      </c>
      <c r="E1767">
        <v>13</v>
      </c>
      <c r="F1767">
        <v>1013</v>
      </c>
      <c r="G1767" t="s">
        <v>122</v>
      </c>
      <c r="J1767" t="s">
        <v>123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401"/>
        <v>06:17:15.188</v>
      </c>
      <c r="T1767" t="str">
        <f t="shared" si="402"/>
        <v>06:17:14.688</v>
      </c>
      <c r="U1767" t="str">
        <f t="shared" si="379"/>
        <v>A7E2E0</v>
      </c>
      <c r="V1767">
        <v>0</v>
      </c>
      <c r="W1767">
        <v>0</v>
      </c>
      <c r="X1767">
        <v>1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0</v>
      </c>
      <c r="AI1767" t="s">
        <v>1125</v>
      </c>
      <c r="AJ1767">
        <v>38.990715000000002</v>
      </c>
      <c r="AK1767" t="s">
        <v>1126</v>
      </c>
      <c r="AL1767">
        <v>-87.579960999999997</v>
      </c>
      <c r="AM1767">
        <v>100</v>
      </c>
      <c r="AN1767">
        <v>2800</v>
      </c>
      <c r="AO1767" t="s">
        <v>118</v>
      </c>
      <c r="AP1767">
        <v>-90</v>
      </c>
      <c r="AQ1767">
        <v>-120</v>
      </c>
      <c r="AR1767">
        <v>-64</v>
      </c>
      <c r="AZ1767">
        <v>4552</v>
      </c>
      <c r="BA1767">
        <v>1</v>
      </c>
      <c r="BB1767" t="str">
        <f t="shared" si="380"/>
        <v xml:space="preserve">N607SR  </v>
      </c>
      <c r="BC1767">
        <v>1</v>
      </c>
      <c r="BE1767">
        <v>0</v>
      </c>
      <c r="BF1767">
        <v>0</v>
      </c>
      <c r="BG1767">
        <v>0</v>
      </c>
      <c r="BH1767">
        <v>2575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 t="shared" si="403"/>
        <v>06:17:15.190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6</v>
      </c>
      <c r="CP1767" t="s">
        <v>119</v>
      </c>
      <c r="CQ1767">
        <v>465</v>
      </c>
      <c r="CR1767">
        <v>0</v>
      </c>
      <c r="CW1767">
        <v>4722542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 t="shared" si="400"/>
        <v>08/29/2020 06:17:11.933</v>
      </c>
      <c r="C1768" t="str">
        <f t="shared" si="378"/>
        <v>FFDFD3C0</v>
      </c>
      <c r="D1768" t="s">
        <v>113</v>
      </c>
      <c r="E1768">
        <v>5</v>
      </c>
      <c r="H1768">
        <v>163</v>
      </c>
      <c r="I1768" t="s">
        <v>114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401"/>
        <v>06:17:15.188</v>
      </c>
      <c r="T1768" t="str">
        <f t="shared" si="402"/>
        <v>06:17:14.688</v>
      </c>
      <c r="U1768" t="str">
        <f t="shared" si="379"/>
        <v>A7E2E0</v>
      </c>
      <c r="V1768">
        <v>0</v>
      </c>
      <c r="W1768">
        <v>0</v>
      </c>
      <c r="X1768">
        <v>1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0</v>
      </c>
      <c r="AI1768" t="s">
        <v>1125</v>
      </c>
      <c r="AJ1768">
        <v>38.990715000000002</v>
      </c>
      <c r="AK1768" t="s">
        <v>1126</v>
      </c>
      <c r="AL1768">
        <v>-87.579960999999997</v>
      </c>
      <c r="AM1768">
        <v>100</v>
      </c>
      <c r="AN1768">
        <v>2800</v>
      </c>
      <c r="AO1768" t="s">
        <v>118</v>
      </c>
      <c r="AP1768">
        <v>-90</v>
      </c>
      <c r="AQ1768">
        <v>-120</v>
      </c>
      <c r="AR1768">
        <v>-64</v>
      </c>
      <c r="AZ1768">
        <v>4552</v>
      </c>
      <c r="BA1768">
        <v>1</v>
      </c>
      <c r="BB1768" t="str">
        <f t="shared" si="380"/>
        <v xml:space="preserve">N607SR  </v>
      </c>
      <c r="BC1768">
        <v>1</v>
      </c>
      <c r="BE1768">
        <v>0</v>
      </c>
      <c r="BF1768">
        <v>0</v>
      </c>
      <c r="BG1768">
        <v>0</v>
      </c>
      <c r="BH1768">
        <v>2575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 t="shared" si="403"/>
        <v>06:17:15.190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465</v>
      </c>
      <c r="CR1768">
        <v>0</v>
      </c>
      <c r="CW1768">
        <v>4722542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 t="shared" si="400"/>
        <v>08/29/2020 06:17:11.933</v>
      </c>
      <c r="C1769" t="str">
        <f t="shared" si="378"/>
        <v>FFDFD3C0</v>
      </c>
      <c r="D1769" t="s">
        <v>121</v>
      </c>
      <c r="E1769">
        <v>10</v>
      </c>
      <c r="F1769">
        <v>1010</v>
      </c>
      <c r="G1769" t="s">
        <v>114</v>
      </c>
      <c r="J1769" t="s">
        <v>123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401"/>
        <v>06:17:15.188</v>
      </c>
      <c r="T1769" t="str">
        <f t="shared" si="402"/>
        <v>06:17:14.688</v>
      </c>
      <c r="U1769" t="str">
        <f t="shared" si="379"/>
        <v>A7E2E0</v>
      </c>
      <c r="V1769">
        <v>0</v>
      </c>
      <c r="W1769">
        <v>0</v>
      </c>
      <c r="X1769">
        <v>1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0</v>
      </c>
      <c r="AI1769" t="s">
        <v>1125</v>
      </c>
      <c r="AJ1769">
        <v>38.990715000000002</v>
      </c>
      <c r="AK1769" t="s">
        <v>1126</v>
      </c>
      <c r="AL1769">
        <v>-87.579960999999997</v>
      </c>
      <c r="AM1769">
        <v>100</v>
      </c>
      <c r="AN1769">
        <v>2800</v>
      </c>
      <c r="AO1769" t="s">
        <v>118</v>
      </c>
      <c r="AP1769">
        <v>-90</v>
      </c>
      <c r="AQ1769">
        <v>-120</v>
      </c>
      <c r="AR1769">
        <v>-64</v>
      </c>
      <c r="AZ1769">
        <v>4552</v>
      </c>
      <c r="BA1769">
        <v>1</v>
      </c>
      <c r="BB1769" t="str">
        <f t="shared" si="380"/>
        <v xml:space="preserve">N607SR  </v>
      </c>
      <c r="BC1769">
        <v>1</v>
      </c>
      <c r="BE1769">
        <v>0</v>
      </c>
      <c r="BF1769">
        <v>0</v>
      </c>
      <c r="BG1769">
        <v>0</v>
      </c>
      <c r="BH1769">
        <v>2575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 t="shared" si="403"/>
        <v>06:17:15.190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6</v>
      </c>
      <c r="CP1769" t="s">
        <v>119</v>
      </c>
      <c r="CQ1769">
        <v>465</v>
      </c>
      <c r="CR1769">
        <v>0</v>
      </c>
      <c r="CW1769">
        <v>4722542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 t="shared" si="400"/>
        <v>08/29/2020 06:17:11.933</v>
      </c>
      <c r="C1770" t="str">
        <f t="shared" si="378"/>
        <v>FFDFD3C0</v>
      </c>
      <c r="D1770" t="s">
        <v>128</v>
      </c>
      <c r="E1770">
        <v>5</v>
      </c>
      <c r="H1770">
        <v>241</v>
      </c>
      <c r="I1770" t="s">
        <v>129</v>
      </c>
      <c r="J1770" t="s">
        <v>130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401"/>
        <v>06:17:15.188</v>
      </c>
      <c r="T1770" t="str">
        <f t="shared" si="402"/>
        <v>06:17:14.688</v>
      </c>
      <c r="U1770" t="str">
        <f t="shared" si="379"/>
        <v>A7E2E0</v>
      </c>
      <c r="V1770">
        <v>0</v>
      </c>
      <c r="W1770">
        <v>0</v>
      </c>
      <c r="X1770">
        <v>1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0</v>
      </c>
      <c r="AI1770" t="s">
        <v>1125</v>
      </c>
      <c r="AJ1770">
        <v>38.990715000000002</v>
      </c>
      <c r="AK1770" t="s">
        <v>1126</v>
      </c>
      <c r="AL1770">
        <v>-87.579960999999997</v>
      </c>
      <c r="AM1770">
        <v>100</v>
      </c>
      <c r="AN1770">
        <v>2800</v>
      </c>
      <c r="AO1770" t="s">
        <v>118</v>
      </c>
      <c r="AP1770">
        <v>-90</v>
      </c>
      <c r="AQ1770">
        <v>-120</v>
      </c>
      <c r="AR1770">
        <v>-64</v>
      </c>
      <c r="AZ1770">
        <v>4552</v>
      </c>
      <c r="BA1770">
        <v>1</v>
      </c>
      <c r="BB1770" t="str">
        <f t="shared" si="380"/>
        <v xml:space="preserve">N607SR  </v>
      </c>
      <c r="BC1770">
        <v>1</v>
      </c>
      <c r="BE1770">
        <v>0</v>
      </c>
      <c r="BF1770">
        <v>0</v>
      </c>
      <c r="BG1770">
        <v>0</v>
      </c>
      <c r="BH1770">
        <v>2575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 t="shared" si="403"/>
        <v>06:17:15.190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465</v>
      </c>
      <c r="CR1770">
        <v>0</v>
      </c>
      <c r="CW1770">
        <v>4722542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 t="shared" ref="A1771:A1776" si="404">"08/29/2020 06:17:12.771"</f>
        <v>08/29/2020 06:17:12.771</v>
      </c>
      <c r="C1771" t="str">
        <f t="shared" si="378"/>
        <v>FFDFD3C0</v>
      </c>
      <c r="D1771" t="s">
        <v>121</v>
      </c>
      <c r="E1771">
        <v>13</v>
      </c>
      <c r="F1771">
        <v>1013</v>
      </c>
      <c r="G1771" t="s">
        <v>122</v>
      </c>
      <c r="J1771" t="s">
        <v>123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ref="S1771:S1776" si="405">"06:17:16.000"</f>
        <v>06:17:16.000</v>
      </c>
      <c r="T1771" t="str">
        <f t="shared" ref="T1771:T1776" si="406">"06:17:15.600"</f>
        <v>06:17:15.600</v>
      </c>
      <c r="U1771" t="str">
        <f t="shared" si="379"/>
        <v>A7E2E0</v>
      </c>
      <c r="V1771">
        <v>0</v>
      </c>
      <c r="W1771">
        <v>0</v>
      </c>
      <c r="X1771">
        <v>1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0</v>
      </c>
      <c r="AI1771" t="s">
        <v>1127</v>
      </c>
      <c r="AJ1771">
        <v>38.990242000000002</v>
      </c>
      <c r="AK1771" t="s">
        <v>1128</v>
      </c>
      <c r="AL1771">
        <v>-87.580389999999994</v>
      </c>
      <c r="AM1771">
        <v>100</v>
      </c>
      <c r="AN1771">
        <v>2800</v>
      </c>
      <c r="AO1771" t="s">
        <v>118</v>
      </c>
      <c r="AP1771">
        <v>-90</v>
      </c>
      <c r="AQ1771">
        <v>-120</v>
      </c>
      <c r="AR1771">
        <v>-64</v>
      </c>
      <c r="AZ1771">
        <v>4552</v>
      </c>
      <c r="BA1771">
        <v>1</v>
      </c>
      <c r="BB1771" t="str">
        <f t="shared" si="380"/>
        <v xml:space="preserve">N607SR  </v>
      </c>
      <c r="BC1771">
        <v>1</v>
      </c>
      <c r="BE1771">
        <v>0</v>
      </c>
      <c r="BF1771">
        <v>0</v>
      </c>
      <c r="BG1771">
        <v>0</v>
      </c>
      <c r="BH1771">
        <v>2575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 t="shared" ref="BW1771:BW1776" si="407">"06:17:16.001"</f>
        <v>06:17:16.001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6</v>
      </c>
      <c r="CP1771" t="s">
        <v>119</v>
      </c>
      <c r="CQ1771">
        <v>465</v>
      </c>
      <c r="CR1771">
        <v>0</v>
      </c>
      <c r="CW1771">
        <v>4722570</v>
      </c>
      <c r="CY1771">
        <v>1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 t="shared" si="404"/>
        <v>08/29/2020 06:17:12.771</v>
      </c>
      <c r="C1772" t="str">
        <f t="shared" si="378"/>
        <v>FFDFD3C0</v>
      </c>
      <c r="D1772" t="s">
        <v>113</v>
      </c>
      <c r="E1772">
        <v>5</v>
      </c>
      <c r="H1772">
        <v>163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405"/>
        <v>06:17:16.000</v>
      </c>
      <c r="T1772" t="str">
        <f t="shared" si="406"/>
        <v>06:17:15.600</v>
      </c>
      <c r="U1772" t="str">
        <f t="shared" si="379"/>
        <v>A7E2E0</v>
      </c>
      <c r="V1772">
        <v>0</v>
      </c>
      <c r="W1772">
        <v>0</v>
      </c>
      <c r="X1772">
        <v>1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0</v>
      </c>
      <c r="AI1772" t="s">
        <v>1127</v>
      </c>
      <c r="AJ1772">
        <v>38.990242000000002</v>
      </c>
      <c r="AK1772" t="s">
        <v>1128</v>
      </c>
      <c r="AL1772">
        <v>-87.580389999999994</v>
      </c>
      <c r="AM1772">
        <v>100</v>
      </c>
      <c r="AN1772">
        <v>2800</v>
      </c>
      <c r="AO1772" t="s">
        <v>118</v>
      </c>
      <c r="AP1772">
        <v>-90</v>
      </c>
      <c r="AQ1772">
        <v>-120</v>
      </c>
      <c r="AR1772">
        <v>-64</v>
      </c>
      <c r="AZ1772">
        <v>4552</v>
      </c>
      <c r="BA1772">
        <v>1</v>
      </c>
      <c r="BB1772" t="str">
        <f t="shared" si="380"/>
        <v xml:space="preserve">N607SR  </v>
      </c>
      <c r="BC1772">
        <v>1</v>
      </c>
      <c r="BE1772">
        <v>0</v>
      </c>
      <c r="BF1772">
        <v>0</v>
      </c>
      <c r="BG1772">
        <v>0</v>
      </c>
      <c r="BH1772">
        <v>2575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 t="shared" si="407"/>
        <v>06:17:16.001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6</v>
      </c>
      <c r="CP1772" t="s">
        <v>119</v>
      </c>
      <c r="CQ1772">
        <v>465</v>
      </c>
      <c r="CR1772">
        <v>0</v>
      </c>
      <c r="CW1772">
        <v>4722570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 t="shared" si="404"/>
        <v>08/29/2020 06:17:12.771</v>
      </c>
      <c r="C1773" t="str">
        <f t="shared" si="378"/>
        <v>FFDFD3C0</v>
      </c>
      <c r="D1773" t="s">
        <v>121</v>
      </c>
      <c r="E1773">
        <v>10</v>
      </c>
      <c r="F1773">
        <v>1010</v>
      </c>
      <c r="G1773" t="s">
        <v>114</v>
      </c>
      <c r="J1773" t="s">
        <v>123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405"/>
        <v>06:17:16.000</v>
      </c>
      <c r="T1773" t="str">
        <f t="shared" si="406"/>
        <v>06:17:15.600</v>
      </c>
      <c r="U1773" t="str">
        <f t="shared" si="379"/>
        <v>A7E2E0</v>
      </c>
      <c r="V1773">
        <v>0</v>
      </c>
      <c r="W1773">
        <v>0</v>
      </c>
      <c r="X1773">
        <v>1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0</v>
      </c>
      <c r="AI1773" t="s">
        <v>1127</v>
      </c>
      <c r="AJ1773">
        <v>38.990242000000002</v>
      </c>
      <c r="AK1773" t="s">
        <v>1128</v>
      </c>
      <c r="AL1773">
        <v>-87.580389999999994</v>
      </c>
      <c r="AM1773">
        <v>100</v>
      </c>
      <c r="AN1773">
        <v>2800</v>
      </c>
      <c r="AO1773" t="s">
        <v>118</v>
      </c>
      <c r="AP1773">
        <v>-90</v>
      </c>
      <c r="AQ1773">
        <v>-120</v>
      </c>
      <c r="AR1773">
        <v>-64</v>
      </c>
      <c r="AZ1773">
        <v>4552</v>
      </c>
      <c r="BA1773">
        <v>1</v>
      </c>
      <c r="BB1773" t="str">
        <f t="shared" si="380"/>
        <v xml:space="preserve">N607SR  </v>
      </c>
      <c r="BC1773">
        <v>1</v>
      </c>
      <c r="BE1773">
        <v>0</v>
      </c>
      <c r="BF1773">
        <v>0</v>
      </c>
      <c r="BG1773">
        <v>0</v>
      </c>
      <c r="BH1773">
        <v>2575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 t="shared" si="407"/>
        <v>06:17:16.001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465</v>
      </c>
      <c r="CR1773">
        <v>0</v>
      </c>
      <c r="CW1773">
        <v>4722570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 t="shared" si="404"/>
        <v>08/29/2020 06:17:12.771</v>
      </c>
      <c r="C1774" t="str">
        <f t="shared" si="378"/>
        <v>FFDFD3C0</v>
      </c>
      <c r="D1774" t="s">
        <v>939</v>
      </c>
      <c r="E1774">
        <v>10</v>
      </c>
      <c r="H1774">
        <v>79</v>
      </c>
      <c r="I1774" t="s">
        <v>940</v>
      </c>
      <c r="J1774" t="s">
        <v>130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405"/>
        <v>06:17:16.000</v>
      </c>
      <c r="T1774" t="str">
        <f t="shared" si="406"/>
        <v>06:17:15.600</v>
      </c>
      <c r="U1774" t="str">
        <f t="shared" si="379"/>
        <v>A7E2E0</v>
      </c>
      <c r="V1774">
        <v>0</v>
      </c>
      <c r="W1774">
        <v>0</v>
      </c>
      <c r="X1774">
        <v>1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0</v>
      </c>
      <c r="AI1774" t="s">
        <v>1127</v>
      </c>
      <c r="AJ1774">
        <v>38.990242000000002</v>
      </c>
      <c r="AK1774" t="s">
        <v>1128</v>
      </c>
      <c r="AL1774">
        <v>-87.580389999999994</v>
      </c>
      <c r="AM1774">
        <v>100</v>
      </c>
      <c r="AN1774">
        <v>2800</v>
      </c>
      <c r="AO1774" t="s">
        <v>118</v>
      </c>
      <c r="AP1774">
        <v>-90</v>
      </c>
      <c r="AQ1774">
        <v>-120</v>
      </c>
      <c r="AR1774">
        <v>-64</v>
      </c>
      <c r="AZ1774">
        <v>4552</v>
      </c>
      <c r="BA1774">
        <v>1</v>
      </c>
      <c r="BB1774" t="str">
        <f t="shared" si="380"/>
        <v xml:space="preserve">N607SR  </v>
      </c>
      <c r="BC1774">
        <v>1</v>
      </c>
      <c r="BE1774">
        <v>0</v>
      </c>
      <c r="BF1774">
        <v>0</v>
      </c>
      <c r="BG1774">
        <v>0</v>
      </c>
      <c r="BH1774">
        <v>2575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 t="shared" si="407"/>
        <v>06:17:16.001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6</v>
      </c>
      <c r="CP1774" t="s">
        <v>119</v>
      </c>
      <c r="CQ1774">
        <v>465</v>
      </c>
      <c r="CR1774">
        <v>0</v>
      </c>
      <c r="CW1774">
        <v>4722570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 t="shared" si="404"/>
        <v>08/29/2020 06:17:12.771</v>
      </c>
      <c r="C1775" t="str">
        <f t="shared" si="378"/>
        <v>FFDFD3C0</v>
      </c>
      <c r="D1775" t="s">
        <v>128</v>
      </c>
      <c r="E1775">
        <v>5</v>
      </c>
      <c r="H1775">
        <v>241</v>
      </c>
      <c r="I1775" t="s">
        <v>129</v>
      </c>
      <c r="J1775" t="s">
        <v>130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405"/>
        <v>06:17:16.000</v>
      </c>
      <c r="T1775" t="str">
        <f t="shared" si="406"/>
        <v>06:17:15.600</v>
      </c>
      <c r="U1775" t="str">
        <f t="shared" si="379"/>
        <v>A7E2E0</v>
      </c>
      <c r="V1775">
        <v>0</v>
      </c>
      <c r="W1775">
        <v>0</v>
      </c>
      <c r="X1775">
        <v>1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0</v>
      </c>
      <c r="AI1775" t="s">
        <v>1127</v>
      </c>
      <c r="AJ1775">
        <v>38.990242000000002</v>
      </c>
      <c r="AK1775" t="s">
        <v>1128</v>
      </c>
      <c r="AL1775">
        <v>-87.580389999999994</v>
      </c>
      <c r="AM1775">
        <v>100</v>
      </c>
      <c r="AN1775">
        <v>2800</v>
      </c>
      <c r="AO1775" t="s">
        <v>118</v>
      </c>
      <c r="AP1775">
        <v>-90</v>
      </c>
      <c r="AQ1775">
        <v>-120</v>
      </c>
      <c r="AR1775">
        <v>-64</v>
      </c>
      <c r="AZ1775">
        <v>4552</v>
      </c>
      <c r="BA1775">
        <v>1</v>
      </c>
      <c r="BB1775" t="str">
        <f t="shared" si="380"/>
        <v xml:space="preserve">N607SR  </v>
      </c>
      <c r="BC1775">
        <v>1</v>
      </c>
      <c r="BE1775">
        <v>0</v>
      </c>
      <c r="BF1775">
        <v>0</v>
      </c>
      <c r="BG1775">
        <v>0</v>
      </c>
      <c r="BH1775">
        <v>2575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 t="shared" si="407"/>
        <v>06:17:16.001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6</v>
      </c>
      <c r="CP1775" t="s">
        <v>119</v>
      </c>
      <c r="CQ1775">
        <v>465</v>
      </c>
      <c r="CR1775">
        <v>0</v>
      </c>
      <c r="CW1775">
        <v>4722570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 t="shared" si="404"/>
        <v>08/29/2020 06:17:12.771</v>
      </c>
      <c r="C1776" t="str">
        <f t="shared" si="378"/>
        <v>FFDFD3C0</v>
      </c>
      <c r="D1776" t="s">
        <v>121</v>
      </c>
      <c r="E1776">
        <v>11</v>
      </c>
      <c r="F1776">
        <v>1011</v>
      </c>
      <c r="G1776" t="s">
        <v>125</v>
      </c>
      <c r="J1776" t="s">
        <v>123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405"/>
        <v>06:17:16.000</v>
      </c>
      <c r="T1776" t="str">
        <f t="shared" si="406"/>
        <v>06:17:15.600</v>
      </c>
      <c r="U1776" t="str">
        <f t="shared" si="379"/>
        <v>A7E2E0</v>
      </c>
      <c r="V1776">
        <v>0</v>
      </c>
      <c r="W1776">
        <v>0</v>
      </c>
      <c r="X1776">
        <v>1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0</v>
      </c>
      <c r="AI1776" t="s">
        <v>1127</v>
      </c>
      <c r="AJ1776">
        <v>38.990242000000002</v>
      </c>
      <c r="AK1776" t="s">
        <v>1128</v>
      </c>
      <c r="AL1776">
        <v>-87.580389999999994</v>
      </c>
      <c r="AM1776">
        <v>100</v>
      </c>
      <c r="AN1776">
        <v>2800</v>
      </c>
      <c r="AO1776" t="s">
        <v>118</v>
      </c>
      <c r="AP1776">
        <v>-90</v>
      </c>
      <c r="AQ1776">
        <v>-120</v>
      </c>
      <c r="AR1776">
        <v>-64</v>
      </c>
      <c r="AZ1776">
        <v>4552</v>
      </c>
      <c r="BA1776">
        <v>1</v>
      </c>
      <c r="BB1776" t="str">
        <f t="shared" si="380"/>
        <v xml:space="preserve">N607SR  </v>
      </c>
      <c r="BC1776">
        <v>1</v>
      </c>
      <c r="BE1776">
        <v>0</v>
      </c>
      <c r="BF1776">
        <v>0</v>
      </c>
      <c r="BG1776">
        <v>0</v>
      </c>
      <c r="BH1776">
        <v>2575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 t="shared" si="407"/>
        <v>06:17:16.001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5</v>
      </c>
      <c r="CP1776" t="s">
        <v>119</v>
      </c>
      <c r="CQ1776">
        <v>177</v>
      </c>
      <c r="CR1776">
        <v>2</v>
      </c>
      <c r="CW1776">
        <v>1652997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 t="shared" ref="A1777:A1782" si="408">"08/29/2020 06:17:13.733"</f>
        <v>08/29/2020 06:17:13.733</v>
      </c>
      <c r="C1777" t="str">
        <f t="shared" si="378"/>
        <v>FFDFD3C0</v>
      </c>
      <c r="D1777" t="s">
        <v>121</v>
      </c>
      <c r="E1777">
        <v>13</v>
      </c>
      <c r="F1777">
        <v>1013</v>
      </c>
      <c r="G1777" t="s">
        <v>122</v>
      </c>
      <c r="J1777" t="s">
        <v>123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ref="S1777:S1782" si="409">"06:17:16.961"</f>
        <v>06:17:16.961</v>
      </c>
      <c r="T1777" t="str">
        <f t="shared" ref="T1777:T1782" si="410">"06:17:16.561"</f>
        <v>06:17:16.561</v>
      </c>
      <c r="U1777" t="str">
        <f t="shared" si="379"/>
        <v>A7E2E0</v>
      </c>
      <c r="V1777">
        <v>0</v>
      </c>
      <c r="W1777">
        <v>0</v>
      </c>
      <c r="X1777">
        <v>1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0</v>
      </c>
      <c r="AI1777" t="s">
        <v>1129</v>
      </c>
      <c r="AJ1777">
        <v>38.989705999999998</v>
      </c>
      <c r="AK1777" t="s">
        <v>1130</v>
      </c>
      <c r="AL1777">
        <v>-87.580926000000005</v>
      </c>
      <c r="AM1777">
        <v>100</v>
      </c>
      <c r="AN1777">
        <v>2800</v>
      </c>
      <c r="AO1777" t="s">
        <v>118</v>
      </c>
      <c r="AP1777">
        <v>-90</v>
      </c>
      <c r="AQ1777">
        <v>-120</v>
      </c>
      <c r="AR1777">
        <v>-64</v>
      </c>
      <c r="AZ1777">
        <v>4552</v>
      </c>
      <c r="BA1777">
        <v>1</v>
      </c>
      <c r="BB1777" t="str">
        <f t="shared" si="380"/>
        <v xml:space="preserve">N607SR  </v>
      </c>
      <c r="BC1777">
        <v>1</v>
      </c>
      <c r="BE1777">
        <v>0</v>
      </c>
      <c r="BF1777">
        <v>0</v>
      </c>
      <c r="BG1777">
        <v>0</v>
      </c>
      <c r="BH1777">
        <v>2575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 t="shared" ref="BW1777:BW1782" si="411">"06:17:16.965"</f>
        <v>06:17:16.965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6</v>
      </c>
      <c r="CP1777" t="s">
        <v>119</v>
      </c>
      <c r="CQ1777">
        <v>465</v>
      </c>
      <c r="CR1777">
        <v>0</v>
      </c>
      <c r="CW1777">
        <v>4722602</v>
      </c>
      <c r="CY1777">
        <v>1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 t="shared" si="408"/>
        <v>08/29/2020 06:17:13.733</v>
      </c>
      <c r="C1778" t="str">
        <f t="shared" si="378"/>
        <v>FFDFD3C0</v>
      </c>
      <c r="D1778" t="s">
        <v>121</v>
      </c>
      <c r="E1778">
        <v>11</v>
      </c>
      <c r="F1778">
        <v>1011</v>
      </c>
      <c r="G1778" t="s">
        <v>125</v>
      </c>
      <c r="J1778" t="s">
        <v>123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409"/>
        <v>06:17:16.961</v>
      </c>
      <c r="T1778" t="str">
        <f t="shared" si="410"/>
        <v>06:17:16.561</v>
      </c>
      <c r="U1778" t="str">
        <f t="shared" si="379"/>
        <v>A7E2E0</v>
      </c>
      <c r="V1778">
        <v>0</v>
      </c>
      <c r="W1778">
        <v>0</v>
      </c>
      <c r="X1778">
        <v>1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0</v>
      </c>
      <c r="AI1778" t="s">
        <v>1129</v>
      </c>
      <c r="AJ1778">
        <v>38.989705999999998</v>
      </c>
      <c r="AK1778" t="s">
        <v>1130</v>
      </c>
      <c r="AL1778">
        <v>-87.580926000000005</v>
      </c>
      <c r="AM1778">
        <v>100</v>
      </c>
      <c r="AN1778">
        <v>2800</v>
      </c>
      <c r="AO1778" t="s">
        <v>118</v>
      </c>
      <c r="AP1778">
        <v>-90</v>
      </c>
      <c r="AQ1778">
        <v>-120</v>
      </c>
      <c r="AR1778">
        <v>-64</v>
      </c>
      <c r="AZ1778">
        <v>4552</v>
      </c>
      <c r="BA1778">
        <v>1</v>
      </c>
      <c r="BB1778" t="str">
        <f t="shared" si="380"/>
        <v xml:space="preserve">N607SR  </v>
      </c>
      <c r="BC1778">
        <v>1</v>
      </c>
      <c r="BE1778">
        <v>0</v>
      </c>
      <c r="BF1778">
        <v>0</v>
      </c>
      <c r="BG1778">
        <v>0</v>
      </c>
      <c r="BH1778">
        <v>2575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 t="shared" si="411"/>
        <v>06:17:16.965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5</v>
      </c>
      <c r="CP1778" t="s">
        <v>119</v>
      </c>
      <c r="CQ1778">
        <v>177</v>
      </c>
      <c r="CR1778">
        <v>2</v>
      </c>
      <c r="CW1778">
        <v>1653141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 t="shared" si="408"/>
        <v>08/29/2020 06:17:13.733</v>
      </c>
      <c r="C1779" t="str">
        <f t="shared" si="378"/>
        <v>FFDFD3C0</v>
      </c>
      <c r="D1779" t="s">
        <v>121</v>
      </c>
      <c r="E1779">
        <v>10</v>
      </c>
      <c r="F1779">
        <v>1010</v>
      </c>
      <c r="G1779" t="s">
        <v>114</v>
      </c>
      <c r="J1779" t="s">
        <v>123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409"/>
        <v>06:17:16.961</v>
      </c>
      <c r="T1779" t="str">
        <f t="shared" si="410"/>
        <v>06:17:16.561</v>
      </c>
      <c r="U1779" t="str">
        <f t="shared" si="379"/>
        <v>A7E2E0</v>
      </c>
      <c r="V1779">
        <v>0</v>
      </c>
      <c r="W1779">
        <v>0</v>
      </c>
      <c r="X1779">
        <v>1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0</v>
      </c>
      <c r="AI1779" t="s">
        <v>1129</v>
      </c>
      <c r="AJ1779">
        <v>38.989705999999998</v>
      </c>
      <c r="AK1779" t="s">
        <v>1130</v>
      </c>
      <c r="AL1779">
        <v>-87.580926000000005</v>
      </c>
      <c r="AM1779">
        <v>100</v>
      </c>
      <c r="AN1779">
        <v>2800</v>
      </c>
      <c r="AO1779" t="s">
        <v>118</v>
      </c>
      <c r="AP1779">
        <v>-90</v>
      </c>
      <c r="AQ1779">
        <v>-120</v>
      </c>
      <c r="AR1779">
        <v>-64</v>
      </c>
      <c r="AZ1779">
        <v>4552</v>
      </c>
      <c r="BA1779">
        <v>1</v>
      </c>
      <c r="BB1779" t="str">
        <f t="shared" si="380"/>
        <v xml:space="preserve">N607SR  </v>
      </c>
      <c r="BC1779">
        <v>1</v>
      </c>
      <c r="BE1779">
        <v>0</v>
      </c>
      <c r="BF1779">
        <v>0</v>
      </c>
      <c r="BG1779">
        <v>0</v>
      </c>
      <c r="BH1779">
        <v>2575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 t="shared" si="411"/>
        <v>06:17:16.965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6</v>
      </c>
      <c r="CP1779" t="s">
        <v>119</v>
      </c>
      <c r="CQ1779">
        <v>465</v>
      </c>
      <c r="CR1779">
        <v>0</v>
      </c>
      <c r="CW1779">
        <v>4722602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 t="shared" si="408"/>
        <v>08/29/2020 06:17:13.733</v>
      </c>
      <c r="C1780" t="str">
        <f t="shared" si="378"/>
        <v>FFDFD3C0</v>
      </c>
      <c r="D1780" t="s">
        <v>113</v>
      </c>
      <c r="E1780">
        <v>5</v>
      </c>
      <c r="H1780">
        <v>163</v>
      </c>
      <c r="I1780" t="s">
        <v>114</v>
      </c>
      <c r="J1780" t="s">
        <v>115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409"/>
        <v>06:17:16.961</v>
      </c>
      <c r="T1780" t="str">
        <f t="shared" si="410"/>
        <v>06:17:16.561</v>
      </c>
      <c r="U1780" t="str">
        <f t="shared" si="379"/>
        <v>A7E2E0</v>
      </c>
      <c r="V1780">
        <v>0</v>
      </c>
      <c r="W1780">
        <v>0</v>
      </c>
      <c r="X1780">
        <v>1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0</v>
      </c>
      <c r="AI1780" t="s">
        <v>1129</v>
      </c>
      <c r="AJ1780">
        <v>38.989705999999998</v>
      </c>
      <c r="AK1780" t="s">
        <v>1130</v>
      </c>
      <c r="AL1780">
        <v>-87.580926000000005</v>
      </c>
      <c r="AM1780">
        <v>100</v>
      </c>
      <c r="AN1780">
        <v>2800</v>
      </c>
      <c r="AO1780" t="s">
        <v>118</v>
      </c>
      <c r="AP1780">
        <v>-90</v>
      </c>
      <c r="AQ1780">
        <v>-120</v>
      </c>
      <c r="AR1780">
        <v>-64</v>
      </c>
      <c r="AZ1780">
        <v>4552</v>
      </c>
      <c r="BA1780">
        <v>1</v>
      </c>
      <c r="BB1780" t="str">
        <f t="shared" si="380"/>
        <v xml:space="preserve">N607SR  </v>
      </c>
      <c r="BC1780">
        <v>1</v>
      </c>
      <c r="BE1780">
        <v>0</v>
      </c>
      <c r="BF1780">
        <v>0</v>
      </c>
      <c r="BG1780">
        <v>0</v>
      </c>
      <c r="BH1780">
        <v>2575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 t="shared" si="411"/>
        <v>06:17:16.965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6</v>
      </c>
      <c r="CP1780" t="s">
        <v>119</v>
      </c>
      <c r="CQ1780">
        <v>465</v>
      </c>
      <c r="CR1780">
        <v>0</v>
      </c>
      <c r="CW1780">
        <v>4722602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 t="shared" si="408"/>
        <v>08/29/2020 06:17:13.733</v>
      </c>
      <c r="C1781" t="str">
        <f t="shared" si="378"/>
        <v>FFDFD3C0</v>
      </c>
      <c r="D1781" t="s">
        <v>939</v>
      </c>
      <c r="E1781">
        <v>10</v>
      </c>
      <c r="H1781">
        <v>79</v>
      </c>
      <c r="I1781" t="s">
        <v>940</v>
      </c>
      <c r="J1781" t="s">
        <v>130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409"/>
        <v>06:17:16.961</v>
      </c>
      <c r="T1781" t="str">
        <f t="shared" si="410"/>
        <v>06:17:16.561</v>
      </c>
      <c r="U1781" t="str">
        <f t="shared" si="379"/>
        <v>A7E2E0</v>
      </c>
      <c r="V1781">
        <v>0</v>
      </c>
      <c r="W1781">
        <v>0</v>
      </c>
      <c r="X1781">
        <v>1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0</v>
      </c>
      <c r="AI1781" t="s">
        <v>1129</v>
      </c>
      <c r="AJ1781">
        <v>38.989705999999998</v>
      </c>
      <c r="AK1781" t="s">
        <v>1130</v>
      </c>
      <c r="AL1781">
        <v>-87.580926000000005</v>
      </c>
      <c r="AM1781">
        <v>100</v>
      </c>
      <c r="AN1781">
        <v>2800</v>
      </c>
      <c r="AO1781" t="s">
        <v>118</v>
      </c>
      <c r="AP1781">
        <v>-90</v>
      </c>
      <c r="AQ1781">
        <v>-120</v>
      </c>
      <c r="AR1781">
        <v>-64</v>
      </c>
      <c r="AZ1781">
        <v>4552</v>
      </c>
      <c r="BA1781">
        <v>1</v>
      </c>
      <c r="BB1781" t="str">
        <f t="shared" si="380"/>
        <v xml:space="preserve">N607SR  </v>
      </c>
      <c r="BC1781">
        <v>1</v>
      </c>
      <c r="BE1781">
        <v>0</v>
      </c>
      <c r="BF1781">
        <v>0</v>
      </c>
      <c r="BG1781">
        <v>0</v>
      </c>
      <c r="BH1781">
        <v>2575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 t="shared" si="411"/>
        <v>06:17:16.965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465</v>
      </c>
      <c r="CR1781">
        <v>0</v>
      </c>
      <c r="CW1781">
        <v>4722602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 t="shared" si="408"/>
        <v>08/29/2020 06:17:13.733</v>
      </c>
      <c r="C1782" t="str">
        <f t="shared" si="378"/>
        <v>FFDFD3C0</v>
      </c>
      <c r="D1782" t="s">
        <v>128</v>
      </c>
      <c r="E1782">
        <v>5</v>
      </c>
      <c r="H1782">
        <v>241</v>
      </c>
      <c r="I1782" t="s">
        <v>129</v>
      </c>
      <c r="J1782" t="s">
        <v>130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409"/>
        <v>06:17:16.961</v>
      </c>
      <c r="T1782" t="str">
        <f t="shared" si="410"/>
        <v>06:17:16.561</v>
      </c>
      <c r="U1782" t="str">
        <f t="shared" si="379"/>
        <v>A7E2E0</v>
      </c>
      <c r="V1782">
        <v>0</v>
      </c>
      <c r="W1782">
        <v>0</v>
      </c>
      <c r="X1782">
        <v>1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0</v>
      </c>
      <c r="AI1782" t="s">
        <v>1129</v>
      </c>
      <c r="AJ1782">
        <v>38.989705999999998</v>
      </c>
      <c r="AK1782" t="s">
        <v>1130</v>
      </c>
      <c r="AL1782">
        <v>-87.580926000000005</v>
      </c>
      <c r="AM1782">
        <v>100</v>
      </c>
      <c r="AN1782">
        <v>2800</v>
      </c>
      <c r="AO1782" t="s">
        <v>118</v>
      </c>
      <c r="AP1782">
        <v>-90</v>
      </c>
      <c r="AQ1782">
        <v>-120</v>
      </c>
      <c r="AR1782">
        <v>-64</v>
      </c>
      <c r="AZ1782">
        <v>4552</v>
      </c>
      <c r="BA1782">
        <v>1</v>
      </c>
      <c r="BB1782" t="str">
        <f t="shared" si="380"/>
        <v xml:space="preserve">N607SR  </v>
      </c>
      <c r="BC1782">
        <v>1</v>
      </c>
      <c r="BE1782">
        <v>0</v>
      </c>
      <c r="BF1782">
        <v>0</v>
      </c>
      <c r="BG1782">
        <v>0</v>
      </c>
      <c r="BH1782">
        <v>2575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 t="shared" si="411"/>
        <v>06:17:16.965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465</v>
      </c>
      <c r="CR1782">
        <v>0</v>
      </c>
      <c r="CW1782">
        <v>4722602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 t="shared" ref="A1783:A1788" si="412">"08/29/2020 06:17:14.804"</f>
        <v>08/29/2020 06:17:14.804</v>
      </c>
      <c r="C1783" t="str">
        <f t="shared" si="378"/>
        <v>FFDFD3C0</v>
      </c>
      <c r="D1783" t="s">
        <v>113</v>
      </c>
      <c r="E1783">
        <v>5</v>
      </c>
      <c r="H1783">
        <v>163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ref="S1783:S1788" si="413">"06:17:18.063"</f>
        <v>06:17:18.063</v>
      </c>
      <c r="T1783" t="str">
        <f t="shared" ref="T1783:T1788" si="414">"06:17:17.563"</f>
        <v>06:17:17.563</v>
      </c>
      <c r="U1783" t="str">
        <f t="shared" si="379"/>
        <v>A7E2E0</v>
      </c>
      <c r="V1783">
        <v>0</v>
      </c>
      <c r="W1783">
        <v>0</v>
      </c>
      <c r="X1783">
        <v>1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0</v>
      </c>
      <c r="AI1783" t="s">
        <v>1131</v>
      </c>
      <c r="AJ1783">
        <v>38.989083999999998</v>
      </c>
      <c r="AK1783" t="s">
        <v>1132</v>
      </c>
      <c r="AL1783">
        <v>-87.581548999999995</v>
      </c>
      <c r="AM1783">
        <v>100</v>
      </c>
      <c r="AN1783">
        <v>2800</v>
      </c>
      <c r="AO1783" t="s">
        <v>118</v>
      </c>
      <c r="AP1783">
        <v>-90</v>
      </c>
      <c r="AQ1783">
        <v>-120</v>
      </c>
      <c r="AR1783">
        <v>-128</v>
      </c>
      <c r="AZ1783">
        <v>4552</v>
      </c>
      <c r="BA1783">
        <v>1</v>
      </c>
      <c r="BB1783" t="str">
        <f t="shared" si="380"/>
        <v xml:space="preserve">N607SR  </v>
      </c>
      <c r="BC1783">
        <v>1</v>
      </c>
      <c r="BE1783">
        <v>0</v>
      </c>
      <c r="BF1783">
        <v>0</v>
      </c>
      <c r="BG1783">
        <v>0</v>
      </c>
      <c r="BH1783">
        <v>2575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 t="shared" ref="BW1783:BW1788" si="415">"06:17:18.067"</f>
        <v>06:17:18.067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6</v>
      </c>
      <c r="CP1783" t="s">
        <v>119</v>
      </c>
      <c r="CQ1783">
        <v>465</v>
      </c>
      <c r="CR1783">
        <v>0</v>
      </c>
      <c r="CW1783">
        <v>4722640</v>
      </c>
      <c r="CY1783">
        <v>1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 t="shared" si="412"/>
        <v>08/29/2020 06:17:14.804</v>
      </c>
      <c r="C1784" t="str">
        <f t="shared" si="378"/>
        <v>FFDFD3C0</v>
      </c>
      <c r="D1784" t="s">
        <v>128</v>
      </c>
      <c r="E1784">
        <v>5</v>
      </c>
      <c r="H1784">
        <v>241</v>
      </c>
      <c r="I1784" t="s">
        <v>129</v>
      </c>
      <c r="J1784" t="s">
        <v>130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413"/>
        <v>06:17:18.063</v>
      </c>
      <c r="T1784" t="str">
        <f t="shared" si="414"/>
        <v>06:17:17.563</v>
      </c>
      <c r="U1784" t="str">
        <f t="shared" si="379"/>
        <v>A7E2E0</v>
      </c>
      <c r="V1784">
        <v>0</v>
      </c>
      <c r="W1784">
        <v>0</v>
      </c>
      <c r="X1784">
        <v>1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0</v>
      </c>
      <c r="AI1784" t="s">
        <v>1131</v>
      </c>
      <c r="AJ1784">
        <v>38.989083999999998</v>
      </c>
      <c r="AK1784" t="s">
        <v>1132</v>
      </c>
      <c r="AL1784">
        <v>-87.581548999999995</v>
      </c>
      <c r="AM1784">
        <v>100</v>
      </c>
      <c r="AN1784">
        <v>2800</v>
      </c>
      <c r="AO1784" t="s">
        <v>118</v>
      </c>
      <c r="AP1784">
        <v>-90</v>
      </c>
      <c r="AQ1784">
        <v>-120</v>
      </c>
      <c r="AR1784">
        <v>-128</v>
      </c>
      <c r="AZ1784">
        <v>4552</v>
      </c>
      <c r="BA1784">
        <v>1</v>
      </c>
      <c r="BB1784" t="str">
        <f t="shared" si="380"/>
        <v xml:space="preserve">N607SR  </v>
      </c>
      <c r="BC1784">
        <v>1</v>
      </c>
      <c r="BE1784">
        <v>0</v>
      </c>
      <c r="BF1784">
        <v>0</v>
      </c>
      <c r="BG1784">
        <v>0</v>
      </c>
      <c r="BH1784">
        <v>2575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 t="shared" si="415"/>
        <v>06:17:18.067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6</v>
      </c>
      <c r="CP1784" t="s">
        <v>119</v>
      </c>
      <c r="CQ1784">
        <v>465</v>
      </c>
      <c r="CR1784">
        <v>0</v>
      </c>
      <c r="CW1784">
        <v>4722640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 t="shared" si="412"/>
        <v>08/29/2020 06:17:14.804</v>
      </c>
      <c r="C1785" t="str">
        <f t="shared" si="378"/>
        <v>FFDFD3C0</v>
      </c>
      <c r="D1785" t="s">
        <v>121</v>
      </c>
      <c r="E1785">
        <v>11</v>
      </c>
      <c r="F1785">
        <v>1011</v>
      </c>
      <c r="G1785" t="s">
        <v>125</v>
      </c>
      <c r="J1785" t="s">
        <v>123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413"/>
        <v>06:17:18.063</v>
      </c>
      <c r="T1785" t="str">
        <f t="shared" si="414"/>
        <v>06:17:17.563</v>
      </c>
      <c r="U1785" t="str">
        <f t="shared" si="379"/>
        <v>A7E2E0</v>
      </c>
      <c r="V1785">
        <v>0</v>
      </c>
      <c r="W1785">
        <v>0</v>
      </c>
      <c r="X1785">
        <v>1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0</v>
      </c>
      <c r="AI1785" t="s">
        <v>1131</v>
      </c>
      <c r="AJ1785">
        <v>38.989083999999998</v>
      </c>
      <c r="AK1785" t="s">
        <v>1132</v>
      </c>
      <c r="AL1785">
        <v>-87.581548999999995</v>
      </c>
      <c r="AM1785">
        <v>100</v>
      </c>
      <c r="AN1785">
        <v>2800</v>
      </c>
      <c r="AO1785" t="s">
        <v>118</v>
      </c>
      <c r="AP1785">
        <v>-90</v>
      </c>
      <c r="AQ1785">
        <v>-120</v>
      </c>
      <c r="AR1785">
        <v>-128</v>
      </c>
      <c r="AZ1785">
        <v>4552</v>
      </c>
      <c r="BA1785">
        <v>1</v>
      </c>
      <c r="BB1785" t="str">
        <f t="shared" si="380"/>
        <v xml:space="preserve">N607SR  </v>
      </c>
      <c r="BC1785">
        <v>1</v>
      </c>
      <c r="BE1785">
        <v>0</v>
      </c>
      <c r="BF1785">
        <v>0</v>
      </c>
      <c r="BG1785">
        <v>0</v>
      </c>
      <c r="BH1785">
        <v>2575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 t="shared" si="415"/>
        <v>06:17:18.067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5</v>
      </c>
      <c r="CP1785" t="s">
        <v>119</v>
      </c>
      <c r="CQ1785">
        <v>457</v>
      </c>
      <c r="CR1785">
        <v>0</v>
      </c>
      <c r="CW1785">
        <v>15518276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 t="shared" si="412"/>
        <v>08/29/2020 06:17:14.804</v>
      </c>
      <c r="C1786" t="str">
        <f t="shared" si="378"/>
        <v>FFDFD3C0</v>
      </c>
      <c r="D1786" t="s">
        <v>121</v>
      </c>
      <c r="E1786">
        <v>13</v>
      </c>
      <c r="F1786">
        <v>1013</v>
      </c>
      <c r="G1786" t="s">
        <v>122</v>
      </c>
      <c r="J1786" t="s">
        <v>123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413"/>
        <v>06:17:18.063</v>
      </c>
      <c r="T1786" t="str">
        <f t="shared" si="414"/>
        <v>06:17:17.563</v>
      </c>
      <c r="U1786" t="str">
        <f t="shared" si="379"/>
        <v>A7E2E0</v>
      </c>
      <c r="V1786">
        <v>0</v>
      </c>
      <c r="W1786">
        <v>0</v>
      </c>
      <c r="X1786">
        <v>1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0</v>
      </c>
      <c r="AI1786" t="s">
        <v>1131</v>
      </c>
      <c r="AJ1786">
        <v>38.989083999999998</v>
      </c>
      <c r="AK1786" t="s">
        <v>1132</v>
      </c>
      <c r="AL1786">
        <v>-87.581548999999995</v>
      </c>
      <c r="AM1786">
        <v>100</v>
      </c>
      <c r="AN1786">
        <v>2800</v>
      </c>
      <c r="AO1786" t="s">
        <v>118</v>
      </c>
      <c r="AP1786">
        <v>-90</v>
      </c>
      <c r="AQ1786">
        <v>-120</v>
      </c>
      <c r="AR1786">
        <v>-128</v>
      </c>
      <c r="AZ1786">
        <v>4552</v>
      </c>
      <c r="BA1786">
        <v>1</v>
      </c>
      <c r="BB1786" t="str">
        <f t="shared" si="380"/>
        <v xml:space="preserve">N607SR  </v>
      </c>
      <c r="BC1786">
        <v>1</v>
      </c>
      <c r="BE1786">
        <v>0</v>
      </c>
      <c r="BF1786">
        <v>0</v>
      </c>
      <c r="BG1786">
        <v>0</v>
      </c>
      <c r="BH1786">
        <v>2575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 t="shared" si="415"/>
        <v>06:17:18.067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6</v>
      </c>
      <c r="CP1786" t="s">
        <v>119</v>
      </c>
      <c r="CQ1786">
        <v>465</v>
      </c>
      <c r="CR1786">
        <v>0</v>
      </c>
      <c r="CW1786">
        <v>4722640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 t="shared" si="412"/>
        <v>08/29/2020 06:17:14.804</v>
      </c>
      <c r="C1787" t="str">
        <f t="shared" si="378"/>
        <v>FFDFD3C0</v>
      </c>
      <c r="D1787" t="s">
        <v>121</v>
      </c>
      <c r="E1787">
        <v>10</v>
      </c>
      <c r="F1787">
        <v>1010</v>
      </c>
      <c r="G1787" t="s">
        <v>114</v>
      </c>
      <c r="J1787" t="s">
        <v>123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413"/>
        <v>06:17:18.063</v>
      </c>
      <c r="T1787" t="str">
        <f t="shared" si="414"/>
        <v>06:17:17.563</v>
      </c>
      <c r="U1787" t="str">
        <f t="shared" si="379"/>
        <v>A7E2E0</v>
      </c>
      <c r="V1787">
        <v>0</v>
      </c>
      <c r="W1787">
        <v>0</v>
      </c>
      <c r="X1787">
        <v>1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0</v>
      </c>
      <c r="AI1787" t="s">
        <v>1131</v>
      </c>
      <c r="AJ1787">
        <v>38.989083999999998</v>
      </c>
      <c r="AK1787" t="s">
        <v>1132</v>
      </c>
      <c r="AL1787">
        <v>-87.581548999999995</v>
      </c>
      <c r="AM1787">
        <v>100</v>
      </c>
      <c r="AN1787">
        <v>2800</v>
      </c>
      <c r="AO1787" t="s">
        <v>118</v>
      </c>
      <c r="AP1787">
        <v>-90</v>
      </c>
      <c r="AQ1787">
        <v>-120</v>
      </c>
      <c r="AR1787">
        <v>-128</v>
      </c>
      <c r="AZ1787">
        <v>4552</v>
      </c>
      <c r="BA1787">
        <v>1</v>
      </c>
      <c r="BB1787" t="str">
        <f t="shared" si="380"/>
        <v xml:space="preserve">N607SR  </v>
      </c>
      <c r="BC1787">
        <v>1</v>
      </c>
      <c r="BE1787">
        <v>0</v>
      </c>
      <c r="BF1787">
        <v>0</v>
      </c>
      <c r="BG1787">
        <v>0</v>
      </c>
      <c r="BH1787">
        <v>2575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 t="shared" si="415"/>
        <v>06:17:18.067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6</v>
      </c>
      <c r="CP1787" t="s">
        <v>119</v>
      </c>
      <c r="CQ1787">
        <v>465</v>
      </c>
      <c r="CR1787">
        <v>0</v>
      </c>
      <c r="CW1787">
        <v>4722640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 t="shared" si="412"/>
        <v>08/29/2020 06:17:14.804</v>
      </c>
      <c r="C1788" t="str">
        <f t="shared" si="378"/>
        <v>FFDFD3C0</v>
      </c>
      <c r="D1788" t="s">
        <v>939</v>
      </c>
      <c r="E1788">
        <v>10</v>
      </c>
      <c r="H1788">
        <v>79</v>
      </c>
      <c r="I1788" t="s">
        <v>940</v>
      </c>
      <c r="J1788" t="s">
        <v>130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413"/>
        <v>06:17:18.063</v>
      </c>
      <c r="T1788" t="str">
        <f t="shared" si="414"/>
        <v>06:17:17.563</v>
      </c>
      <c r="U1788" t="str">
        <f t="shared" si="379"/>
        <v>A7E2E0</v>
      </c>
      <c r="V1788">
        <v>0</v>
      </c>
      <c r="W1788">
        <v>0</v>
      </c>
      <c r="X1788">
        <v>1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0</v>
      </c>
      <c r="AI1788" t="s">
        <v>1131</v>
      </c>
      <c r="AJ1788">
        <v>38.989083999999998</v>
      </c>
      <c r="AK1788" t="s">
        <v>1132</v>
      </c>
      <c r="AL1788">
        <v>-87.581548999999995</v>
      </c>
      <c r="AM1788">
        <v>100</v>
      </c>
      <c r="AN1788">
        <v>2800</v>
      </c>
      <c r="AO1788" t="s">
        <v>118</v>
      </c>
      <c r="AP1788">
        <v>-90</v>
      </c>
      <c r="AQ1788">
        <v>-120</v>
      </c>
      <c r="AR1788">
        <v>-128</v>
      </c>
      <c r="AZ1788">
        <v>4552</v>
      </c>
      <c r="BA1788">
        <v>1</v>
      </c>
      <c r="BB1788" t="str">
        <f t="shared" si="380"/>
        <v xml:space="preserve">N607SR  </v>
      </c>
      <c r="BC1788">
        <v>1</v>
      </c>
      <c r="BE1788">
        <v>0</v>
      </c>
      <c r="BF1788">
        <v>0</v>
      </c>
      <c r="BG1788">
        <v>0</v>
      </c>
      <c r="BH1788">
        <v>2575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 t="shared" si="415"/>
        <v>06:17:18.067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6</v>
      </c>
      <c r="CP1788" t="s">
        <v>119</v>
      </c>
      <c r="CQ1788">
        <v>465</v>
      </c>
      <c r="CR1788">
        <v>0</v>
      </c>
      <c r="CW1788">
        <v>4722640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 t="shared" ref="A1789:A1794" si="416">"08/29/2020 06:17:15.708"</f>
        <v>08/29/2020 06:17:15.708</v>
      </c>
      <c r="C1789" t="str">
        <f t="shared" si="378"/>
        <v>FFDFD3C0</v>
      </c>
      <c r="D1789" t="s">
        <v>939</v>
      </c>
      <c r="E1789">
        <v>10</v>
      </c>
      <c r="H1789">
        <v>79</v>
      </c>
      <c r="I1789" t="s">
        <v>940</v>
      </c>
      <c r="J1789" t="s">
        <v>130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ref="S1789:S1794" si="417">"06:17:18.945"</f>
        <v>06:17:18.945</v>
      </c>
      <c r="T1789" t="str">
        <f t="shared" ref="T1789:T1794" si="418">"06:17:18.545"</f>
        <v>06:17:18.545</v>
      </c>
      <c r="U1789" t="str">
        <f t="shared" si="379"/>
        <v>A7E2E0</v>
      </c>
      <c r="V1789">
        <v>0</v>
      </c>
      <c r="W1789">
        <v>0</v>
      </c>
      <c r="X1789">
        <v>1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0</v>
      </c>
      <c r="AI1789" t="s">
        <v>1133</v>
      </c>
      <c r="AJ1789">
        <v>38.988546999999997</v>
      </c>
      <c r="AK1789" t="s">
        <v>1134</v>
      </c>
      <c r="AL1789">
        <v>-87.581998999999996</v>
      </c>
      <c r="AM1789">
        <v>100</v>
      </c>
      <c r="AN1789">
        <v>2800</v>
      </c>
      <c r="AO1789" t="s">
        <v>118</v>
      </c>
      <c r="AP1789">
        <v>-90</v>
      </c>
      <c r="AQ1789">
        <v>-120</v>
      </c>
      <c r="AR1789">
        <v>-128</v>
      </c>
      <c r="AZ1789">
        <v>4552</v>
      </c>
      <c r="BA1789">
        <v>1</v>
      </c>
      <c r="BB1789" t="str">
        <f t="shared" si="380"/>
        <v xml:space="preserve">N607SR  </v>
      </c>
      <c r="BC1789">
        <v>1</v>
      </c>
      <c r="BE1789">
        <v>0</v>
      </c>
      <c r="BF1789">
        <v>0</v>
      </c>
      <c r="BG1789">
        <v>0</v>
      </c>
      <c r="BH1789">
        <v>2575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 t="shared" ref="BW1789:BW1794" si="419">"06:17:18.949"</f>
        <v>06:17:18.949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465</v>
      </c>
      <c r="CR1789">
        <v>0</v>
      </c>
      <c r="CW1789">
        <v>4722666</v>
      </c>
      <c r="CY1789">
        <v>1</v>
      </c>
      <c r="CZ1789">
        <v>0</v>
      </c>
      <c r="DA1789">
        <v>0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 t="shared" si="416"/>
        <v>08/29/2020 06:17:15.708</v>
      </c>
      <c r="C1790" t="str">
        <f t="shared" si="378"/>
        <v>FFDFD3C0</v>
      </c>
      <c r="D1790" t="s">
        <v>121</v>
      </c>
      <c r="E1790">
        <v>13</v>
      </c>
      <c r="F1790">
        <v>1013</v>
      </c>
      <c r="G1790" t="s">
        <v>122</v>
      </c>
      <c r="J1790" t="s">
        <v>123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417"/>
        <v>06:17:18.945</v>
      </c>
      <c r="T1790" t="str">
        <f t="shared" si="418"/>
        <v>06:17:18.545</v>
      </c>
      <c r="U1790" t="str">
        <f t="shared" si="379"/>
        <v>A7E2E0</v>
      </c>
      <c r="V1790">
        <v>0</v>
      </c>
      <c r="W1790">
        <v>0</v>
      </c>
      <c r="X1790">
        <v>1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0</v>
      </c>
      <c r="AI1790" t="s">
        <v>1133</v>
      </c>
      <c r="AJ1790">
        <v>38.988546999999997</v>
      </c>
      <c r="AK1790" t="s">
        <v>1134</v>
      </c>
      <c r="AL1790">
        <v>-87.581998999999996</v>
      </c>
      <c r="AM1790">
        <v>100</v>
      </c>
      <c r="AN1790">
        <v>2800</v>
      </c>
      <c r="AO1790" t="s">
        <v>118</v>
      </c>
      <c r="AP1790">
        <v>-90</v>
      </c>
      <c r="AQ1790">
        <v>-120</v>
      </c>
      <c r="AR1790">
        <v>-128</v>
      </c>
      <c r="AZ1790">
        <v>4552</v>
      </c>
      <c r="BA1790">
        <v>1</v>
      </c>
      <c r="BB1790" t="str">
        <f t="shared" si="380"/>
        <v xml:space="preserve">N607SR  </v>
      </c>
      <c r="BC1790">
        <v>1</v>
      </c>
      <c r="BE1790">
        <v>0</v>
      </c>
      <c r="BF1790">
        <v>0</v>
      </c>
      <c r="BG1790">
        <v>0</v>
      </c>
      <c r="BH1790">
        <v>2575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 t="shared" si="419"/>
        <v>06:17:18.949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465</v>
      </c>
      <c r="CR1790">
        <v>0</v>
      </c>
      <c r="CW1790">
        <v>4722666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 t="shared" si="416"/>
        <v>08/29/2020 06:17:15.708</v>
      </c>
      <c r="C1791" t="str">
        <f t="shared" si="378"/>
        <v>FFDFD3C0</v>
      </c>
      <c r="D1791" t="s">
        <v>113</v>
      </c>
      <c r="E1791">
        <v>5</v>
      </c>
      <c r="H1791">
        <v>163</v>
      </c>
      <c r="I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417"/>
        <v>06:17:18.945</v>
      </c>
      <c r="T1791" t="str">
        <f t="shared" si="418"/>
        <v>06:17:18.545</v>
      </c>
      <c r="U1791" t="str">
        <f t="shared" si="379"/>
        <v>A7E2E0</v>
      </c>
      <c r="V1791">
        <v>0</v>
      </c>
      <c r="W1791">
        <v>0</v>
      </c>
      <c r="X1791">
        <v>1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0</v>
      </c>
      <c r="AI1791" t="s">
        <v>1133</v>
      </c>
      <c r="AJ1791">
        <v>38.988546999999997</v>
      </c>
      <c r="AK1791" t="s">
        <v>1134</v>
      </c>
      <c r="AL1791">
        <v>-87.581998999999996</v>
      </c>
      <c r="AM1791">
        <v>100</v>
      </c>
      <c r="AN1791">
        <v>2800</v>
      </c>
      <c r="AO1791" t="s">
        <v>118</v>
      </c>
      <c r="AP1791">
        <v>-90</v>
      </c>
      <c r="AQ1791">
        <v>-120</v>
      </c>
      <c r="AR1791">
        <v>-128</v>
      </c>
      <c r="AZ1791">
        <v>4552</v>
      </c>
      <c r="BA1791">
        <v>1</v>
      </c>
      <c r="BB1791" t="str">
        <f t="shared" si="380"/>
        <v xml:space="preserve">N607SR  </v>
      </c>
      <c r="BC1791">
        <v>1</v>
      </c>
      <c r="BE1791">
        <v>0</v>
      </c>
      <c r="BF1791">
        <v>0</v>
      </c>
      <c r="BG1791">
        <v>0</v>
      </c>
      <c r="BH1791">
        <v>2575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 t="shared" si="419"/>
        <v>06:17:18.949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465</v>
      </c>
      <c r="CR1791">
        <v>0</v>
      </c>
      <c r="CW1791">
        <v>4722666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 t="shared" si="416"/>
        <v>08/29/2020 06:17:15.708</v>
      </c>
      <c r="C1792" t="str">
        <f t="shared" si="378"/>
        <v>FFDFD3C0</v>
      </c>
      <c r="D1792" t="s">
        <v>121</v>
      </c>
      <c r="E1792">
        <v>10</v>
      </c>
      <c r="F1792">
        <v>1010</v>
      </c>
      <c r="G1792" t="s">
        <v>114</v>
      </c>
      <c r="J1792" t="s">
        <v>123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417"/>
        <v>06:17:18.945</v>
      </c>
      <c r="T1792" t="str">
        <f t="shared" si="418"/>
        <v>06:17:18.545</v>
      </c>
      <c r="U1792" t="str">
        <f t="shared" si="379"/>
        <v>A7E2E0</v>
      </c>
      <c r="V1792">
        <v>0</v>
      </c>
      <c r="W1792">
        <v>0</v>
      </c>
      <c r="X1792">
        <v>1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0</v>
      </c>
      <c r="AI1792" t="s">
        <v>1133</v>
      </c>
      <c r="AJ1792">
        <v>38.988546999999997</v>
      </c>
      <c r="AK1792" t="s">
        <v>1134</v>
      </c>
      <c r="AL1792">
        <v>-87.581998999999996</v>
      </c>
      <c r="AM1792">
        <v>100</v>
      </c>
      <c r="AN1792">
        <v>2800</v>
      </c>
      <c r="AO1792" t="s">
        <v>118</v>
      </c>
      <c r="AP1792">
        <v>-90</v>
      </c>
      <c r="AQ1792">
        <v>-120</v>
      </c>
      <c r="AR1792">
        <v>-128</v>
      </c>
      <c r="AZ1792">
        <v>4552</v>
      </c>
      <c r="BA1792">
        <v>1</v>
      </c>
      <c r="BB1792" t="str">
        <f t="shared" si="380"/>
        <v xml:space="preserve">N607SR  </v>
      </c>
      <c r="BC1792">
        <v>1</v>
      </c>
      <c r="BE1792">
        <v>0</v>
      </c>
      <c r="BF1792">
        <v>0</v>
      </c>
      <c r="BG1792">
        <v>0</v>
      </c>
      <c r="BH1792">
        <v>2575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 t="shared" si="419"/>
        <v>06:17:18.949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6</v>
      </c>
      <c r="CP1792" t="s">
        <v>119</v>
      </c>
      <c r="CQ1792">
        <v>465</v>
      </c>
      <c r="CR1792">
        <v>0</v>
      </c>
      <c r="CW1792">
        <v>4722666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 t="shared" si="416"/>
        <v>08/29/2020 06:17:15.708</v>
      </c>
      <c r="C1793" t="str">
        <f t="shared" si="378"/>
        <v>FFDFD3C0</v>
      </c>
      <c r="D1793" t="s">
        <v>128</v>
      </c>
      <c r="E1793">
        <v>5</v>
      </c>
      <c r="H1793">
        <v>241</v>
      </c>
      <c r="I1793" t="s">
        <v>129</v>
      </c>
      <c r="J1793" t="s">
        <v>130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417"/>
        <v>06:17:18.945</v>
      </c>
      <c r="T1793" t="str">
        <f t="shared" si="418"/>
        <v>06:17:18.545</v>
      </c>
      <c r="U1793" t="str">
        <f t="shared" si="379"/>
        <v>A7E2E0</v>
      </c>
      <c r="V1793">
        <v>0</v>
      </c>
      <c r="W1793">
        <v>0</v>
      </c>
      <c r="X1793">
        <v>1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0</v>
      </c>
      <c r="AI1793" t="s">
        <v>1133</v>
      </c>
      <c r="AJ1793">
        <v>38.988546999999997</v>
      </c>
      <c r="AK1793" t="s">
        <v>1134</v>
      </c>
      <c r="AL1793">
        <v>-87.581998999999996</v>
      </c>
      <c r="AM1793">
        <v>100</v>
      </c>
      <c r="AN1793">
        <v>2800</v>
      </c>
      <c r="AO1793" t="s">
        <v>118</v>
      </c>
      <c r="AP1793">
        <v>-90</v>
      </c>
      <c r="AQ1793">
        <v>-120</v>
      </c>
      <c r="AR1793">
        <v>-128</v>
      </c>
      <c r="AZ1793">
        <v>4552</v>
      </c>
      <c r="BA1793">
        <v>1</v>
      </c>
      <c r="BB1793" t="str">
        <f t="shared" si="380"/>
        <v xml:space="preserve">N607SR  </v>
      </c>
      <c r="BC1793">
        <v>1</v>
      </c>
      <c r="BE1793">
        <v>0</v>
      </c>
      <c r="BF1793">
        <v>0</v>
      </c>
      <c r="BG1793">
        <v>0</v>
      </c>
      <c r="BH1793">
        <v>2575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 t="shared" si="419"/>
        <v>06:17:18.949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6</v>
      </c>
      <c r="CP1793" t="s">
        <v>119</v>
      </c>
      <c r="CQ1793">
        <v>465</v>
      </c>
      <c r="CR1793">
        <v>0</v>
      </c>
      <c r="CW1793">
        <v>4722666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 t="shared" si="416"/>
        <v>08/29/2020 06:17:15.708</v>
      </c>
      <c r="C1794" t="str">
        <f t="shared" ref="C1794:C1857" si="420">"FFDFD3C0"</f>
        <v>FFDFD3C0</v>
      </c>
      <c r="D1794" t="s">
        <v>121</v>
      </c>
      <c r="E1794">
        <v>11</v>
      </c>
      <c r="F1794">
        <v>1011</v>
      </c>
      <c r="G1794" t="s">
        <v>125</v>
      </c>
      <c r="J1794" t="s">
        <v>123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417"/>
        <v>06:17:18.945</v>
      </c>
      <c r="T1794" t="str">
        <f t="shared" si="418"/>
        <v>06:17:18.545</v>
      </c>
      <c r="U1794" t="str">
        <f t="shared" ref="U1794:U1857" si="421">"A7E2E0"</f>
        <v>A7E2E0</v>
      </c>
      <c r="V1794">
        <v>0</v>
      </c>
      <c r="W1794">
        <v>0</v>
      </c>
      <c r="X1794">
        <v>1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0</v>
      </c>
      <c r="AI1794" t="s">
        <v>1133</v>
      </c>
      <c r="AJ1794">
        <v>38.988546999999997</v>
      </c>
      <c r="AK1794" t="s">
        <v>1134</v>
      </c>
      <c r="AL1794">
        <v>-87.581998999999996</v>
      </c>
      <c r="AM1794">
        <v>100</v>
      </c>
      <c r="AN1794">
        <v>2800</v>
      </c>
      <c r="AO1794" t="s">
        <v>118</v>
      </c>
      <c r="AP1794">
        <v>-90</v>
      </c>
      <c r="AQ1794">
        <v>-120</v>
      </c>
      <c r="AR1794">
        <v>-128</v>
      </c>
      <c r="AZ1794">
        <v>4552</v>
      </c>
      <c r="BA1794">
        <v>1</v>
      </c>
      <c r="BB1794" t="str">
        <f t="shared" ref="BB1794:BB1857" si="422">"N607SR  "</f>
        <v xml:space="preserve">N607SR  </v>
      </c>
      <c r="BC1794">
        <v>1</v>
      </c>
      <c r="BE1794">
        <v>0</v>
      </c>
      <c r="BF1794">
        <v>0</v>
      </c>
      <c r="BG1794">
        <v>0</v>
      </c>
      <c r="BH1794">
        <v>2575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 t="shared" si="419"/>
        <v>06:17:18.949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4</v>
      </c>
      <c r="CP1794" t="s">
        <v>119</v>
      </c>
      <c r="CQ1794">
        <v>177</v>
      </c>
      <c r="CR1794">
        <v>2</v>
      </c>
      <c r="CW1794">
        <v>1653455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ref="A1795:A1800" si="423">"08/29/2020 06:17:16.639"</f>
        <v>08/29/2020 06:17:16.639</v>
      </c>
      <c r="C1795" t="str">
        <f t="shared" si="420"/>
        <v>FFDFD3C0</v>
      </c>
      <c r="D1795" t="s">
        <v>128</v>
      </c>
      <c r="E1795">
        <v>5</v>
      </c>
      <c r="H1795">
        <v>241</v>
      </c>
      <c r="I1795" t="s">
        <v>129</v>
      </c>
      <c r="J1795" t="s">
        <v>130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ref="S1795:S1800" si="424">"06:17:19.852"</f>
        <v>06:17:19.852</v>
      </c>
      <c r="T1795" t="str">
        <f t="shared" ref="T1795:T1800" si="425">"06:17:19.452"</f>
        <v>06:17:19.452</v>
      </c>
      <c r="U1795" t="str">
        <f t="shared" si="421"/>
        <v>A7E2E0</v>
      </c>
      <c r="V1795">
        <v>0</v>
      </c>
      <c r="W1795">
        <v>0</v>
      </c>
      <c r="X1795">
        <v>1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0</v>
      </c>
      <c r="AI1795" t="s">
        <v>1135</v>
      </c>
      <c r="AJ1795">
        <v>38.988053999999998</v>
      </c>
      <c r="AK1795" t="s">
        <v>1136</v>
      </c>
      <c r="AL1795">
        <v>-87.582449999999994</v>
      </c>
      <c r="AM1795">
        <v>100</v>
      </c>
      <c r="AN1795">
        <v>2800</v>
      </c>
      <c r="AO1795" t="s">
        <v>118</v>
      </c>
      <c r="AP1795">
        <v>-90</v>
      </c>
      <c r="AQ1795">
        <v>-120</v>
      </c>
      <c r="AR1795">
        <v>-192</v>
      </c>
      <c r="AZ1795">
        <v>4552</v>
      </c>
      <c r="BA1795">
        <v>1</v>
      </c>
      <c r="BB1795" t="str">
        <f t="shared" si="422"/>
        <v xml:space="preserve">N607SR  </v>
      </c>
      <c r="BC1795">
        <v>1</v>
      </c>
      <c r="BE1795">
        <v>0</v>
      </c>
      <c r="BF1795">
        <v>0</v>
      </c>
      <c r="BG1795">
        <v>0</v>
      </c>
      <c r="BH1795">
        <v>2575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 t="shared" ref="BW1795:BW1800" si="426">"06:17:19.856"</f>
        <v>06:17:19.856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465</v>
      </c>
      <c r="CR1795">
        <v>0</v>
      </c>
      <c r="CW1795">
        <v>4722697</v>
      </c>
      <c r="CY1795">
        <v>1</v>
      </c>
      <c r="CZ1795">
        <v>0</v>
      </c>
      <c r="DA1795">
        <v>0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si="423"/>
        <v>08/29/2020 06:17:16.639</v>
      </c>
      <c r="C1796" t="str">
        <f t="shared" si="420"/>
        <v>FFDFD3C0</v>
      </c>
      <c r="D1796" t="s">
        <v>939</v>
      </c>
      <c r="E1796">
        <v>10</v>
      </c>
      <c r="H1796">
        <v>79</v>
      </c>
      <c r="I1796" t="s">
        <v>940</v>
      </c>
      <c r="J1796" t="s">
        <v>130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424"/>
        <v>06:17:19.852</v>
      </c>
      <c r="T1796" t="str">
        <f t="shared" si="425"/>
        <v>06:17:19.452</v>
      </c>
      <c r="U1796" t="str">
        <f t="shared" si="421"/>
        <v>A7E2E0</v>
      </c>
      <c r="V1796">
        <v>0</v>
      </c>
      <c r="W1796">
        <v>0</v>
      </c>
      <c r="X1796">
        <v>1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0</v>
      </c>
      <c r="AI1796" t="s">
        <v>1135</v>
      </c>
      <c r="AJ1796">
        <v>38.988053999999998</v>
      </c>
      <c r="AK1796" t="s">
        <v>1136</v>
      </c>
      <c r="AL1796">
        <v>-87.582449999999994</v>
      </c>
      <c r="AM1796">
        <v>100</v>
      </c>
      <c r="AN1796">
        <v>2800</v>
      </c>
      <c r="AO1796" t="s">
        <v>118</v>
      </c>
      <c r="AP1796">
        <v>-90</v>
      </c>
      <c r="AQ1796">
        <v>-120</v>
      </c>
      <c r="AR1796">
        <v>-192</v>
      </c>
      <c r="AZ1796">
        <v>4552</v>
      </c>
      <c r="BA1796">
        <v>1</v>
      </c>
      <c r="BB1796" t="str">
        <f t="shared" si="422"/>
        <v xml:space="preserve">N607SR  </v>
      </c>
      <c r="BC1796">
        <v>1</v>
      </c>
      <c r="BE1796">
        <v>0</v>
      </c>
      <c r="BF1796">
        <v>0</v>
      </c>
      <c r="BG1796">
        <v>0</v>
      </c>
      <c r="BH1796">
        <v>2575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 t="shared" si="426"/>
        <v>06:17:19.856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6</v>
      </c>
      <c r="CP1796" t="s">
        <v>119</v>
      </c>
      <c r="CQ1796">
        <v>465</v>
      </c>
      <c r="CR1796">
        <v>0</v>
      </c>
      <c r="CW1796">
        <v>4722697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si="423"/>
        <v>08/29/2020 06:17:16.639</v>
      </c>
      <c r="C1797" t="str">
        <f t="shared" si="420"/>
        <v>FFDFD3C0</v>
      </c>
      <c r="D1797" t="s">
        <v>121</v>
      </c>
      <c r="E1797">
        <v>11</v>
      </c>
      <c r="F1797">
        <v>1011</v>
      </c>
      <c r="G1797" t="s">
        <v>125</v>
      </c>
      <c r="J1797" t="s">
        <v>123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424"/>
        <v>06:17:19.852</v>
      </c>
      <c r="T1797" t="str">
        <f t="shared" si="425"/>
        <v>06:17:19.452</v>
      </c>
      <c r="U1797" t="str">
        <f t="shared" si="421"/>
        <v>A7E2E0</v>
      </c>
      <c r="V1797">
        <v>0</v>
      </c>
      <c r="W1797">
        <v>0</v>
      </c>
      <c r="X1797">
        <v>1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0</v>
      </c>
      <c r="AI1797" t="s">
        <v>1135</v>
      </c>
      <c r="AJ1797">
        <v>38.988053999999998</v>
      </c>
      <c r="AK1797" t="s">
        <v>1136</v>
      </c>
      <c r="AL1797">
        <v>-87.582449999999994</v>
      </c>
      <c r="AM1797">
        <v>100</v>
      </c>
      <c r="AN1797">
        <v>2800</v>
      </c>
      <c r="AO1797" t="s">
        <v>118</v>
      </c>
      <c r="AP1797">
        <v>-90</v>
      </c>
      <c r="AQ1797">
        <v>-120</v>
      </c>
      <c r="AR1797">
        <v>-192</v>
      </c>
      <c r="AZ1797">
        <v>4552</v>
      </c>
      <c r="BA1797">
        <v>1</v>
      </c>
      <c r="BB1797" t="str">
        <f t="shared" si="422"/>
        <v xml:space="preserve">N607SR  </v>
      </c>
      <c r="BC1797">
        <v>1</v>
      </c>
      <c r="BE1797">
        <v>0</v>
      </c>
      <c r="BF1797">
        <v>0</v>
      </c>
      <c r="BG1797">
        <v>0</v>
      </c>
      <c r="BH1797">
        <v>2575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 t="shared" si="426"/>
        <v>06:17:19.856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5</v>
      </c>
      <c r="CP1797" t="s">
        <v>119</v>
      </c>
      <c r="CQ1797">
        <v>457</v>
      </c>
      <c r="CR1797">
        <v>0</v>
      </c>
      <c r="CW1797">
        <v>15518318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423"/>
        <v>08/29/2020 06:17:16.639</v>
      </c>
      <c r="C1798" t="str">
        <f t="shared" si="420"/>
        <v>FFDFD3C0</v>
      </c>
      <c r="D1798" t="s">
        <v>121</v>
      </c>
      <c r="E1798">
        <v>13</v>
      </c>
      <c r="F1798">
        <v>1013</v>
      </c>
      <c r="G1798" t="s">
        <v>122</v>
      </c>
      <c r="J1798" t="s">
        <v>123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424"/>
        <v>06:17:19.852</v>
      </c>
      <c r="T1798" t="str">
        <f t="shared" si="425"/>
        <v>06:17:19.452</v>
      </c>
      <c r="U1798" t="str">
        <f t="shared" si="421"/>
        <v>A7E2E0</v>
      </c>
      <c r="V1798">
        <v>0</v>
      </c>
      <c r="W1798">
        <v>0</v>
      </c>
      <c r="X1798">
        <v>1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0</v>
      </c>
      <c r="AI1798" t="s">
        <v>1135</v>
      </c>
      <c r="AJ1798">
        <v>38.988053999999998</v>
      </c>
      <c r="AK1798" t="s">
        <v>1136</v>
      </c>
      <c r="AL1798">
        <v>-87.582449999999994</v>
      </c>
      <c r="AM1798">
        <v>100</v>
      </c>
      <c r="AN1798">
        <v>2800</v>
      </c>
      <c r="AO1798" t="s">
        <v>118</v>
      </c>
      <c r="AP1798">
        <v>-90</v>
      </c>
      <c r="AQ1798">
        <v>-120</v>
      </c>
      <c r="AR1798">
        <v>-192</v>
      </c>
      <c r="AZ1798">
        <v>4552</v>
      </c>
      <c r="BA1798">
        <v>1</v>
      </c>
      <c r="BB1798" t="str">
        <f t="shared" si="422"/>
        <v xml:space="preserve">N607SR  </v>
      </c>
      <c r="BC1798">
        <v>1</v>
      </c>
      <c r="BE1798">
        <v>0</v>
      </c>
      <c r="BF1798">
        <v>0</v>
      </c>
      <c r="BG1798">
        <v>0</v>
      </c>
      <c r="BH1798">
        <v>2575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 t="shared" si="426"/>
        <v>06:17:19.856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465</v>
      </c>
      <c r="CR1798">
        <v>0</v>
      </c>
      <c r="CW1798">
        <v>4722697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 t="shared" si="423"/>
        <v>08/29/2020 06:17:16.639</v>
      </c>
      <c r="C1799" t="str">
        <f t="shared" si="420"/>
        <v>FFDFD3C0</v>
      </c>
      <c r="D1799" t="s">
        <v>121</v>
      </c>
      <c r="E1799">
        <v>10</v>
      </c>
      <c r="F1799">
        <v>1010</v>
      </c>
      <c r="G1799" t="s">
        <v>114</v>
      </c>
      <c r="J1799" t="s">
        <v>123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424"/>
        <v>06:17:19.852</v>
      </c>
      <c r="T1799" t="str">
        <f t="shared" si="425"/>
        <v>06:17:19.452</v>
      </c>
      <c r="U1799" t="str">
        <f t="shared" si="421"/>
        <v>A7E2E0</v>
      </c>
      <c r="V1799">
        <v>0</v>
      </c>
      <c r="W1799">
        <v>0</v>
      </c>
      <c r="X1799">
        <v>1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0</v>
      </c>
      <c r="AI1799" t="s">
        <v>1135</v>
      </c>
      <c r="AJ1799">
        <v>38.988053999999998</v>
      </c>
      <c r="AK1799" t="s">
        <v>1136</v>
      </c>
      <c r="AL1799">
        <v>-87.582449999999994</v>
      </c>
      <c r="AM1799">
        <v>100</v>
      </c>
      <c r="AN1799">
        <v>2800</v>
      </c>
      <c r="AO1799" t="s">
        <v>118</v>
      </c>
      <c r="AP1799">
        <v>-90</v>
      </c>
      <c r="AQ1799">
        <v>-120</v>
      </c>
      <c r="AR1799">
        <v>-192</v>
      </c>
      <c r="AZ1799">
        <v>4552</v>
      </c>
      <c r="BA1799">
        <v>1</v>
      </c>
      <c r="BB1799" t="str">
        <f t="shared" si="422"/>
        <v xml:space="preserve">N607SR  </v>
      </c>
      <c r="BC1799">
        <v>1</v>
      </c>
      <c r="BE1799">
        <v>0</v>
      </c>
      <c r="BF1799">
        <v>0</v>
      </c>
      <c r="BG1799">
        <v>0</v>
      </c>
      <c r="BH1799">
        <v>2575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 t="shared" si="426"/>
        <v>06:17:19.856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465</v>
      </c>
      <c r="CR1799">
        <v>0</v>
      </c>
      <c r="CW1799">
        <v>4722697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 t="shared" si="423"/>
        <v>08/29/2020 06:17:16.639</v>
      </c>
      <c r="C1800" t="str">
        <f t="shared" si="420"/>
        <v>FFDFD3C0</v>
      </c>
      <c r="D1800" t="s">
        <v>113</v>
      </c>
      <c r="E1800">
        <v>5</v>
      </c>
      <c r="H1800">
        <v>163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424"/>
        <v>06:17:19.852</v>
      </c>
      <c r="T1800" t="str">
        <f t="shared" si="425"/>
        <v>06:17:19.452</v>
      </c>
      <c r="U1800" t="str">
        <f t="shared" si="421"/>
        <v>A7E2E0</v>
      </c>
      <c r="V1800">
        <v>0</v>
      </c>
      <c r="W1800">
        <v>0</v>
      </c>
      <c r="X1800">
        <v>1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0</v>
      </c>
      <c r="AI1800" t="s">
        <v>1135</v>
      </c>
      <c r="AJ1800">
        <v>38.988053999999998</v>
      </c>
      <c r="AK1800" t="s">
        <v>1136</v>
      </c>
      <c r="AL1800">
        <v>-87.582449999999994</v>
      </c>
      <c r="AM1800">
        <v>100</v>
      </c>
      <c r="AN1800">
        <v>2800</v>
      </c>
      <c r="AO1800" t="s">
        <v>118</v>
      </c>
      <c r="AP1800">
        <v>-90</v>
      </c>
      <c r="AQ1800">
        <v>-120</v>
      </c>
      <c r="AR1800">
        <v>-192</v>
      </c>
      <c r="AZ1800">
        <v>4552</v>
      </c>
      <c r="BA1800">
        <v>1</v>
      </c>
      <c r="BB1800" t="str">
        <f t="shared" si="422"/>
        <v xml:space="preserve">N607SR  </v>
      </c>
      <c r="BC1800">
        <v>1</v>
      </c>
      <c r="BE1800">
        <v>0</v>
      </c>
      <c r="BF1800">
        <v>0</v>
      </c>
      <c r="BG1800">
        <v>0</v>
      </c>
      <c r="BH1800">
        <v>2575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 t="shared" si="426"/>
        <v>06:17:19.856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465</v>
      </c>
      <c r="CR1800">
        <v>0</v>
      </c>
      <c r="CW1800">
        <v>4722697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 t="shared" ref="A1801:A1806" si="427">"08/29/2020 06:17:17.536"</f>
        <v>08/29/2020 06:17:17.536</v>
      </c>
      <c r="C1801" t="str">
        <f t="shared" si="420"/>
        <v>FFDFD3C0</v>
      </c>
      <c r="D1801" t="s">
        <v>113</v>
      </c>
      <c r="E1801">
        <v>5</v>
      </c>
      <c r="H1801">
        <v>163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ref="S1801:S1806" si="428">"06:17:20.766"</f>
        <v>06:17:20.766</v>
      </c>
      <c r="T1801" t="str">
        <f>"06:17:20.366"</f>
        <v>06:17:20.366</v>
      </c>
      <c r="U1801" t="str">
        <f t="shared" si="421"/>
        <v>A7E2E0</v>
      </c>
      <c r="V1801">
        <v>0</v>
      </c>
      <c r="W1801">
        <v>0</v>
      </c>
      <c r="X1801">
        <v>1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0</v>
      </c>
      <c r="AI1801" t="s">
        <v>1137</v>
      </c>
      <c r="AJ1801">
        <v>38.987603</v>
      </c>
      <c r="AK1801" t="s">
        <v>1138</v>
      </c>
      <c r="AL1801">
        <v>-87.582943</v>
      </c>
      <c r="AM1801">
        <v>100</v>
      </c>
      <c r="AN1801">
        <v>2700</v>
      </c>
      <c r="AO1801" t="s">
        <v>118</v>
      </c>
      <c r="AP1801">
        <v>-90</v>
      </c>
      <c r="AQ1801">
        <v>-120</v>
      </c>
      <c r="AR1801">
        <v>-192</v>
      </c>
      <c r="AZ1801">
        <v>4552</v>
      </c>
      <c r="BA1801">
        <v>1</v>
      </c>
      <c r="BB1801" t="str">
        <f t="shared" si="422"/>
        <v xml:space="preserve">N607SR  </v>
      </c>
      <c r="BC1801">
        <v>1</v>
      </c>
      <c r="BE1801">
        <v>0</v>
      </c>
      <c r="BF1801">
        <v>0</v>
      </c>
      <c r="BG1801">
        <v>0</v>
      </c>
      <c r="BH1801">
        <v>2475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"06:17:20.767"</f>
        <v>06:17:20.767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6</v>
      </c>
      <c r="CP1801" t="s">
        <v>119</v>
      </c>
      <c r="CQ1801">
        <v>465</v>
      </c>
      <c r="CR1801">
        <v>0</v>
      </c>
      <c r="CW1801">
        <v>4722725</v>
      </c>
      <c r="CY1801">
        <v>1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 t="shared" si="427"/>
        <v>08/29/2020 06:17:17.536</v>
      </c>
      <c r="C1802" t="str">
        <f t="shared" si="420"/>
        <v>FFDFD3C0</v>
      </c>
      <c r="D1802" t="s">
        <v>121</v>
      </c>
      <c r="E1802">
        <v>13</v>
      </c>
      <c r="F1802">
        <v>1013</v>
      </c>
      <c r="G1802" t="s">
        <v>122</v>
      </c>
      <c r="J1802" t="s">
        <v>123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428"/>
        <v>06:17:20.766</v>
      </c>
      <c r="U1802" t="str">
        <f t="shared" si="421"/>
        <v>A7E2E0</v>
      </c>
      <c r="V1802">
        <v>0</v>
      </c>
      <c r="W1802">
        <v>0</v>
      </c>
      <c r="X1802">
        <v>1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0</v>
      </c>
      <c r="AI1802" t="s">
        <v>1137</v>
      </c>
      <c r="AJ1802">
        <v>38.987603</v>
      </c>
      <c r="AK1802" t="s">
        <v>1138</v>
      </c>
      <c r="AL1802">
        <v>-87.582943</v>
      </c>
      <c r="AM1802">
        <v>100</v>
      </c>
      <c r="AN1802">
        <v>2700</v>
      </c>
      <c r="AO1802" t="s">
        <v>118</v>
      </c>
      <c r="AP1802">
        <v>-90</v>
      </c>
      <c r="AQ1802">
        <v>-120</v>
      </c>
      <c r="AR1802">
        <v>-192</v>
      </c>
      <c r="AZ1802">
        <v>4552</v>
      </c>
      <c r="BA1802">
        <v>1</v>
      </c>
      <c r="BB1802" t="str">
        <f t="shared" si="422"/>
        <v xml:space="preserve">N607SR  </v>
      </c>
      <c r="BC1802">
        <v>1</v>
      </c>
      <c r="BE1802">
        <v>0</v>
      </c>
      <c r="BF1802">
        <v>0</v>
      </c>
      <c r="BG1802">
        <v>0</v>
      </c>
      <c r="BH1802">
        <v>2575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"06:17:20.768"</f>
        <v>06:17:20.768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2</v>
      </c>
      <c r="CP1802" t="s">
        <v>119</v>
      </c>
      <c r="CQ1802">
        <v>528</v>
      </c>
      <c r="CR1802">
        <v>0</v>
      </c>
      <c r="CW1802">
        <v>13099033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 t="shared" si="427"/>
        <v>08/29/2020 06:17:17.536</v>
      </c>
      <c r="C1803" t="str">
        <f t="shared" si="420"/>
        <v>FFDFD3C0</v>
      </c>
      <c r="D1803" t="s">
        <v>121</v>
      </c>
      <c r="E1803">
        <v>10</v>
      </c>
      <c r="F1803">
        <v>1010</v>
      </c>
      <c r="G1803" t="s">
        <v>114</v>
      </c>
      <c r="J1803" t="s">
        <v>123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428"/>
        <v>06:17:20.766</v>
      </c>
      <c r="U1803" t="str">
        <f t="shared" si="421"/>
        <v>A7E2E0</v>
      </c>
      <c r="V1803">
        <v>0</v>
      </c>
      <c r="W1803">
        <v>0</v>
      </c>
      <c r="X1803">
        <v>1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0</v>
      </c>
      <c r="AI1803" t="s">
        <v>1137</v>
      </c>
      <c r="AJ1803">
        <v>38.987603</v>
      </c>
      <c r="AK1803" t="s">
        <v>1138</v>
      </c>
      <c r="AL1803">
        <v>-87.582943</v>
      </c>
      <c r="AM1803">
        <v>100</v>
      </c>
      <c r="AN1803">
        <v>2700</v>
      </c>
      <c r="AO1803" t="s">
        <v>118</v>
      </c>
      <c r="AP1803">
        <v>-90</v>
      </c>
      <c r="AQ1803">
        <v>-120</v>
      </c>
      <c r="AR1803">
        <v>-192</v>
      </c>
      <c r="AZ1803">
        <v>4552</v>
      </c>
      <c r="BA1803">
        <v>1</v>
      </c>
      <c r="BB1803" t="str">
        <f t="shared" si="422"/>
        <v xml:space="preserve">N607SR  </v>
      </c>
      <c r="BC1803">
        <v>1</v>
      </c>
      <c r="BE1803">
        <v>0</v>
      </c>
      <c r="BF1803">
        <v>0</v>
      </c>
      <c r="BG1803">
        <v>0</v>
      </c>
      <c r="BH1803">
        <v>2575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"06:17:20.768"</f>
        <v>06:17:20.768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2</v>
      </c>
      <c r="CP1803" t="s">
        <v>119</v>
      </c>
      <c r="CQ1803">
        <v>528</v>
      </c>
      <c r="CR1803">
        <v>0</v>
      </c>
      <c r="CW1803">
        <v>13099033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 t="shared" si="427"/>
        <v>08/29/2020 06:17:17.536</v>
      </c>
      <c r="C1804" t="str">
        <f t="shared" si="420"/>
        <v>FFDFD3C0</v>
      </c>
      <c r="D1804" t="s">
        <v>128</v>
      </c>
      <c r="E1804">
        <v>5</v>
      </c>
      <c r="H1804">
        <v>241</v>
      </c>
      <c r="I1804" t="s">
        <v>129</v>
      </c>
      <c r="J1804" t="s">
        <v>130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428"/>
        <v>06:17:20.766</v>
      </c>
      <c r="U1804" t="str">
        <f t="shared" si="421"/>
        <v>A7E2E0</v>
      </c>
      <c r="V1804">
        <v>0</v>
      </c>
      <c r="W1804">
        <v>0</v>
      </c>
      <c r="X1804">
        <v>1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0</v>
      </c>
      <c r="AI1804" t="s">
        <v>1137</v>
      </c>
      <c r="AJ1804">
        <v>38.987603</v>
      </c>
      <c r="AK1804" t="s">
        <v>1138</v>
      </c>
      <c r="AL1804">
        <v>-87.582943</v>
      </c>
      <c r="AM1804">
        <v>100</v>
      </c>
      <c r="AN1804">
        <v>2700</v>
      </c>
      <c r="AO1804" t="s">
        <v>118</v>
      </c>
      <c r="AP1804">
        <v>-90</v>
      </c>
      <c r="AQ1804">
        <v>-120</v>
      </c>
      <c r="AR1804">
        <v>-192</v>
      </c>
      <c r="AZ1804">
        <v>4552</v>
      </c>
      <c r="BA1804">
        <v>1</v>
      </c>
      <c r="BB1804" t="str">
        <f t="shared" si="422"/>
        <v xml:space="preserve">N607SR  </v>
      </c>
      <c r="BC1804">
        <v>1</v>
      </c>
      <c r="BE1804">
        <v>0</v>
      </c>
      <c r="BF1804">
        <v>0</v>
      </c>
      <c r="BG1804">
        <v>0</v>
      </c>
      <c r="BH1804">
        <v>2575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"06:17:20.768"</f>
        <v>06:17:20.768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2</v>
      </c>
      <c r="CP1804" t="s">
        <v>119</v>
      </c>
      <c r="CQ1804">
        <v>528</v>
      </c>
      <c r="CR1804">
        <v>0</v>
      </c>
      <c r="CW1804">
        <v>13099033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 t="shared" si="427"/>
        <v>08/29/2020 06:17:17.536</v>
      </c>
      <c r="C1805" t="str">
        <f t="shared" si="420"/>
        <v>FFDFD3C0</v>
      </c>
      <c r="D1805" t="s">
        <v>939</v>
      </c>
      <c r="E1805">
        <v>10</v>
      </c>
      <c r="H1805">
        <v>79</v>
      </c>
      <c r="I1805" t="s">
        <v>940</v>
      </c>
      <c r="J1805" t="s">
        <v>130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428"/>
        <v>06:17:20.766</v>
      </c>
      <c r="T1805" t="str">
        <f>"06:17:20.366"</f>
        <v>06:17:20.366</v>
      </c>
      <c r="U1805" t="str">
        <f t="shared" si="421"/>
        <v>A7E2E0</v>
      </c>
      <c r="V1805">
        <v>0</v>
      </c>
      <c r="W1805">
        <v>0</v>
      </c>
      <c r="X1805">
        <v>1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0</v>
      </c>
      <c r="AI1805" t="s">
        <v>1137</v>
      </c>
      <c r="AJ1805">
        <v>38.987603</v>
      </c>
      <c r="AK1805" t="s">
        <v>1138</v>
      </c>
      <c r="AL1805">
        <v>-87.582943</v>
      </c>
      <c r="AM1805">
        <v>100</v>
      </c>
      <c r="AN1805">
        <v>2700</v>
      </c>
      <c r="AO1805" t="s">
        <v>118</v>
      </c>
      <c r="AP1805">
        <v>-90</v>
      </c>
      <c r="AQ1805">
        <v>-120</v>
      </c>
      <c r="AR1805">
        <v>-192</v>
      </c>
      <c r="AZ1805">
        <v>4552</v>
      </c>
      <c r="BA1805">
        <v>1</v>
      </c>
      <c r="BB1805" t="str">
        <f t="shared" si="422"/>
        <v xml:space="preserve">N607SR  </v>
      </c>
      <c r="BC1805">
        <v>1</v>
      </c>
      <c r="BE1805">
        <v>0</v>
      </c>
      <c r="BF1805">
        <v>0</v>
      </c>
      <c r="BG1805">
        <v>0</v>
      </c>
      <c r="BH1805">
        <v>2475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"06:17:20.767"</f>
        <v>06:17:20.767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465</v>
      </c>
      <c r="CR1805">
        <v>0</v>
      </c>
      <c r="CW1805">
        <v>4722725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 t="shared" si="427"/>
        <v>08/29/2020 06:17:17.536</v>
      </c>
      <c r="C1806" t="str">
        <f t="shared" si="420"/>
        <v>FFDFD3C0</v>
      </c>
      <c r="D1806" t="s">
        <v>121</v>
      </c>
      <c r="E1806">
        <v>11</v>
      </c>
      <c r="F1806">
        <v>1011</v>
      </c>
      <c r="G1806" t="s">
        <v>125</v>
      </c>
      <c r="J1806" t="s">
        <v>123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428"/>
        <v>06:17:20.766</v>
      </c>
      <c r="U1806" t="str">
        <f t="shared" si="421"/>
        <v>A7E2E0</v>
      </c>
      <c r="V1806">
        <v>0</v>
      </c>
      <c r="W1806">
        <v>0</v>
      </c>
      <c r="X1806">
        <v>1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0</v>
      </c>
      <c r="AI1806" t="s">
        <v>1137</v>
      </c>
      <c r="AJ1806">
        <v>38.987603</v>
      </c>
      <c r="AK1806" t="s">
        <v>1138</v>
      </c>
      <c r="AL1806">
        <v>-87.582943</v>
      </c>
      <c r="AM1806">
        <v>100</v>
      </c>
      <c r="AN1806">
        <v>2700</v>
      </c>
      <c r="AO1806" t="s">
        <v>118</v>
      </c>
      <c r="AP1806">
        <v>-90</v>
      </c>
      <c r="AQ1806">
        <v>-120</v>
      </c>
      <c r="AR1806">
        <v>-192</v>
      </c>
      <c r="AZ1806">
        <v>4552</v>
      </c>
      <c r="BA1806">
        <v>1</v>
      </c>
      <c r="BB1806" t="str">
        <f t="shared" si="422"/>
        <v xml:space="preserve">N607SR  </v>
      </c>
      <c r="BC1806">
        <v>1</v>
      </c>
      <c r="BE1806">
        <v>0</v>
      </c>
      <c r="BF1806">
        <v>0</v>
      </c>
      <c r="BG1806">
        <v>0</v>
      </c>
      <c r="BH1806">
        <v>2575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"06:17:20.768"</f>
        <v>06:17:20.768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2</v>
      </c>
      <c r="CP1806" t="s">
        <v>119</v>
      </c>
      <c r="CQ1806">
        <v>528</v>
      </c>
      <c r="CR1806">
        <v>0</v>
      </c>
      <c r="CW1806">
        <v>13099033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 t="shared" ref="A1807:A1812" si="429">"08/29/2020 06:17:18.595"</f>
        <v>08/29/2020 06:17:18.595</v>
      </c>
      <c r="C1807" t="str">
        <f t="shared" si="420"/>
        <v>FFDFD3C0</v>
      </c>
      <c r="D1807" t="s">
        <v>121</v>
      </c>
      <c r="E1807">
        <v>10</v>
      </c>
      <c r="F1807">
        <v>1010</v>
      </c>
      <c r="G1807" t="s">
        <v>114</v>
      </c>
      <c r="J1807" t="s">
        <v>123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ref="S1807:S1812" si="430">"06:17:21.844"</f>
        <v>06:17:21.844</v>
      </c>
      <c r="T1807" t="str">
        <f t="shared" ref="T1807:T1812" si="431">"06:17:21.344"</f>
        <v>06:17:21.344</v>
      </c>
      <c r="U1807" t="str">
        <f t="shared" si="421"/>
        <v>A7E2E0</v>
      </c>
      <c r="V1807">
        <v>0</v>
      </c>
      <c r="W1807">
        <v>0</v>
      </c>
      <c r="X1807">
        <v>1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0</v>
      </c>
      <c r="AI1807" t="s">
        <v>1139</v>
      </c>
      <c r="AJ1807">
        <v>38.986981</v>
      </c>
      <c r="AK1807" t="s">
        <v>1140</v>
      </c>
      <c r="AL1807">
        <v>-87.583566000000005</v>
      </c>
      <c r="AM1807">
        <v>100</v>
      </c>
      <c r="AN1807">
        <v>2700</v>
      </c>
      <c r="AO1807" t="s">
        <v>118</v>
      </c>
      <c r="AP1807">
        <v>-90</v>
      </c>
      <c r="AQ1807">
        <v>-120</v>
      </c>
      <c r="AR1807">
        <v>-192</v>
      </c>
      <c r="AZ1807">
        <v>4552</v>
      </c>
      <c r="BA1807">
        <v>1</v>
      </c>
      <c r="BB1807" t="str">
        <f t="shared" si="422"/>
        <v xml:space="preserve">N607SR  </v>
      </c>
      <c r="BC1807">
        <v>1</v>
      </c>
      <c r="BE1807">
        <v>0</v>
      </c>
      <c r="BF1807">
        <v>0</v>
      </c>
      <c r="BG1807">
        <v>0</v>
      </c>
      <c r="BH1807">
        <v>2475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 t="shared" ref="BW1807:BW1812" si="432">"06:17:21.849"</f>
        <v>06:17:21.849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465</v>
      </c>
      <c r="CR1807">
        <v>0</v>
      </c>
      <c r="CW1807">
        <v>4722757</v>
      </c>
      <c r="CY1807">
        <v>1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si="429"/>
        <v>08/29/2020 06:17:18.595</v>
      </c>
      <c r="C1808" t="str">
        <f t="shared" si="420"/>
        <v>FFDFD3C0</v>
      </c>
      <c r="D1808" t="s">
        <v>121</v>
      </c>
      <c r="E1808">
        <v>13</v>
      </c>
      <c r="F1808">
        <v>1013</v>
      </c>
      <c r="G1808" t="s">
        <v>122</v>
      </c>
      <c r="J1808" t="s">
        <v>123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430"/>
        <v>06:17:21.844</v>
      </c>
      <c r="T1808" t="str">
        <f t="shared" si="431"/>
        <v>06:17:21.344</v>
      </c>
      <c r="U1808" t="str">
        <f t="shared" si="421"/>
        <v>A7E2E0</v>
      </c>
      <c r="V1808">
        <v>0</v>
      </c>
      <c r="W1808">
        <v>0</v>
      </c>
      <c r="X1808">
        <v>1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0</v>
      </c>
      <c r="AI1808" t="s">
        <v>1139</v>
      </c>
      <c r="AJ1808">
        <v>38.986981</v>
      </c>
      <c r="AK1808" t="s">
        <v>1140</v>
      </c>
      <c r="AL1808">
        <v>-87.583566000000005</v>
      </c>
      <c r="AM1808">
        <v>100</v>
      </c>
      <c r="AN1808">
        <v>2700</v>
      </c>
      <c r="AO1808" t="s">
        <v>118</v>
      </c>
      <c r="AP1808">
        <v>-90</v>
      </c>
      <c r="AQ1808">
        <v>-120</v>
      </c>
      <c r="AR1808">
        <v>-192</v>
      </c>
      <c r="AZ1808">
        <v>4552</v>
      </c>
      <c r="BA1808">
        <v>1</v>
      </c>
      <c r="BB1808" t="str">
        <f t="shared" si="422"/>
        <v xml:space="preserve">N607SR  </v>
      </c>
      <c r="BC1808">
        <v>1</v>
      </c>
      <c r="BE1808">
        <v>0</v>
      </c>
      <c r="BF1808">
        <v>0</v>
      </c>
      <c r="BG1808">
        <v>0</v>
      </c>
      <c r="BH1808">
        <v>2475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 t="shared" si="432"/>
        <v>06:17:21.849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465</v>
      </c>
      <c r="CR1808">
        <v>0</v>
      </c>
      <c r="CW1808">
        <v>4722757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429"/>
        <v>08/29/2020 06:17:18.595</v>
      </c>
      <c r="C1809" t="str">
        <f t="shared" si="420"/>
        <v>FFDFD3C0</v>
      </c>
      <c r="D1809" t="s">
        <v>113</v>
      </c>
      <c r="E1809">
        <v>5</v>
      </c>
      <c r="H1809">
        <v>163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430"/>
        <v>06:17:21.844</v>
      </c>
      <c r="T1809" t="str">
        <f t="shared" si="431"/>
        <v>06:17:21.344</v>
      </c>
      <c r="U1809" t="str">
        <f t="shared" si="421"/>
        <v>A7E2E0</v>
      </c>
      <c r="V1809">
        <v>0</v>
      </c>
      <c r="W1809">
        <v>0</v>
      </c>
      <c r="X1809">
        <v>1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0</v>
      </c>
      <c r="AI1809" t="s">
        <v>1139</v>
      </c>
      <c r="AJ1809">
        <v>38.986981</v>
      </c>
      <c r="AK1809" t="s">
        <v>1140</v>
      </c>
      <c r="AL1809">
        <v>-87.583566000000005</v>
      </c>
      <c r="AM1809">
        <v>100</v>
      </c>
      <c r="AN1809">
        <v>2700</v>
      </c>
      <c r="AO1809" t="s">
        <v>118</v>
      </c>
      <c r="AP1809">
        <v>-90</v>
      </c>
      <c r="AQ1809">
        <v>-120</v>
      </c>
      <c r="AR1809">
        <v>-192</v>
      </c>
      <c r="AZ1809">
        <v>4552</v>
      </c>
      <c r="BA1809">
        <v>1</v>
      </c>
      <c r="BB1809" t="str">
        <f t="shared" si="422"/>
        <v xml:space="preserve">N607SR  </v>
      </c>
      <c r="BC1809">
        <v>1</v>
      </c>
      <c r="BE1809">
        <v>0</v>
      </c>
      <c r="BF1809">
        <v>0</v>
      </c>
      <c r="BG1809">
        <v>0</v>
      </c>
      <c r="BH1809">
        <v>2475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 t="shared" si="432"/>
        <v>06:17:21.849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465</v>
      </c>
      <c r="CR1809">
        <v>0</v>
      </c>
      <c r="CW1809">
        <v>4722757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429"/>
        <v>08/29/2020 06:17:18.595</v>
      </c>
      <c r="C1810" t="str">
        <f t="shared" si="420"/>
        <v>FFDFD3C0</v>
      </c>
      <c r="D1810" t="s">
        <v>128</v>
      </c>
      <c r="E1810">
        <v>5</v>
      </c>
      <c r="H1810">
        <v>241</v>
      </c>
      <c r="I1810" t="s">
        <v>129</v>
      </c>
      <c r="J1810" t="s">
        <v>130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430"/>
        <v>06:17:21.844</v>
      </c>
      <c r="T1810" t="str">
        <f t="shared" si="431"/>
        <v>06:17:21.344</v>
      </c>
      <c r="U1810" t="str">
        <f t="shared" si="421"/>
        <v>A7E2E0</v>
      </c>
      <c r="V1810">
        <v>0</v>
      </c>
      <c r="W1810">
        <v>0</v>
      </c>
      <c r="X1810">
        <v>1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0</v>
      </c>
      <c r="AI1810" t="s">
        <v>1139</v>
      </c>
      <c r="AJ1810">
        <v>38.986981</v>
      </c>
      <c r="AK1810" t="s">
        <v>1140</v>
      </c>
      <c r="AL1810">
        <v>-87.583566000000005</v>
      </c>
      <c r="AM1810">
        <v>100</v>
      </c>
      <c r="AN1810">
        <v>2700</v>
      </c>
      <c r="AO1810" t="s">
        <v>118</v>
      </c>
      <c r="AP1810">
        <v>-90</v>
      </c>
      <c r="AQ1810">
        <v>-120</v>
      </c>
      <c r="AR1810">
        <v>-192</v>
      </c>
      <c r="AZ1810">
        <v>4552</v>
      </c>
      <c r="BA1810">
        <v>1</v>
      </c>
      <c r="BB1810" t="str">
        <f t="shared" si="422"/>
        <v xml:space="preserve">N607SR  </v>
      </c>
      <c r="BC1810">
        <v>1</v>
      </c>
      <c r="BE1810">
        <v>0</v>
      </c>
      <c r="BF1810">
        <v>0</v>
      </c>
      <c r="BG1810">
        <v>0</v>
      </c>
      <c r="BH1810">
        <v>2475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 t="shared" si="432"/>
        <v>06:17:21.849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119</v>
      </c>
      <c r="CQ1810">
        <v>465</v>
      </c>
      <c r="CR1810">
        <v>0</v>
      </c>
      <c r="CW1810">
        <v>4722757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si="429"/>
        <v>08/29/2020 06:17:18.595</v>
      </c>
      <c r="C1811" t="str">
        <f t="shared" si="420"/>
        <v>FFDFD3C0</v>
      </c>
      <c r="D1811" t="s">
        <v>939</v>
      </c>
      <c r="E1811">
        <v>10</v>
      </c>
      <c r="H1811">
        <v>79</v>
      </c>
      <c r="I1811" t="s">
        <v>940</v>
      </c>
      <c r="J1811" t="s">
        <v>130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430"/>
        <v>06:17:21.844</v>
      </c>
      <c r="T1811" t="str">
        <f t="shared" si="431"/>
        <v>06:17:21.344</v>
      </c>
      <c r="U1811" t="str">
        <f t="shared" si="421"/>
        <v>A7E2E0</v>
      </c>
      <c r="V1811">
        <v>0</v>
      </c>
      <c r="W1811">
        <v>0</v>
      </c>
      <c r="X1811">
        <v>1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0</v>
      </c>
      <c r="AI1811" t="s">
        <v>1139</v>
      </c>
      <c r="AJ1811">
        <v>38.986981</v>
      </c>
      <c r="AK1811" t="s">
        <v>1140</v>
      </c>
      <c r="AL1811">
        <v>-87.583566000000005</v>
      </c>
      <c r="AM1811">
        <v>100</v>
      </c>
      <c r="AN1811">
        <v>2700</v>
      </c>
      <c r="AO1811" t="s">
        <v>118</v>
      </c>
      <c r="AP1811">
        <v>-90</v>
      </c>
      <c r="AQ1811">
        <v>-120</v>
      </c>
      <c r="AR1811">
        <v>-192</v>
      </c>
      <c r="AZ1811">
        <v>4552</v>
      </c>
      <c r="BA1811">
        <v>1</v>
      </c>
      <c r="BB1811" t="str">
        <f t="shared" si="422"/>
        <v xml:space="preserve">N607SR  </v>
      </c>
      <c r="BC1811">
        <v>1</v>
      </c>
      <c r="BE1811">
        <v>0</v>
      </c>
      <c r="BF1811">
        <v>0</v>
      </c>
      <c r="BG1811">
        <v>0</v>
      </c>
      <c r="BH1811">
        <v>2475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 t="shared" si="432"/>
        <v>06:17:21.849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6</v>
      </c>
      <c r="CP1811" t="s">
        <v>119</v>
      </c>
      <c r="CQ1811">
        <v>465</v>
      </c>
      <c r="CR1811">
        <v>0</v>
      </c>
      <c r="CW1811">
        <v>4722757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si="429"/>
        <v>08/29/2020 06:17:18.595</v>
      </c>
      <c r="C1812" t="str">
        <f t="shared" si="420"/>
        <v>FFDFD3C0</v>
      </c>
      <c r="D1812" t="s">
        <v>121</v>
      </c>
      <c r="E1812">
        <v>11</v>
      </c>
      <c r="F1812">
        <v>1011</v>
      </c>
      <c r="G1812" t="s">
        <v>125</v>
      </c>
      <c r="J1812" t="s">
        <v>123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430"/>
        <v>06:17:21.844</v>
      </c>
      <c r="T1812" t="str">
        <f t="shared" si="431"/>
        <v>06:17:21.344</v>
      </c>
      <c r="U1812" t="str">
        <f t="shared" si="421"/>
        <v>A7E2E0</v>
      </c>
      <c r="V1812">
        <v>0</v>
      </c>
      <c r="W1812">
        <v>0</v>
      </c>
      <c r="X1812">
        <v>1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0</v>
      </c>
      <c r="AI1812" t="s">
        <v>1139</v>
      </c>
      <c r="AJ1812">
        <v>38.986981</v>
      </c>
      <c r="AK1812" t="s">
        <v>1140</v>
      </c>
      <c r="AL1812">
        <v>-87.583566000000005</v>
      </c>
      <c r="AM1812">
        <v>100</v>
      </c>
      <c r="AN1812">
        <v>2700</v>
      </c>
      <c r="AO1812" t="s">
        <v>118</v>
      </c>
      <c r="AP1812">
        <v>-90</v>
      </c>
      <c r="AQ1812">
        <v>-120</v>
      </c>
      <c r="AR1812">
        <v>-192</v>
      </c>
      <c r="AZ1812">
        <v>4552</v>
      </c>
      <c r="BA1812">
        <v>1</v>
      </c>
      <c r="BB1812" t="str">
        <f t="shared" si="422"/>
        <v xml:space="preserve">N607SR  </v>
      </c>
      <c r="BC1812">
        <v>1</v>
      </c>
      <c r="BE1812">
        <v>0</v>
      </c>
      <c r="BF1812">
        <v>0</v>
      </c>
      <c r="BG1812">
        <v>0</v>
      </c>
      <c r="BH1812">
        <v>2475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 t="shared" si="432"/>
        <v>06:17:21.849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5</v>
      </c>
      <c r="CP1812" t="s">
        <v>119</v>
      </c>
      <c r="CQ1812">
        <v>457</v>
      </c>
      <c r="CR1812">
        <v>0</v>
      </c>
      <c r="CW1812">
        <v>15518367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ref="A1813:A1818" si="433">"08/29/2020 06:17:19.614"</f>
        <v>08/29/2020 06:17:19.614</v>
      </c>
      <c r="C1813" t="str">
        <f t="shared" si="420"/>
        <v>FFDFD3C0</v>
      </c>
      <c r="D1813" t="s">
        <v>121</v>
      </c>
      <c r="E1813">
        <v>13</v>
      </c>
      <c r="F1813">
        <v>1013</v>
      </c>
      <c r="G1813" t="s">
        <v>122</v>
      </c>
      <c r="J1813" t="s">
        <v>123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ref="S1813:S1818" si="434">"06:17:22.867"</f>
        <v>06:17:22.867</v>
      </c>
      <c r="T1813" t="str">
        <f t="shared" ref="T1813:T1818" si="435">"06:17:22.367"</f>
        <v>06:17:22.367</v>
      </c>
      <c r="U1813" t="str">
        <f t="shared" si="421"/>
        <v>A7E2E0</v>
      </c>
      <c r="V1813">
        <v>0</v>
      </c>
      <c r="W1813">
        <v>0</v>
      </c>
      <c r="X1813">
        <v>1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0</v>
      </c>
      <c r="AI1813" t="s">
        <v>1141</v>
      </c>
      <c r="AJ1813">
        <v>38.986423000000002</v>
      </c>
      <c r="AK1813" t="s">
        <v>1142</v>
      </c>
      <c r="AL1813">
        <v>-87.584102000000001</v>
      </c>
      <c r="AM1813">
        <v>100</v>
      </c>
      <c r="AN1813">
        <v>2700</v>
      </c>
      <c r="AO1813" t="s">
        <v>118</v>
      </c>
      <c r="AP1813">
        <v>-90</v>
      </c>
      <c r="AQ1813">
        <v>-120</v>
      </c>
      <c r="AR1813">
        <v>-192</v>
      </c>
      <c r="AZ1813">
        <v>4552</v>
      </c>
      <c r="BA1813">
        <v>1</v>
      </c>
      <c r="BB1813" t="str">
        <f t="shared" si="422"/>
        <v xml:space="preserve">N607SR  </v>
      </c>
      <c r="BC1813">
        <v>1</v>
      </c>
      <c r="BE1813">
        <v>0</v>
      </c>
      <c r="BF1813">
        <v>0</v>
      </c>
      <c r="BG1813">
        <v>0</v>
      </c>
      <c r="BH1813">
        <v>2575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"06:17:22.870"</f>
        <v>06:17:22.870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465</v>
      </c>
      <c r="CR1813">
        <v>0</v>
      </c>
      <c r="CW1813">
        <v>4722793</v>
      </c>
      <c r="CY1813">
        <v>1</v>
      </c>
      <c r="CZ1813">
        <v>0</v>
      </c>
      <c r="DA1813">
        <v>0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si="433"/>
        <v>08/29/2020 06:17:19.614</v>
      </c>
      <c r="C1814" t="str">
        <f t="shared" si="420"/>
        <v>FFDFD3C0</v>
      </c>
      <c r="D1814" t="s">
        <v>128</v>
      </c>
      <c r="E1814">
        <v>5</v>
      </c>
      <c r="H1814">
        <v>241</v>
      </c>
      <c r="I1814" t="s">
        <v>129</v>
      </c>
      <c r="J1814" t="s">
        <v>130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434"/>
        <v>06:17:22.867</v>
      </c>
      <c r="T1814" t="str">
        <f t="shared" si="435"/>
        <v>06:17:22.367</v>
      </c>
      <c r="U1814" t="str">
        <f t="shared" si="421"/>
        <v>A7E2E0</v>
      </c>
      <c r="V1814">
        <v>0</v>
      </c>
      <c r="W1814">
        <v>0</v>
      </c>
      <c r="X1814">
        <v>1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0</v>
      </c>
      <c r="AI1814" t="s">
        <v>1141</v>
      </c>
      <c r="AJ1814">
        <v>38.986423000000002</v>
      </c>
      <c r="AK1814" t="s">
        <v>1142</v>
      </c>
      <c r="AL1814">
        <v>-87.584102000000001</v>
      </c>
      <c r="AM1814">
        <v>100</v>
      </c>
      <c r="AN1814">
        <v>2700</v>
      </c>
      <c r="AO1814" t="s">
        <v>118</v>
      </c>
      <c r="AP1814">
        <v>-90</v>
      </c>
      <c r="AQ1814">
        <v>-120</v>
      </c>
      <c r="AR1814">
        <v>-192</v>
      </c>
      <c r="AZ1814">
        <v>4552</v>
      </c>
      <c r="BA1814">
        <v>1</v>
      </c>
      <c r="BB1814" t="str">
        <f t="shared" si="422"/>
        <v xml:space="preserve">N607SR  </v>
      </c>
      <c r="BC1814">
        <v>1</v>
      </c>
      <c r="BE1814">
        <v>0</v>
      </c>
      <c r="BF1814">
        <v>0</v>
      </c>
      <c r="BG1814">
        <v>0</v>
      </c>
      <c r="BH1814">
        <v>2575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"06:17:22.870"</f>
        <v>06:17:22.870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465</v>
      </c>
      <c r="CR1814">
        <v>0</v>
      </c>
      <c r="CW1814">
        <v>4722793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 t="shared" si="433"/>
        <v>08/29/2020 06:17:19.614</v>
      </c>
      <c r="C1815" t="str">
        <f t="shared" si="420"/>
        <v>FFDFD3C0</v>
      </c>
      <c r="D1815" t="s">
        <v>939</v>
      </c>
      <c r="E1815">
        <v>10</v>
      </c>
      <c r="H1815">
        <v>79</v>
      </c>
      <c r="I1815" t="s">
        <v>940</v>
      </c>
      <c r="J1815" t="s">
        <v>130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434"/>
        <v>06:17:22.867</v>
      </c>
      <c r="T1815" t="str">
        <f t="shared" si="435"/>
        <v>06:17:22.367</v>
      </c>
      <c r="U1815" t="str">
        <f t="shared" si="421"/>
        <v>A7E2E0</v>
      </c>
      <c r="V1815">
        <v>0</v>
      </c>
      <c r="W1815">
        <v>0</v>
      </c>
      <c r="X1815">
        <v>1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0</v>
      </c>
      <c r="AI1815" t="s">
        <v>1141</v>
      </c>
      <c r="AJ1815">
        <v>38.986423000000002</v>
      </c>
      <c r="AK1815" t="s">
        <v>1142</v>
      </c>
      <c r="AL1815">
        <v>-87.584102000000001</v>
      </c>
      <c r="AM1815">
        <v>100</v>
      </c>
      <c r="AN1815">
        <v>2700</v>
      </c>
      <c r="AO1815" t="s">
        <v>118</v>
      </c>
      <c r="AP1815">
        <v>-90</v>
      </c>
      <c r="AQ1815">
        <v>-120</v>
      </c>
      <c r="AR1815">
        <v>-192</v>
      </c>
      <c r="AZ1815">
        <v>4552</v>
      </c>
      <c r="BA1815">
        <v>1</v>
      </c>
      <c r="BB1815" t="str">
        <f t="shared" si="422"/>
        <v xml:space="preserve">N607SR  </v>
      </c>
      <c r="BC1815">
        <v>1</v>
      </c>
      <c r="BE1815">
        <v>0</v>
      </c>
      <c r="BF1815">
        <v>0</v>
      </c>
      <c r="BG1815">
        <v>0</v>
      </c>
      <c r="BH1815">
        <v>2575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"06:17:22.870"</f>
        <v>06:17:22.870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465</v>
      </c>
      <c r="CR1815">
        <v>0</v>
      </c>
      <c r="CW1815">
        <v>4722793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 t="shared" si="433"/>
        <v>08/29/2020 06:17:19.614</v>
      </c>
      <c r="C1816" t="str">
        <f t="shared" si="420"/>
        <v>FFDFD3C0</v>
      </c>
      <c r="D1816" t="s">
        <v>121</v>
      </c>
      <c r="E1816">
        <v>11</v>
      </c>
      <c r="F1816">
        <v>1011</v>
      </c>
      <c r="G1816" t="s">
        <v>125</v>
      </c>
      <c r="J1816" t="s">
        <v>123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434"/>
        <v>06:17:22.867</v>
      </c>
      <c r="T1816" t="str">
        <f t="shared" si="435"/>
        <v>06:17:22.367</v>
      </c>
      <c r="U1816" t="str">
        <f t="shared" si="421"/>
        <v>A7E2E0</v>
      </c>
      <c r="V1816">
        <v>0</v>
      </c>
      <c r="W1816">
        <v>0</v>
      </c>
      <c r="X1816">
        <v>1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0</v>
      </c>
      <c r="AI1816" t="s">
        <v>1141</v>
      </c>
      <c r="AJ1816">
        <v>38.986423000000002</v>
      </c>
      <c r="AK1816" t="s">
        <v>1142</v>
      </c>
      <c r="AL1816">
        <v>-87.584102000000001</v>
      </c>
      <c r="AM1816">
        <v>100</v>
      </c>
      <c r="AN1816">
        <v>2700</v>
      </c>
      <c r="AO1816" t="s">
        <v>118</v>
      </c>
      <c r="AP1816">
        <v>-90</v>
      </c>
      <c r="AQ1816">
        <v>-120</v>
      </c>
      <c r="AR1816">
        <v>-192</v>
      </c>
      <c r="AZ1816">
        <v>4552</v>
      </c>
      <c r="BA1816">
        <v>1</v>
      </c>
      <c r="BB1816" t="str">
        <f t="shared" si="422"/>
        <v xml:space="preserve">N607SR  </v>
      </c>
      <c r="BC1816">
        <v>1</v>
      </c>
      <c r="BE1816">
        <v>0</v>
      </c>
      <c r="BF1816">
        <v>0</v>
      </c>
      <c r="BG1816">
        <v>0</v>
      </c>
      <c r="BH1816">
        <v>2575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"06:17:22.869"</f>
        <v>06:17:22.869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5</v>
      </c>
      <c r="CP1816" t="s">
        <v>119</v>
      </c>
      <c r="CQ1816">
        <v>457</v>
      </c>
      <c r="CR1816">
        <v>0</v>
      </c>
      <c r="CW1816">
        <v>15518395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 t="shared" si="433"/>
        <v>08/29/2020 06:17:19.614</v>
      </c>
      <c r="C1817" t="str">
        <f t="shared" si="420"/>
        <v>FFDFD3C0</v>
      </c>
      <c r="D1817" t="s">
        <v>121</v>
      </c>
      <c r="E1817">
        <v>10</v>
      </c>
      <c r="F1817">
        <v>1010</v>
      </c>
      <c r="G1817" t="s">
        <v>114</v>
      </c>
      <c r="J1817" t="s">
        <v>123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434"/>
        <v>06:17:22.867</v>
      </c>
      <c r="T1817" t="str">
        <f t="shared" si="435"/>
        <v>06:17:22.367</v>
      </c>
      <c r="U1817" t="str">
        <f t="shared" si="421"/>
        <v>A7E2E0</v>
      </c>
      <c r="V1817">
        <v>0</v>
      </c>
      <c r="W1817">
        <v>0</v>
      </c>
      <c r="X1817">
        <v>1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0</v>
      </c>
      <c r="AI1817" t="s">
        <v>1141</v>
      </c>
      <c r="AJ1817">
        <v>38.986423000000002</v>
      </c>
      <c r="AK1817" t="s">
        <v>1142</v>
      </c>
      <c r="AL1817">
        <v>-87.584102000000001</v>
      </c>
      <c r="AM1817">
        <v>100</v>
      </c>
      <c r="AN1817">
        <v>2700</v>
      </c>
      <c r="AO1817" t="s">
        <v>118</v>
      </c>
      <c r="AP1817">
        <v>-90</v>
      </c>
      <c r="AQ1817">
        <v>-120</v>
      </c>
      <c r="AR1817">
        <v>-192</v>
      </c>
      <c r="AZ1817">
        <v>4552</v>
      </c>
      <c r="BA1817">
        <v>1</v>
      </c>
      <c r="BB1817" t="str">
        <f t="shared" si="422"/>
        <v xml:space="preserve">N607SR  </v>
      </c>
      <c r="BC1817">
        <v>1</v>
      </c>
      <c r="BE1817">
        <v>0</v>
      </c>
      <c r="BF1817">
        <v>0</v>
      </c>
      <c r="BG1817">
        <v>0</v>
      </c>
      <c r="BH1817">
        <v>2575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"06:17:22.870"</f>
        <v>06:17:22.870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465</v>
      </c>
      <c r="CR1817">
        <v>0</v>
      </c>
      <c r="CW1817">
        <v>4722793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 t="shared" si="433"/>
        <v>08/29/2020 06:17:19.614</v>
      </c>
      <c r="C1818" t="str">
        <f t="shared" si="420"/>
        <v>FFDFD3C0</v>
      </c>
      <c r="D1818" t="s">
        <v>113</v>
      </c>
      <c r="E1818">
        <v>5</v>
      </c>
      <c r="H1818">
        <v>163</v>
      </c>
      <c r="I1818" t="s">
        <v>114</v>
      </c>
      <c r="J1818" t="s">
        <v>115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434"/>
        <v>06:17:22.867</v>
      </c>
      <c r="T1818" t="str">
        <f t="shared" si="435"/>
        <v>06:17:22.367</v>
      </c>
      <c r="U1818" t="str">
        <f t="shared" si="421"/>
        <v>A7E2E0</v>
      </c>
      <c r="V1818">
        <v>0</v>
      </c>
      <c r="W1818">
        <v>0</v>
      </c>
      <c r="X1818">
        <v>1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0</v>
      </c>
      <c r="AI1818" t="s">
        <v>1141</v>
      </c>
      <c r="AJ1818">
        <v>38.986423000000002</v>
      </c>
      <c r="AK1818" t="s">
        <v>1142</v>
      </c>
      <c r="AL1818">
        <v>-87.584102000000001</v>
      </c>
      <c r="AM1818">
        <v>100</v>
      </c>
      <c r="AN1818">
        <v>2700</v>
      </c>
      <c r="AO1818" t="s">
        <v>118</v>
      </c>
      <c r="AP1818">
        <v>-90</v>
      </c>
      <c r="AQ1818">
        <v>-120</v>
      </c>
      <c r="AR1818">
        <v>-192</v>
      </c>
      <c r="AZ1818">
        <v>4552</v>
      </c>
      <c r="BA1818">
        <v>1</v>
      </c>
      <c r="BB1818" t="str">
        <f t="shared" si="422"/>
        <v xml:space="preserve">N607SR  </v>
      </c>
      <c r="BC1818">
        <v>1</v>
      </c>
      <c r="BE1818">
        <v>0</v>
      </c>
      <c r="BF1818">
        <v>0</v>
      </c>
      <c r="BG1818">
        <v>0</v>
      </c>
      <c r="BH1818">
        <v>2575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"06:17:22.870"</f>
        <v>06:17:22.870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465</v>
      </c>
      <c r="CR1818">
        <v>0</v>
      </c>
      <c r="CW1818">
        <v>4722793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 t="shared" ref="A1819:A1824" si="436">"08/29/2020 06:17:20.636"</f>
        <v>08/29/2020 06:17:20.636</v>
      </c>
      <c r="C1819" t="str">
        <f t="shared" si="420"/>
        <v>FFDFD3C0</v>
      </c>
      <c r="D1819" t="s">
        <v>939</v>
      </c>
      <c r="E1819">
        <v>10</v>
      </c>
      <c r="H1819">
        <v>79</v>
      </c>
      <c r="I1819" t="s">
        <v>940</v>
      </c>
      <c r="J1819" t="s">
        <v>130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ref="S1819:S1824" si="437">"06:17:23.875"</f>
        <v>06:17:23.875</v>
      </c>
      <c r="T1819" t="str">
        <f t="shared" ref="T1819:T1824" si="438">"06:17:23.475"</f>
        <v>06:17:23.475</v>
      </c>
      <c r="U1819" t="str">
        <f t="shared" si="421"/>
        <v>A7E2E0</v>
      </c>
      <c r="V1819">
        <v>0</v>
      </c>
      <c r="W1819">
        <v>0</v>
      </c>
      <c r="X1819">
        <v>1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0</v>
      </c>
      <c r="AI1819" t="s">
        <v>1143</v>
      </c>
      <c r="AJ1819">
        <v>38.985864999999997</v>
      </c>
      <c r="AK1819" t="s">
        <v>1144</v>
      </c>
      <c r="AL1819">
        <v>-87.584596000000005</v>
      </c>
      <c r="AM1819">
        <v>100</v>
      </c>
      <c r="AN1819">
        <v>2700</v>
      </c>
      <c r="AO1819" t="s">
        <v>118</v>
      </c>
      <c r="AP1819">
        <v>-90</v>
      </c>
      <c r="AQ1819">
        <v>-119</v>
      </c>
      <c r="AR1819">
        <v>-128</v>
      </c>
      <c r="AZ1819">
        <v>4552</v>
      </c>
      <c r="BA1819">
        <v>1</v>
      </c>
      <c r="BB1819" t="str">
        <f t="shared" si="422"/>
        <v xml:space="preserve">N607SR  </v>
      </c>
      <c r="BC1819">
        <v>1</v>
      </c>
      <c r="BE1819">
        <v>0</v>
      </c>
      <c r="BF1819">
        <v>0</v>
      </c>
      <c r="BG1819">
        <v>0</v>
      </c>
      <c r="BH1819">
        <v>2575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 t="shared" ref="BW1819:BW1824" si="439">"06:17:23.876"</f>
        <v>06:17:23.876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465</v>
      </c>
      <c r="CR1819">
        <v>0</v>
      </c>
      <c r="CW1819">
        <v>4722826</v>
      </c>
      <c r="CY1819">
        <v>1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 t="shared" si="436"/>
        <v>08/29/2020 06:17:20.636</v>
      </c>
      <c r="C1820" t="str">
        <f t="shared" si="420"/>
        <v>FFDFD3C0</v>
      </c>
      <c r="D1820" t="s">
        <v>128</v>
      </c>
      <c r="E1820">
        <v>5</v>
      </c>
      <c r="H1820">
        <v>241</v>
      </c>
      <c r="I1820" t="s">
        <v>129</v>
      </c>
      <c r="J1820" t="s">
        <v>130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437"/>
        <v>06:17:23.875</v>
      </c>
      <c r="T1820" t="str">
        <f t="shared" si="438"/>
        <v>06:17:23.475</v>
      </c>
      <c r="U1820" t="str">
        <f t="shared" si="421"/>
        <v>A7E2E0</v>
      </c>
      <c r="V1820">
        <v>0</v>
      </c>
      <c r="W1820">
        <v>0</v>
      </c>
      <c r="X1820">
        <v>1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0</v>
      </c>
      <c r="AI1820" t="s">
        <v>1143</v>
      </c>
      <c r="AJ1820">
        <v>38.985864999999997</v>
      </c>
      <c r="AK1820" t="s">
        <v>1144</v>
      </c>
      <c r="AL1820">
        <v>-87.584596000000005</v>
      </c>
      <c r="AM1820">
        <v>100</v>
      </c>
      <c r="AN1820">
        <v>2700</v>
      </c>
      <c r="AO1820" t="s">
        <v>118</v>
      </c>
      <c r="AP1820">
        <v>-90</v>
      </c>
      <c r="AQ1820">
        <v>-119</v>
      </c>
      <c r="AR1820">
        <v>-128</v>
      </c>
      <c r="AZ1820">
        <v>4552</v>
      </c>
      <c r="BA1820">
        <v>1</v>
      </c>
      <c r="BB1820" t="str">
        <f t="shared" si="422"/>
        <v xml:space="preserve">N607SR  </v>
      </c>
      <c r="BC1820">
        <v>1</v>
      </c>
      <c r="BE1820">
        <v>0</v>
      </c>
      <c r="BF1820">
        <v>0</v>
      </c>
      <c r="BG1820">
        <v>0</v>
      </c>
      <c r="BH1820">
        <v>2575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 t="shared" si="439"/>
        <v>06:17:23.876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465</v>
      </c>
      <c r="CR1820">
        <v>0</v>
      </c>
      <c r="CW1820">
        <v>4722826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 t="shared" si="436"/>
        <v>08/29/2020 06:17:20.636</v>
      </c>
      <c r="C1821" t="str">
        <f t="shared" si="420"/>
        <v>FFDFD3C0</v>
      </c>
      <c r="D1821" t="s">
        <v>121</v>
      </c>
      <c r="E1821">
        <v>10</v>
      </c>
      <c r="F1821">
        <v>1010</v>
      </c>
      <c r="G1821" t="s">
        <v>114</v>
      </c>
      <c r="J1821" t="s">
        <v>123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437"/>
        <v>06:17:23.875</v>
      </c>
      <c r="T1821" t="str">
        <f t="shared" si="438"/>
        <v>06:17:23.475</v>
      </c>
      <c r="U1821" t="str">
        <f t="shared" si="421"/>
        <v>A7E2E0</v>
      </c>
      <c r="V1821">
        <v>0</v>
      </c>
      <c r="W1821">
        <v>0</v>
      </c>
      <c r="X1821">
        <v>1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0</v>
      </c>
      <c r="AI1821" t="s">
        <v>1143</v>
      </c>
      <c r="AJ1821">
        <v>38.985864999999997</v>
      </c>
      <c r="AK1821" t="s">
        <v>1144</v>
      </c>
      <c r="AL1821">
        <v>-87.584596000000005</v>
      </c>
      <c r="AM1821">
        <v>100</v>
      </c>
      <c r="AN1821">
        <v>2700</v>
      </c>
      <c r="AO1821" t="s">
        <v>118</v>
      </c>
      <c r="AP1821">
        <v>-90</v>
      </c>
      <c r="AQ1821">
        <v>-119</v>
      </c>
      <c r="AR1821">
        <v>-128</v>
      </c>
      <c r="AZ1821">
        <v>4552</v>
      </c>
      <c r="BA1821">
        <v>1</v>
      </c>
      <c r="BB1821" t="str">
        <f t="shared" si="422"/>
        <v xml:space="preserve">N607SR  </v>
      </c>
      <c r="BC1821">
        <v>1</v>
      </c>
      <c r="BE1821">
        <v>0</v>
      </c>
      <c r="BF1821">
        <v>0</v>
      </c>
      <c r="BG1821">
        <v>0</v>
      </c>
      <c r="BH1821">
        <v>2575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 t="shared" si="439"/>
        <v>06:17:23.876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465</v>
      </c>
      <c r="CR1821">
        <v>0</v>
      </c>
      <c r="CW1821">
        <v>4722826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 t="shared" si="436"/>
        <v>08/29/2020 06:17:20.636</v>
      </c>
      <c r="C1822" t="str">
        <f t="shared" si="420"/>
        <v>FFDFD3C0</v>
      </c>
      <c r="D1822" t="s">
        <v>121</v>
      </c>
      <c r="E1822">
        <v>11</v>
      </c>
      <c r="F1822">
        <v>1011</v>
      </c>
      <c r="G1822" t="s">
        <v>125</v>
      </c>
      <c r="J1822" t="s">
        <v>123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437"/>
        <v>06:17:23.875</v>
      </c>
      <c r="T1822" t="str">
        <f t="shared" si="438"/>
        <v>06:17:23.475</v>
      </c>
      <c r="U1822" t="str">
        <f t="shared" si="421"/>
        <v>A7E2E0</v>
      </c>
      <c r="V1822">
        <v>0</v>
      </c>
      <c r="W1822">
        <v>0</v>
      </c>
      <c r="X1822">
        <v>1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0</v>
      </c>
      <c r="AI1822" t="s">
        <v>1143</v>
      </c>
      <c r="AJ1822">
        <v>38.985864999999997</v>
      </c>
      <c r="AK1822" t="s">
        <v>1144</v>
      </c>
      <c r="AL1822">
        <v>-87.584596000000005</v>
      </c>
      <c r="AM1822">
        <v>100</v>
      </c>
      <c r="AN1822">
        <v>2700</v>
      </c>
      <c r="AO1822" t="s">
        <v>118</v>
      </c>
      <c r="AP1822">
        <v>-90</v>
      </c>
      <c r="AQ1822">
        <v>-119</v>
      </c>
      <c r="AR1822">
        <v>-128</v>
      </c>
      <c r="AZ1822">
        <v>4552</v>
      </c>
      <c r="BA1822">
        <v>1</v>
      </c>
      <c r="BB1822" t="str">
        <f t="shared" si="422"/>
        <v xml:space="preserve">N607SR  </v>
      </c>
      <c r="BC1822">
        <v>1</v>
      </c>
      <c r="BE1822">
        <v>0</v>
      </c>
      <c r="BF1822">
        <v>0</v>
      </c>
      <c r="BG1822">
        <v>0</v>
      </c>
      <c r="BH1822">
        <v>2575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 t="shared" si="439"/>
        <v>06:17:23.876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5</v>
      </c>
      <c r="CP1822" t="s">
        <v>119</v>
      </c>
      <c r="CQ1822">
        <v>177</v>
      </c>
      <c r="CR1822">
        <v>2</v>
      </c>
      <c r="CW1822">
        <v>1654301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 t="shared" si="436"/>
        <v>08/29/2020 06:17:20.636</v>
      </c>
      <c r="C1823" t="str">
        <f t="shared" si="420"/>
        <v>FFDFD3C0</v>
      </c>
      <c r="D1823" t="s">
        <v>113</v>
      </c>
      <c r="E1823">
        <v>5</v>
      </c>
      <c r="H1823">
        <v>163</v>
      </c>
      <c r="I1823" t="s">
        <v>114</v>
      </c>
      <c r="J1823" t="s">
        <v>115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437"/>
        <v>06:17:23.875</v>
      </c>
      <c r="T1823" t="str">
        <f t="shared" si="438"/>
        <v>06:17:23.475</v>
      </c>
      <c r="U1823" t="str">
        <f t="shared" si="421"/>
        <v>A7E2E0</v>
      </c>
      <c r="V1823">
        <v>0</v>
      </c>
      <c r="W1823">
        <v>0</v>
      </c>
      <c r="X1823">
        <v>1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0</v>
      </c>
      <c r="AI1823" t="s">
        <v>1143</v>
      </c>
      <c r="AJ1823">
        <v>38.985864999999997</v>
      </c>
      <c r="AK1823" t="s">
        <v>1144</v>
      </c>
      <c r="AL1823">
        <v>-87.584596000000005</v>
      </c>
      <c r="AM1823">
        <v>100</v>
      </c>
      <c r="AN1823">
        <v>2700</v>
      </c>
      <c r="AO1823" t="s">
        <v>118</v>
      </c>
      <c r="AP1823">
        <v>-90</v>
      </c>
      <c r="AQ1823">
        <v>-119</v>
      </c>
      <c r="AR1823">
        <v>-128</v>
      </c>
      <c r="AZ1823">
        <v>4552</v>
      </c>
      <c r="BA1823">
        <v>1</v>
      </c>
      <c r="BB1823" t="str">
        <f t="shared" si="422"/>
        <v xml:space="preserve">N607SR  </v>
      </c>
      <c r="BC1823">
        <v>1</v>
      </c>
      <c r="BE1823">
        <v>0</v>
      </c>
      <c r="BF1823">
        <v>0</v>
      </c>
      <c r="BG1823">
        <v>0</v>
      </c>
      <c r="BH1823">
        <v>2575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 t="shared" si="439"/>
        <v>06:17:23.876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465</v>
      </c>
      <c r="CR1823">
        <v>0</v>
      </c>
      <c r="CW1823">
        <v>4722826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 t="shared" si="436"/>
        <v>08/29/2020 06:17:20.636</v>
      </c>
      <c r="C1824" t="str">
        <f t="shared" si="420"/>
        <v>FFDFD3C0</v>
      </c>
      <c r="D1824" t="s">
        <v>121</v>
      </c>
      <c r="E1824">
        <v>13</v>
      </c>
      <c r="F1824">
        <v>1013</v>
      </c>
      <c r="G1824" t="s">
        <v>122</v>
      </c>
      <c r="J1824" t="s">
        <v>123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437"/>
        <v>06:17:23.875</v>
      </c>
      <c r="T1824" t="str">
        <f t="shared" si="438"/>
        <v>06:17:23.475</v>
      </c>
      <c r="U1824" t="str">
        <f t="shared" si="421"/>
        <v>A7E2E0</v>
      </c>
      <c r="V1824">
        <v>0</v>
      </c>
      <c r="W1824">
        <v>0</v>
      </c>
      <c r="X1824">
        <v>1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0</v>
      </c>
      <c r="AI1824" t="s">
        <v>1143</v>
      </c>
      <c r="AJ1824">
        <v>38.985864999999997</v>
      </c>
      <c r="AK1824" t="s">
        <v>1144</v>
      </c>
      <c r="AL1824">
        <v>-87.584596000000005</v>
      </c>
      <c r="AM1824">
        <v>100</v>
      </c>
      <c r="AN1824">
        <v>2700</v>
      </c>
      <c r="AO1824" t="s">
        <v>118</v>
      </c>
      <c r="AP1824">
        <v>-90</v>
      </c>
      <c r="AQ1824">
        <v>-119</v>
      </c>
      <c r="AR1824">
        <v>-128</v>
      </c>
      <c r="AZ1824">
        <v>4552</v>
      </c>
      <c r="BA1824">
        <v>1</v>
      </c>
      <c r="BB1824" t="str">
        <f t="shared" si="422"/>
        <v xml:space="preserve">N607SR  </v>
      </c>
      <c r="BC1824">
        <v>1</v>
      </c>
      <c r="BE1824">
        <v>0</v>
      </c>
      <c r="BF1824">
        <v>0</v>
      </c>
      <c r="BG1824">
        <v>0</v>
      </c>
      <c r="BH1824">
        <v>2575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 t="shared" si="439"/>
        <v>06:17:23.876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465</v>
      </c>
      <c r="CR1824">
        <v>0</v>
      </c>
      <c r="CW1824">
        <v>4722826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 t="shared" ref="A1825:A1830" si="440">"08/29/2020 06:17:21.689"</f>
        <v>08/29/2020 06:17:21.689</v>
      </c>
      <c r="C1825" t="str">
        <f t="shared" si="420"/>
        <v>FFDFD3C0</v>
      </c>
      <c r="D1825" t="s">
        <v>113</v>
      </c>
      <c r="E1825">
        <v>5</v>
      </c>
      <c r="H1825">
        <v>163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ref="S1825:S1830" si="441">"06:17:24.914"</f>
        <v>06:17:24.914</v>
      </c>
      <c r="T1825" t="str">
        <f>"06:17:24.514"</f>
        <v>06:17:24.514</v>
      </c>
      <c r="U1825" t="str">
        <f t="shared" si="421"/>
        <v>A7E2E0</v>
      </c>
      <c r="V1825">
        <v>0</v>
      </c>
      <c r="W1825">
        <v>0</v>
      </c>
      <c r="X1825">
        <v>1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0</v>
      </c>
      <c r="AI1825" t="s">
        <v>1145</v>
      </c>
      <c r="AJ1825">
        <v>38.985264000000001</v>
      </c>
      <c r="AK1825" t="s">
        <v>1146</v>
      </c>
      <c r="AL1825">
        <v>-87.585217999999998</v>
      </c>
      <c r="AM1825">
        <v>100</v>
      </c>
      <c r="AN1825">
        <v>2700</v>
      </c>
      <c r="AO1825" t="s">
        <v>118</v>
      </c>
      <c r="AP1825">
        <v>-90</v>
      </c>
      <c r="AQ1825">
        <v>-119</v>
      </c>
      <c r="AR1825">
        <v>0</v>
      </c>
      <c r="AZ1825">
        <v>4552</v>
      </c>
      <c r="BA1825">
        <v>1</v>
      </c>
      <c r="BB1825" t="str">
        <f t="shared" si="422"/>
        <v xml:space="preserve">N607SR  </v>
      </c>
      <c r="BC1825">
        <v>1</v>
      </c>
      <c r="BE1825">
        <v>0</v>
      </c>
      <c r="BF1825">
        <v>0</v>
      </c>
      <c r="BG1825">
        <v>0</v>
      </c>
      <c r="BH1825">
        <v>2575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"06:17:24.914"</f>
        <v>06:17:24.914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465</v>
      </c>
      <c r="CR1825">
        <v>0</v>
      </c>
      <c r="CW1825">
        <v>4722856</v>
      </c>
      <c r="CY1825">
        <v>1</v>
      </c>
      <c r="CZ1825">
        <v>0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 t="shared" si="440"/>
        <v>08/29/2020 06:17:21.689</v>
      </c>
      <c r="C1826" t="str">
        <f t="shared" si="420"/>
        <v>FFDFD3C0</v>
      </c>
      <c r="D1826" t="s">
        <v>121</v>
      </c>
      <c r="E1826">
        <v>11</v>
      </c>
      <c r="F1826">
        <v>1011</v>
      </c>
      <c r="G1826" t="s">
        <v>125</v>
      </c>
      <c r="J1826" t="s">
        <v>123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441"/>
        <v>06:17:24.914</v>
      </c>
      <c r="U1826" t="str">
        <f t="shared" si="421"/>
        <v>A7E2E0</v>
      </c>
      <c r="V1826">
        <v>0</v>
      </c>
      <c r="W1826">
        <v>0</v>
      </c>
      <c r="X1826">
        <v>1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0</v>
      </c>
      <c r="AI1826" t="s">
        <v>1145</v>
      </c>
      <c r="AJ1826">
        <v>38.985264000000001</v>
      </c>
      <c r="AK1826" t="s">
        <v>1146</v>
      </c>
      <c r="AL1826">
        <v>-87.585217999999998</v>
      </c>
      <c r="AM1826">
        <v>100</v>
      </c>
      <c r="AN1826">
        <v>2700</v>
      </c>
      <c r="AO1826" t="s">
        <v>118</v>
      </c>
      <c r="AP1826">
        <v>-90</v>
      </c>
      <c r="AQ1826">
        <v>-119</v>
      </c>
      <c r="AR1826">
        <v>0</v>
      </c>
      <c r="AZ1826">
        <v>4552</v>
      </c>
      <c r="BA1826">
        <v>1</v>
      </c>
      <c r="BB1826" t="str">
        <f t="shared" si="422"/>
        <v xml:space="preserve">N607SR  </v>
      </c>
      <c r="BC1826">
        <v>1</v>
      </c>
      <c r="BE1826">
        <v>0</v>
      </c>
      <c r="BF1826">
        <v>0</v>
      </c>
      <c r="BG1826">
        <v>0</v>
      </c>
      <c r="BH1826">
        <v>2575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"06:17:24.915"</f>
        <v>06:17:24.915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2</v>
      </c>
      <c r="CP1826" t="s">
        <v>119</v>
      </c>
      <c r="CQ1826">
        <v>528</v>
      </c>
      <c r="CR1826">
        <v>0</v>
      </c>
      <c r="CW1826">
        <v>13099134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 t="shared" si="440"/>
        <v>08/29/2020 06:17:21.689</v>
      </c>
      <c r="C1827" t="str">
        <f t="shared" si="420"/>
        <v>FFDFD3C0</v>
      </c>
      <c r="D1827" t="s">
        <v>121</v>
      </c>
      <c r="E1827">
        <v>10</v>
      </c>
      <c r="F1827">
        <v>1010</v>
      </c>
      <c r="G1827" t="s">
        <v>114</v>
      </c>
      <c r="J1827" t="s">
        <v>123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441"/>
        <v>06:17:24.914</v>
      </c>
      <c r="U1827" t="str">
        <f t="shared" si="421"/>
        <v>A7E2E0</v>
      </c>
      <c r="V1827">
        <v>0</v>
      </c>
      <c r="W1827">
        <v>0</v>
      </c>
      <c r="X1827">
        <v>1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0</v>
      </c>
      <c r="AI1827" t="s">
        <v>1145</v>
      </c>
      <c r="AJ1827">
        <v>38.985264000000001</v>
      </c>
      <c r="AK1827" t="s">
        <v>1146</v>
      </c>
      <c r="AL1827">
        <v>-87.585217999999998</v>
      </c>
      <c r="AM1827">
        <v>100</v>
      </c>
      <c r="AN1827">
        <v>2700</v>
      </c>
      <c r="AO1827" t="s">
        <v>118</v>
      </c>
      <c r="AP1827">
        <v>-90</v>
      </c>
      <c r="AQ1827">
        <v>-119</v>
      </c>
      <c r="AR1827">
        <v>0</v>
      </c>
      <c r="AZ1827">
        <v>4552</v>
      </c>
      <c r="BA1827">
        <v>1</v>
      </c>
      <c r="BB1827" t="str">
        <f t="shared" si="422"/>
        <v xml:space="preserve">N607SR  </v>
      </c>
      <c r="BC1827">
        <v>1</v>
      </c>
      <c r="BE1827">
        <v>0</v>
      </c>
      <c r="BF1827">
        <v>0</v>
      </c>
      <c r="BG1827">
        <v>0</v>
      </c>
      <c r="BH1827">
        <v>2575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"06:17:24.915"</f>
        <v>06:17:24.915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2</v>
      </c>
      <c r="CP1827" t="s">
        <v>119</v>
      </c>
      <c r="CQ1827">
        <v>528</v>
      </c>
      <c r="CR1827">
        <v>0</v>
      </c>
      <c r="CW1827">
        <v>13099134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 t="shared" si="440"/>
        <v>08/29/2020 06:17:21.689</v>
      </c>
      <c r="C1828" t="str">
        <f t="shared" si="420"/>
        <v>FFDFD3C0</v>
      </c>
      <c r="D1828" t="s">
        <v>121</v>
      </c>
      <c r="E1828">
        <v>13</v>
      </c>
      <c r="F1828">
        <v>1013</v>
      </c>
      <c r="G1828" t="s">
        <v>122</v>
      </c>
      <c r="J1828" t="s">
        <v>123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441"/>
        <v>06:17:24.914</v>
      </c>
      <c r="U1828" t="str">
        <f t="shared" si="421"/>
        <v>A7E2E0</v>
      </c>
      <c r="V1828">
        <v>0</v>
      </c>
      <c r="W1828">
        <v>0</v>
      </c>
      <c r="X1828">
        <v>1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0</v>
      </c>
      <c r="AI1828" t="s">
        <v>1145</v>
      </c>
      <c r="AJ1828">
        <v>38.985264000000001</v>
      </c>
      <c r="AK1828" t="s">
        <v>1146</v>
      </c>
      <c r="AL1828">
        <v>-87.585217999999998</v>
      </c>
      <c r="AM1828">
        <v>100</v>
      </c>
      <c r="AN1828">
        <v>2700</v>
      </c>
      <c r="AO1828" t="s">
        <v>118</v>
      </c>
      <c r="AP1828">
        <v>-90</v>
      </c>
      <c r="AQ1828">
        <v>-119</v>
      </c>
      <c r="AR1828">
        <v>0</v>
      </c>
      <c r="AZ1828">
        <v>4552</v>
      </c>
      <c r="BA1828">
        <v>1</v>
      </c>
      <c r="BB1828" t="str">
        <f t="shared" si="422"/>
        <v xml:space="preserve">N607SR  </v>
      </c>
      <c r="BC1828">
        <v>1</v>
      </c>
      <c r="BE1828">
        <v>0</v>
      </c>
      <c r="BF1828">
        <v>0</v>
      </c>
      <c r="BG1828">
        <v>0</v>
      </c>
      <c r="BH1828">
        <v>2575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"06:17:24.915"</f>
        <v>06:17:24.915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2</v>
      </c>
      <c r="CP1828" t="s">
        <v>119</v>
      </c>
      <c r="CQ1828">
        <v>528</v>
      </c>
      <c r="CR1828">
        <v>0</v>
      </c>
      <c r="CW1828">
        <v>13099134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 t="shared" si="440"/>
        <v>08/29/2020 06:17:21.689</v>
      </c>
      <c r="C1829" t="str">
        <f t="shared" si="420"/>
        <v>FFDFD3C0</v>
      </c>
      <c r="D1829" t="s">
        <v>939</v>
      </c>
      <c r="E1829">
        <v>10</v>
      </c>
      <c r="H1829">
        <v>79</v>
      </c>
      <c r="I1829" t="s">
        <v>940</v>
      </c>
      <c r="J1829" t="s">
        <v>130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441"/>
        <v>06:17:24.914</v>
      </c>
      <c r="T1829" t="str">
        <f>"06:17:24.514"</f>
        <v>06:17:24.514</v>
      </c>
      <c r="U1829" t="str">
        <f t="shared" si="421"/>
        <v>A7E2E0</v>
      </c>
      <c r="V1829">
        <v>0</v>
      </c>
      <c r="W1829">
        <v>0</v>
      </c>
      <c r="X1829">
        <v>1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0</v>
      </c>
      <c r="AI1829" t="s">
        <v>1145</v>
      </c>
      <c r="AJ1829">
        <v>38.985264000000001</v>
      </c>
      <c r="AK1829" t="s">
        <v>1146</v>
      </c>
      <c r="AL1829">
        <v>-87.585217999999998</v>
      </c>
      <c r="AM1829">
        <v>100</v>
      </c>
      <c r="AN1829">
        <v>2700</v>
      </c>
      <c r="AO1829" t="s">
        <v>118</v>
      </c>
      <c r="AP1829">
        <v>-90</v>
      </c>
      <c r="AQ1829">
        <v>-119</v>
      </c>
      <c r="AR1829">
        <v>0</v>
      </c>
      <c r="AZ1829">
        <v>4552</v>
      </c>
      <c r="BA1829">
        <v>1</v>
      </c>
      <c r="BB1829" t="str">
        <f t="shared" si="422"/>
        <v xml:space="preserve">N607SR  </v>
      </c>
      <c r="BC1829">
        <v>1</v>
      </c>
      <c r="BE1829">
        <v>0</v>
      </c>
      <c r="BF1829">
        <v>0</v>
      </c>
      <c r="BG1829">
        <v>0</v>
      </c>
      <c r="BH1829">
        <v>2575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"06:17:24.914"</f>
        <v>06:17:24.914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465</v>
      </c>
      <c r="CR1829">
        <v>0</v>
      </c>
      <c r="CW1829">
        <v>4722856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 t="shared" si="440"/>
        <v>08/29/2020 06:17:21.689</v>
      </c>
      <c r="C1830" t="str">
        <f t="shared" si="420"/>
        <v>FFDFD3C0</v>
      </c>
      <c r="D1830" t="s">
        <v>128</v>
      </c>
      <c r="E1830">
        <v>5</v>
      </c>
      <c r="H1830">
        <v>241</v>
      </c>
      <c r="I1830" t="s">
        <v>129</v>
      </c>
      <c r="J1830" t="s">
        <v>130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441"/>
        <v>06:17:24.914</v>
      </c>
      <c r="U1830" t="str">
        <f t="shared" si="421"/>
        <v>A7E2E0</v>
      </c>
      <c r="V1830">
        <v>0</v>
      </c>
      <c r="W1830">
        <v>0</v>
      </c>
      <c r="X1830">
        <v>1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0</v>
      </c>
      <c r="AI1830" t="s">
        <v>1145</v>
      </c>
      <c r="AJ1830">
        <v>38.985264000000001</v>
      </c>
      <c r="AK1830" t="s">
        <v>1146</v>
      </c>
      <c r="AL1830">
        <v>-87.585217999999998</v>
      </c>
      <c r="AM1830">
        <v>100</v>
      </c>
      <c r="AN1830">
        <v>2700</v>
      </c>
      <c r="AO1830" t="s">
        <v>118</v>
      </c>
      <c r="AP1830">
        <v>-90</v>
      </c>
      <c r="AQ1830">
        <v>-119</v>
      </c>
      <c r="AR1830">
        <v>0</v>
      </c>
      <c r="AZ1830">
        <v>4552</v>
      </c>
      <c r="BA1830">
        <v>1</v>
      </c>
      <c r="BB1830" t="str">
        <f t="shared" si="422"/>
        <v xml:space="preserve">N607SR  </v>
      </c>
      <c r="BC1830">
        <v>1</v>
      </c>
      <c r="BE1830">
        <v>0</v>
      </c>
      <c r="BF1830">
        <v>0</v>
      </c>
      <c r="BG1830">
        <v>0</v>
      </c>
      <c r="BH1830">
        <v>2575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"06:17:24.915"</f>
        <v>06:17:24.915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2</v>
      </c>
      <c r="CP1830" t="s">
        <v>119</v>
      </c>
      <c r="CQ1830">
        <v>528</v>
      </c>
      <c r="CR1830">
        <v>0</v>
      </c>
      <c r="CW1830">
        <v>13099134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ref="A1831:A1836" si="442">"08/29/2020 06:17:22.691"</f>
        <v>08/29/2020 06:17:22.691</v>
      </c>
      <c r="C1831" t="str">
        <f t="shared" si="420"/>
        <v>FFDFD3C0</v>
      </c>
      <c r="D1831" t="s">
        <v>121</v>
      </c>
      <c r="E1831">
        <v>10</v>
      </c>
      <c r="F1831">
        <v>1010</v>
      </c>
      <c r="G1831" t="s">
        <v>114</v>
      </c>
      <c r="J1831" t="s">
        <v>123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ref="S1831:S1836" si="443">"06:17:25.906"</f>
        <v>06:17:25.906</v>
      </c>
      <c r="T1831" t="str">
        <f t="shared" ref="T1831:T1836" si="444">"06:17:25.406"</f>
        <v>06:17:25.406</v>
      </c>
      <c r="U1831" t="str">
        <f t="shared" si="421"/>
        <v>A7E2E0</v>
      </c>
      <c r="V1831">
        <v>0</v>
      </c>
      <c r="W1831">
        <v>0</v>
      </c>
      <c r="X1831">
        <v>1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0</v>
      </c>
      <c r="AI1831" t="s">
        <v>1147</v>
      </c>
      <c r="AJ1831">
        <v>38.984706000000003</v>
      </c>
      <c r="AK1831" t="s">
        <v>1148</v>
      </c>
      <c r="AL1831">
        <v>-87.585753999999994</v>
      </c>
      <c r="AM1831">
        <v>100</v>
      </c>
      <c r="AN1831">
        <v>2700</v>
      </c>
      <c r="AO1831" t="s">
        <v>118</v>
      </c>
      <c r="AP1831">
        <v>-90</v>
      </c>
      <c r="AQ1831">
        <v>-119</v>
      </c>
      <c r="AR1831">
        <v>64</v>
      </c>
      <c r="AZ1831">
        <v>4552</v>
      </c>
      <c r="BA1831">
        <v>1</v>
      </c>
      <c r="BB1831" t="str">
        <f t="shared" si="422"/>
        <v xml:space="preserve">N607SR  </v>
      </c>
      <c r="BC1831">
        <v>1</v>
      </c>
      <c r="BE1831">
        <v>0</v>
      </c>
      <c r="BF1831">
        <v>0</v>
      </c>
      <c r="BG1831">
        <v>0</v>
      </c>
      <c r="BH1831">
        <v>2575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 t="shared" ref="BW1831:BW1836" si="445">"06:17:25.909"</f>
        <v>06:17:25.909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465</v>
      </c>
      <c r="CR1831">
        <v>0</v>
      </c>
      <c r="CW1831">
        <v>4722888</v>
      </c>
      <c r="CY1831">
        <v>1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si="442"/>
        <v>08/29/2020 06:17:22.691</v>
      </c>
      <c r="C1832" t="str">
        <f t="shared" si="420"/>
        <v>FFDFD3C0</v>
      </c>
      <c r="D1832" t="s">
        <v>121</v>
      </c>
      <c r="E1832">
        <v>11</v>
      </c>
      <c r="F1832">
        <v>1011</v>
      </c>
      <c r="G1832" t="s">
        <v>125</v>
      </c>
      <c r="J1832" t="s">
        <v>123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443"/>
        <v>06:17:25.906</v>
      </c>
      <c r="T1832" t="str">
        <f t="shared" si="444"/>
        <v>06:17:25.406</v>
      </c>
      <c r="U1832" t="str">
        <f t="shared" si="421"/>
        <v>A7E2E0</v>
      </c>
      <c r="V1832">
        <v>0</v>
      </c>
      <c r="W1832">
        <v>0</v>
      </c>
      <c r="X1832">
        <v>1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0</v>
      </c>
      <c r="AI1832" t="s">
        <v>1147</v>
      </c>
      <c r="AJ1832">
        <v>38.984706000000003</v>
      </c>
      <c r="AK1832" t="s">
        <v>1148</v>
      </c>
      <c r="AL1832">
        <v>-87.585753999999994</v>
      </c>
      <c r="AM1832">
        <v>100</v>
      </c>
      <c r="AN1832">
        <v>2700</v>
      </c>
      <c r="AO1832" t="s">
        <v>118</v>
      </c>
      <c r="AP1832">
        <v>-90</v>
      </c>
      <c r="AQ1832">
        <v>-119</v>
      </c>
      <c r="AR1832">
        <v>64</v>
      </c>
      <c r="AZ1832">
        <v>4552</v>
      </c>
      <c r="BA1832">
        <v>1</v>
      </c>
      <c r="BB1832" t="str">
        <f t="shared" si="422"/>
        <v xml:space="preserve">N607SR  </v>
      </c>
      <c r="BC1832">
        <v>1</v>
      </c>
      <c r="BE1832">
        <v>0</v>
      </c>
      <c r="BF1832">
        <v>0</v>
      </c>
      <c r="BG1832">
        <v>0</v>
      </c>
      <c r="BH1832">
        <v>2575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 t="shared" si="445"/>
        <v>06:17:25.909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5</v>
      </c>
      <c r="CP1832" t="s">
        <v>119</v>
      </c>
      <c r="CQ1832">
        <v>457</v>
      </c>
      <c r="CR1832">
        <v>0</v>
      </c>
      <c r="CW1832">
        <v>15518473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442"/>
        <v>08/29/2020 06:17:22.691</v>
      </c>
      <c r="C1833" t="str">
        <f t="shared" si="420"/>
        <v>FFDFD3C0</v>
      </c>
      <c r="D1833" t="s">
        <v>939</v>
      </c>
      <c r="E1833">
        <v>10</v>
      </c>
      <c r="H1833">
        <v>79</v>
      </c>
      <c r="I1833" t="s">
        <v>940</v>
      </c>
      <c r="J1833" t="s">
        <v>130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443"/>
        <v>06:17:25.906</v>
      </c>
      <c r="T1833" t="str">
        <f t="shared" si="444"/>
        <v>06:17:25.406</v>
      </c>
      <c r="U1833" t="str">
        <f t="shared" si="421"/>
        <v>A7E2E0</v>
      </c>
      <c r="V1833">
        <v>0</v>
      </c>
      <c r="W1833">
        <v>0</v>
      </c>
      <c r="X1833">
        <v>1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0</v>
      </c>
      <c r="AI1833" t="s">
        <v>1147</v>
      </c>
      <c r="AJ1833">
        <v>38.984706000000003</v>
      </c>
      <c r="AK1833" t="s">
        <v>1148</v>
      </c>
      <c r="AL1833">
        <v>-87.585753999999994</v>
      </c>
      <c r="AM1833">
        <v>100</v>
      </c>
      <c r="AN1833">
        <v>2700</v>
      </c>
      <c r="AO1833" t="s">
        <v>118</v>
      </c>
      <c r="AP1833">
        <v>-90</v>
      </c>
      <c r="AQ1833">
        <v>-119</v>
      </c>
      <c r="AR1833">
        <v>64</v>
      </c>
      <c r="AZ1833">
        <v>4552</v>
      </c>
      <c r="BA1833">
        <v>1</v>
      </c>
      <c r="BB1833" t="str">
        <f t="shared" si="422"/>
        <v xml:space="preserve">N607SR  </v>
      </c>
      <c r="BC1833">
        <v>1</v>
      </c>
      <c r="BE1833">
        <v>0</v>
      </c>
      <c r="BF1833">
        <v>0</v>
      </c>
      <c r="BG1833">
        <v>0</v>
      </c>
      <c r="BH1833">
        <v>2575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 t="shared" si="445"/>
        <v>06:17:25.909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465</v>
      </c>
      <c r="CR1833">
        <v>0</v>
      </c>
      <c r="CW1833">
        <v>4722888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442"/>
        <v>08/29/2020 06:17:22.691</v>
      </c>
      <c r="C1834" t="str">
        <f t="shared" si="420"/>
        <v>FFDFD3C0</v>
      </c>
      <c r="D1834" t="s">
        <v>113</v>
      </c>
      <c r="E1834">
        <v>5</v>
      </c>
      <c r="H1834">
        <v>163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443"/>
        <v>06:17:25.906</v>
      </c>
      <c r="T1834" t="str">
        <f t="shared" si="444"/>
        <v>06:17:25.406</v>
      </c>
      <c r="U1834" t="str">
        <f t="shared" si="421"/>
        <v>A7E2E0</v>
      </c>
      <c r="V1834">
        <v>0</v>
      </c>
      <c r="W1834">
        <v>0</v>
      </c>
      <c r="X1834">
        <v>1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0</v>
      </c>
      <c r="AI1834" t="s">
        <v>1147</v>
      </c>
      <c r="AJ1834">
        <v>38.984706000000003</v>
      </c>
      <c r="AK1834" t="s">
        <v>1148</v>
      </c>
      <c r="AL1834">
        <v>-87.585753999999994</v>
      </c>
      <c r="AM1834">
        <v>100</v>
      </c>
      <c r="AN1834">
        <v>2700</v>
      </c>
      <c r="AO1834" t="s">
        <v>118</v>
      </c>
      <c r="AP1834">
        <v>-90</v>
      </c>
      <c r="AQ1834">
        <v>-119</v>
      </c>
      <c r="AR1834">
        <v>64</v>
      </c>
      <c r="AZ1834">
        <v>4552</v>
      </c>
      <c r="BA1834">
        <v>1</v>
      </c>
      <c r="BB1834" t="str">
        <f t="shared" si="422"/>
        <v xml:space="preserve">N607SR  </v>
      </c>
      <c r="BC1834">
        <v>1</v>
      </c>
      <c r="BE1834">
        <v>0</v>
      </c>
      <c r="BF1834">
        <v>0</v>
      </c>
      <c r="BG1834">
        <v>0</v>
      </c>
      <c r="BH1834">
        <v>2575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 t="shared" si="445"/>
        <v>06:17:25.909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465</v>
      </c>
      <c r="CR1834">
        <v>0</v>
      </c>
      <c r="CW1834">
        <v>4722888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 t="shared" si="442"/>
        <v>08/29/2020 06:17:22.691</v>
      </c>
      <c r="C1835" t="str">
        <f t="shared" si="420"/>
        <v>FFDFD3C0</v>
      </c>
      <c r="D1835" t="s">
        <v>121</v>
      </c>
      <c r="E1835">
        <v>13</v>
      </c>
      <c r="F1835">
        <v>1013</v>
      </c>
      <c r="G1835" t="s">
        <v>122</v>
      </c>
      <c r="J1835" t="s">
        <v>123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443"/>
        <v>06:17:25.906</v>
      </c>
      <c r="T1835" t="str">
        <f t="shared" si="444"/>
        <v>06:17:25.406</v>
      </c>
      <c r="U1835" t="str">
        <f t="shared" si="421"/>
        <v>A7E2E0</v>
      </c>
      <c r="V1835">
        <v>0</v>
      </c>
      <c r="W1835">
        <v>0</v>
      </c>
      <c r="X1835">
        <v>1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0</v>
      </c>
      <c r="AI1835" t="s">
        <v>1147</v>
      </c>
      <c r="AJ1835">
        <v>38.984706000000003</v>
      </c>
      <c r="AK1835" t="s">
        <v>1148</v>
      </c>
      <c r="AL1835">
        <v>-87.585753999999994</v>
      </c>
      <c r="AM1835">
        <v>100</v>
      </c>
      <c r="AN1835">
        <v>2700</v>
      </c>
      <c r="AO1835" t="s">
        <v>118</v>
      </c>
      <c r="AP1835">
        <v>-90</v>
      </c>
      <c r="AQ1835">
        <v>-119</v>
      </c>
      <c r="AR1835">
        <v>64</v>
      </c>
      <c r="AZ1835">
        <v>4552</v>
      </c>
      <c r="BA1835">
        <v>1</v>
      </c>
      <c r="BB1835" t="str">
        <f t="shared" si="422"/>
        <v xml:space="preserve">N607SR  </v>
      </c>
      <c r="BC1835">
        <v>1</v>
      </c>
      <c r="BE1835">
        <v>0</v>
      </c>
      <c r="BF1835">
        <v>0</v>
      </c>
      <c r="BG1835">
        <v>0</v>
      </c>
      <c r="BH1835">
        <v>2575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 t="shared" si="445"/>
        <v>06:17:25.909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465</v>
      </c>
      <c r="CR1835">
        <v>0</v>
      </c>
      <c r="CW1835">
        <v>4722888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 t="shared" si="442"/>
        <v>08/29/2020 06:17:22.691</v>
      </c>
      <c r="C1836" t="str">
        <f t="shared" si="420"/>
        <v>FFDFD3C0</v>
      </c>
      <c r="D1836" t="s">
        <v>128</v>
      </c>
      <c r="E1836">
        <v>5</v>
      </c>
      <c r="H1836">
        <v>241</v>
      </c>
      <c r="I1836" t="s">
        <v>129</v>
      </c>
      <c r="J1836" t="s">
        <v>130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443"/>
        <v>06:17:25.906</v>
      </c>
      <c r="T1836" t="str">
        <f t="shared" si="444"/>
        <v>06:17:25.406</v>
      </c>
      <c r="U1836" t="str">
        <f t="shared" si="421"/>
        <v>A7E2E0</v>
      </c>
      <c r="V1836">
        <v>0</v>
      </c>
      <c r="W1836">
        <v>0</v>
      </c>
      <c r="X1836">
        <v>1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0</v>
      </c>
      <c r="AI1836" t="s">
        <v>1147</v>
      </c>
      <c r="AJ1836">
        <v>38.984706000000003</v>
      </c>
      <c r="AK1836" t="s">
        <v>1148</v>
      </c>
      <c r="AL1836">
        <v>-87.585753999999994</v>
      </c>
      <c r="AM1836">
        <v>100</v>
      </c>
      <c r="AN1836">
        <v>2700</v>
      </c>
      <c r="AO1836" t="s">
        <v>118</v>
      </c>
      <c r="AP1836">
        <v>-90</v>
      </c>
      <c r="AQ1836">
        <v>-119</v>
      </c>
      <c r="AR1836">
        <v>64</v>
      </c>
      <c r="AZ1836">
        <v>4552</v>
      </c>
      <c r="BA1836">
        <v>1</v>
      </c>
      <c r="BB1836" t="str">
        <f t="shared" si="422"/>
        <v xml:space="preserve">N607SR  </v>
      </c>
      <c r="BC1836">
        <v>1</v>
      </c>
      <c r="BE1836">
        <v>0</v>
      </c>
      <c r="BF1836">
        <v>0</v>
      </c>
      <c r="BG1836">
        <v>0</v>
      </c>
      <c r="BH1836">
        <v>2575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 t="shared" si="445"/>
        <v>06:17:25.909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465</v>
      </c>
      <c r="CR1836">
        <v>0</v>
      </c>
      <c r="CW1836">
        <v>4722888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 t="shared" ref="A1837:A1842" si="446">"08/29/2020 06:17:23.600"</f>
        <v>08/29/2020 06:17:23.600</v>
      </c>
      <c r="C1837" t="str">
        <f t="shared" si="420"/>
        <v>FFDFD3C0</v>
      </c>
      <c r="D1837" t="s">
        <v>121</v>
      </c>
      <c r="E1837">
        <v>10</v>
      </c>
      <c r="F1837">
        <v>1010</v>
      </c>
      <c r="G1837" t="s">
        <v>114</v>
      </c>
      <c r="J1837" t="s">
        <v>123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ref="S1837:S1842" si="447">"06:17:26.820"</f>
        <v>06:17:26.820</v>
      </c>
      <c r="T1837" t="str">
        <f t="shared" ref="T1837:T1842" si="448">"06:17:26.420"</f>
        <v>06:17:26.420</v>
      </c>
      <c r="U1837" t="str">
        <f t="shared" si="421"/>
        <v>A7E2E0</v>
      </c>
      <c r="V1837">
        <v>0</v>
      </c>
      <c r="W1837">
        <v>0</v>
      </c>
      <c r="X1837">
        <v>1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0</v>
      </c>
      <c r="AI1837" t="s">
        <v>1149</v>
      </c>
      <c r="AJ1837">
        <v>38.984191000000003</v>
      </c>
      <c r="AK1837" t="s">
        <v>1150</v>
      </c>
      <c r="AL1837">
        <v>-87.586184000000003</v>
      </c>
      <c r="AM1837">
        <v>100</v>
      </c>
      <c r="AN1837">
        <v>2700</v>
      </c>
      <c r="AO1837" t="s">
        <v>118</v>
      </c>
      <c r="AP1837">
        <v>-89</v>
      </c>
      <c r="AQ1837">
        <v>-119</v>
      </c>
      <c r="AR1837">
        <v>128</v>
      </c>
      <c r="AZ1837">
        <v>4552</v>
      </c>
      <c r="BA1837">
        <v>1</v>
      </c>
      <c r="BB1837" t="str">
        <f t="shared" si="422"/>
        <v xml:space="preserve">N607SR  </v>
      </c>
      <c r="BC1837">
        <v>1</v>
      </c>
      <c r="BE1837">
        <v>0</v>
      </c>
      <c r="BF1837">
        <v>0</v>
      </c>
      <c r="BG1837">
        <v>0</v>
      </c>
      <c r="BH1837">
        <v>2575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 t="shared" ref="BW1837:BW1842" si="449">"06:17:26.826"</f>
        <v>06:17:26.826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6</v>
      </c>
      <c r="CP1837" t="s">
        <v>119</v>
      </c>
      <c r="CQ1837">
        <v>465</v>
      </c>
      <c r="CR1837">
        <v>0</v>
      </c>
      <c r="CW1837">
        <v>4722917</v>
      </c>
      <c r="CY1837">
        <v>1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 t="shared" si="446"/>
        <v>08/29/2020 06:17:23.600</v>
      </c>
      <c r="C1838" t="str">
        <f t="shared" si="420"/>
        <v>FFDFD3C0</v>
      </c>
      <c r="D1838" t="s">
        <v>939</v>
      </c>
      <c r="E1838">
        <v>10</v>
      </c>
      <c r="H1838">
        <v>79</v>
      </c>
      <c r="I1838" t="s">
        <v>940</v>
      </c>
      <c r="J1838" t="s">
        <v>130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447"/>
        <v>06:17:26.820</v>
      </c>
      <c r="T1838" t="str">
        <f t="shared" si="448"/>
        <v>06:17:26.420</v>
      </c>
      <c r="U1838" t="str">
        <f t="shared" si="421"/>
        <v>A7E2E0</v>
      </c>
      <c r="V1838">
        <v>0</v>
      </c>
      <c r="W1838">
        <v>0</v>
      </c>
      <c r="X1838">
        <v>1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0</v>
      </c>
      <c r="AI1838" t="s">
        <v>1149</v>
      </c>
      <c r="AJ1838">
        <v>38.984191000000003</v>
      </c>
      <c r="AK1838" t="s">
        <v>1150</v>
      </c>
      <c r="AL1838">
        <v>-87.586184000000003</v>
      </c>
      <c r="AM1838">
        <v>100</v>
      </c>
      <c r="AN1838">
        <v>2700</v>
      </c>
      <c r="AO1838" t="s">
        <v>118</v>
      </c>
      <c r="AP1838">
        <v>-89</v>
      </c>
      <c r="AQ1838">
        <v>-119</v>
      </c>
      <c r="AR1838">
        <v>128</v>
      </c>
      <c r="AZ1838">
        <v>4552</v>
      </c>
      <c r="BA1838">
        <v>1</v>
      </c>
      <c r="BB1838" t="str">
        <f t="shared" si="422"/>
        <v xml:space="preserve">N607SR  </v>
      </c>
      <c r="BC1838">
        <v>1</v>
      </c>
      <c r="BE1838">
        <v>0</v>
      </c>
      <c r="BF1838">
        <v>0</v>
      </c>
      <c r="BG1838">
        <v>0</v>
      </c>
      <c r="BH1838">
        <v>2575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 t="shared" si="449"/>
        <v>06:17:26.826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465</v>
      </c>
      <c r="CR1838">
        <v>0</v>
      </c>
      <c r="CW1838">
        <v>4722917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 t="shared" si="446"/>
        <v>08/29/2020 06:17:23.600</v>
      </c>
      <c r="C1839" t="str">
        <f t="shared" si="420"/>
        <v>FFDFD3C0</v>
      </c>
      <c r="D1839" t="s">
        <v>121</v>
      </c>
      <c r="E1839">
        <v>11</v>
      </c>
      <c r="F1839">
        <v>1011</v>
      </c>
      <c r="G1839" t="s">
        <v>125</v>
      </c>
      <c r="J1839" t="s">
        <v>123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447"/>
        <v>06:17:26.820</v>
      </c>
      <c r="T1839" t="str">
        <f t="shared" si="448"/>
        <v>06:17:26.420</v>
      </c>
      <c r="U1839" t="str">
        <f t="shared" si="421"/>
        <v>A7E2E0</v>
      </c>
      <c r="V1839">
        <v>0</v>
      </c>
      <c r="W1839">
        <v>0</v>
      </c>
      <c r="X1839">
        <v>1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0</v>
      </c>
      <c r="AI1839" t="s">
        <v>1149</v>
      </c>
      <c r="AJ1839">
        <v>38.984191000000003</v>
      </c>
      <c r="AK1839" t="s">
        <v>1150</v>
      </c>
      <c r="AL1839">
        <v>-87.586184000000003</v>
      </c>
      <c r="AM1839">
        <v>100</v>
      </c>
      <c r="AN1839">
        <v>2700</v>
      </c>
      <c r="AO1839" t="s">
        <v>118</v>
      </c>
      <c r="AP1839">
        <v>-89</v>
      </c>
      <c r="AQ1839">
        <v>-119</v>
      </c>
      <c r="AR1839">
        <v>128</v>
      </c>
      <c r="AZ1839">
        <v>4552</v>
      </c>
      <c r="BA1839">
        <v>1</v>
      </c>
      <c r="BB1839" t="str">
        <f t="shared" si="422"/>
        <v xml:space="preserve">N607SR  </v>
      </c>
      <c r="BC1839">
        <v>1</v>
      </c>
      <c r="BE1839">
        <v>0</v>
      </c>
      <c r="BF1839">
        <v>0</v>
      </c>
      <c r="BG1839">
        <v>0</v>
      </c>
      <c r="BH1839">
        <v>2575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 t="shared" si="449"/>
        <v>06:17:26.826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5</v>
      </c>
      <c r="CP1839" t="s">
        <v>119</v>
      </c>
      <c r="CQ1839">
        <v>457</v>
      </c>
      <c r="CR1839">
        <v>0</v>
      </c>
      <c r="CW1839">
        <v>15518495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 t="shared" si="446"/>
        <v>08/29/2020 06:17:23.600</v>
      </c>
      <c r="C1840" t="str">
        <f t="shared" si="420"/>
        <v>FFDFD3C0</v>
      </c>
      <c r="D1840" t="s">
        <v>113</v>
      </c>
      <c r="E1840">
        <v>5</v>
      </c>
      <c r="H1840">
        <v>163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447"/>
        <v>06:17:26.820</v>
      </c>
      <c r="T1840" t="str">
        <f t="shared" si="448"/>
        <v>06:17:26.420</v>
      </c>
      <c r="U1840" t="str">
        <f t="shared" si="421"/>
        <v>A7E2E0</v>
      </c>
      <c r="V1840">
        <v>0</v>
      </c>
      <c r="W1840">
        <v>0</v>
      </c>
      <c r="X1840">
        <v>1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0</v>
      </c>
      <c r="AI1840" t="s">
        <v>1149</v>
      </c>
      <c r="AJ1840">
        <v>38.984191000000003</v>
      </c>
      <c r="AK1840" t="s">
        <v>1150</v>
      </c>
      <c r="AL1840">
        <v>-87.586184000000003</v>
      </c>
      <c r="AM1840">
        <v>100</v>
      </c>
      <c r="AN1840">
        <v>2700</v>
      </c>
      <c r="AO1840" t="s">
        <v>118</v>
      </c>
      <c r="AP1840">
        <v>-89</v>
      </c>
      <c r="AQ1840">
        <v>-119</v>
      </c>
      <c r="AR1840">
        <v>128</v>
      </c>
      <c r="AZ1840">
        <v>4552</v>
      </c>
      <c r="BA1840">
        <v>1</v>
      </c>
      <c r="BB1840" t="str">
        <f t="shared" si="422"/>
        <v xml:space="preserve">N607SR  </v>
      </c>
      <c r="BC1840">
        <v>1</v>
      </c>
      <c r="BE1840">
        <v>0</v>
      </c>
      <c r="BF1840">
        <v>0</v>
      </c>
      <c r="BG1840">
        <v>0</v>
      </c>
      <c r="BH1840">
        <v>2575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 t="shared" si="449"/>
        <v>06:17:26.826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465</v>
      </c>
      <c r="CR1840">
        <v>0</v>
      </c>
      <c r="CW1840">
        <v>4722917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 t="shared" si="446"/>
        <v>08/29/2020 06:17:23.600</v>
      </c>
      <c r="C1841" t="str">
        <f t="shared" si="420"/>
        <v>FFDFD3C0</v>
      </c>
      <c r="D1841" t="s">
        <v>121</v>
      </c>
      <c r="E1841">
        <v>13</v>
      </c>
      <c r="F1841">
        <v>1013</v>
      </c>
      <c r="G1841" t="s">
        <v>122</v>
      </c>
      <c r="J1841" t="s">
        <v>123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447"/>
        <v>06:17:26.820</v>
      </c>
      <c r="T1841" t="str">
        <f t="shared" si="448"/>
        <v>06:17:26.420</v>
      </c>
      <c r="U1841" t="str">
        <f t="shared" si="421"/>
        <v>A7E2E0</v>
      </c>
      <c r="V1841">
        <v>0</v>
      </c>
      <c r="W1841">
        <v>0</v>
      </c>
      <c r="X1841">
        <v>1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0</v>
      </c>
      <c r="AI1841" t="s">
        <v>1149</v>
      </c>
      <c r="AJ1841">
        <v>38.984191000000003</v>
      </c>
      <c r="AK1841" t="s">
        <v>1150</v>
      </c>
      <c r="AL1841">
        <v>-87.586184000000003</v>
      </c>
      <c r="AM1841">
        <v>100</v>
      </c>
      <c r="AN1841">
        <v>2700</v>
      </c>
      <c r="AO1841" t="s">
        <v>118</v>
      </c>
      <c r="AP1841">
        <v>-89</v>
      </c>
      <c r="AQ1841">
        <v>-119</v>
      </c>
      <c r="AR1841">
        <v>128</v>
      </c>
      <c r="AZ1841">
        <v>4552</v>
      </c>
      <c r="BA1841">
        <v>1</v>
      </c>
      <c r="BB1841" t="str">
        <f t="shared" si="422"/>
        <v xml:space="preserve">N607SR  </v>
      </c>
      <c r="BC1841">
        <v>1</v>
      </c>
      <c r="BE1841">
        <v>0</v>
      </c>
      <c r="BF1841">
        <v>0</v>
      </c>
      <c r="BG1841">
        <v>0</v>
      </c>
      <c r="BH1841">
        <v>2575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 t="shared" si="449"/>
        <v>06:17:26.826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465</v>
      </c>
      <c r="CR1841">
        <v>0</v>
      </c>
      <c r="CW1841">
        <v>4722917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si="446"/>
        <v>08/29/2020 06:17:23.600</v>
      </c>
      <c r="C1842" t="str">
        <f t="shared" si="420"/>
        <v>FFDFD3C0</v>
      </c>
      <c r="D1842" t="s">
        <v>128</v>
      </c>
      <c r="E1842">
        <v>5</v>
      </c>
      <c r="H1842">
        <v>241</v>
      </c>
      <c r="I1842" t="s">
        <v>129</v>
      </c>
      <c r="J1842" t="s">
        <v>130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447"/>
        <v>06:17:26.820</v>
      </c>
      <c r="T1842" t="str">
        <f t="shared" si="448"/>
        <v>06:17:26.420</v>
      </c>
      <c r="U1842" t="str">
        <f t="shared" si="421"/>
        <v>A7E2E0</v>
      </c>
      <c r="V1842">
        <v>0</v>
      </c>
      <c r="W1842">
        <v>0</v>
      </c>
      <c r="X1842">
        <v>1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0</v>
      </c>
      <c r="AI1842" t="s">
        <v>1149</v>
      </c>
      <c r="AJ1842">
        <v>38.984191000000003</v>
      </c>
      <c r="AK1842" t="s">
        <v>1150</v>
      </c>
      <c r="AL1842">
        <v>-87.586184000000003</v>
      </c>
      <c r="AM1842">
        <v>100</v>
      </c>
      <c r="AN1842">
        <v>2700</v>
      </c>
      <c r="AO1842" t="s">
        <v>118</v>
      </c>
      <c r="AP1842">
        <v>-89</v>
      </c>
      <c r="AQ1842">
        <v>-119</v>
      </c>
      <c r="AR1842">
        <v>128</v>
      </c>
      <c r="AZ1842">
        <v>4552</v>
      </c>
      <c r="BA1842">
        <v>1</v>
      </c>
      <c r="BB1842" t="str">
        <f t="shared" si="422"/>
        <v xml:space="preserve">N607SR  </v>
      </c>
      <c r="BC1842">
        <v>1</v>
      </c>
      <c r="BE1842">
        <v>0</v>
      </c>
      <c r="BF1842">
        <v>0</v>
      </c>
      <c r="BG1842">
        <v>0</v>
      </c>
      <c r="BH1842">
        <v>2575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 t="shared" si="449"/>
        <v>06:17:26.826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465</v>
      </c>
      <c r="CR1842">
        <v>0</v>
      </c>
      <c r="CW1842">
        <v>4722917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ref="A1843:A1848" si="450">"08/29/2020 06:17:24.744"</f>
        <v>08/29/2020 06:17:24.744</v>
      </c>
      <c r="C1843" t="str">
        <f t="shared" si="420"/>
        <v>FFDFD3C0</v>
      </c>
      <c r="D1843" t="s">
        <v>128</v>
      </c>
      <c r="E1843">
        <v>5</v>
      </c>
      <c r="H1843">
        <v>241</v>
      </c>
      <c r="I1843" t="s">
        <v>129</v>
      </c>
      <c r="J1843" t="s">
        <v>130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S1848" si="451">"06:17:27.969"</f>
        <v>06:17:27.969</v>
      </c>
      <c r="T1843" t="str">
        <f t="shared" ref="T1843:T1848" si="452">"06:17:27.469"</f>
        <v>06:17:27.469</v>
      </c>
      <c r="U1843" t="str">
        <f t="shared" si="421"/>
        <v>A7E2E0</v>
      </c>
      <c r="V1843">
        <v>0</v>
      </c>
      <c r="W1843">
        <v>0</v>
      </c>
      <c r="X1843">
        <v>1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0</v>
      </c>
      <c r="AI1843" t="s">
        <v>1151</v>
      </c>
      <c r="AJ1843">
        <v>38.983612000000001</v>
      </c>
      <c r="AK1843" t="s">
        <v>1152</v>
      </c>
      <c r="AL1843">
        <v>-87.586763000000005</v>
      </c>
      <c r="AM1843">
        <v>100</v>
      </c>
      <c r="AN1843">
        <v>2700</v>
      </c>
      <c r="AO1843" t="s">
        <v>118</v>
      </c>
      <c r="AP1843">
        <v>-89</v>
      </c>
      <c r="AQ1843">
        <v>-119</v>
      </c>
      <c r="AR1843">
        <v>128</v>
      </c>
      <c r="AZ1843">
        <v>4552</v>
      </c>
      <c r="BA1843">
        <v>1</v>
      </c>
      <c r="BB1843" t="str">
        <f t="shared" si="422"/>
        <v xml:space="preserve">N607SR  </v>
      </c>
      <c r="BC1843">
        <v>1</v>
      </c>
      <c r="BE1843">
        <v>0</v>
      </c>
      <c r="BF1843">
        <v>0</v>
      </c>
      <c r="BG1843">
        <v>0</v>
      </c>
      <c r="BH1843">
        <v>2575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 t="shared" ref="BW1843:BW1848" si="453">"06:17:27.970"</f>
        <v>06:17:27.970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465</v>
      </c>
      <c r="CR1843">
        <v>0</v>
      </c>
      <c r="CW1843">
        <v>4722954</v>
      </c>
      <c r="CY1843">
        <v>1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450"/>
        <v>08/29/2020 06:17:24.744</v>
      </c>
      <c r="C1844" t="str">
        <f t="shared" si="420"/>
        <v>FFDFD3C0</v>
      </c>
      <c r="D1844" t="s">
        <v>939</v>
      </c>
      <c r="E1844">
        <v>10</v>
      </c>
      <c r="H1844">
        <v>79</v>
      </c>
      <c r="I1844" t="s">
        <v>940</v>
      </c>
      <c r="J1844" t="s">
        <v>130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451"/>
        <v>06:17:27.969</v>
      </c>
      <c r="T1844" t="str">
        <f t="shared" si="452"/>
        <v>06:17:27.469</v>
      </c>
      <c r="U1844" t="str">
        <f t="shared" si="421"/>
        <v>A7E2E0</v>
      </c>
      <c r="V1844">
        <v>0</v>
      </c>
      <c r="W1844">
        <v>0</v>
      </c>
      <c r="X1844">
        <v>1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0</v>
      </c>
      <c r="AI1844" t="s">
        <v>1151</v>
      </c>
      <c r="AJ1844">
        <v>38.983612000000001</v>
      </c>
      <c r="AK1844" t="s">
        <v>1152</v>
      </c>
      <c r="AL1844">
        <v>-87.586763000000005</v>
      </c>
      <c r="AM1844">
        <v>100</v>
      </c>
      <c r="AN1844">
        <v>2700</v>
      </c>
      <c r="AO1844" t="s">
        <v>118</v>
      </c>
      <c r="AP1844">
        <v>-89</v>
      </c>
      <c r="AQ1844">
        <v>-119</v>
      </c>
      <c r="AR1844">
        <v>128</v>
      </c>
      <c r="AZ1844">
        <v>4552</v>
      </c>
      <c r="BA1844">
        <v>1</v>
      </c>
      <c r="BB1844" t="str">
        <f t="shared" si="422"/>
        <v xml:space="preserve">N607SR  </v>
      </c>
      <c r="BC1844">
        <v>1</v>
      </c>
      <c r="BE1844">
        <v>0</v>
      </c>
      <c r="BF1844">
        <v>0</v>
      </c>
      <c r="BG1844">
        <v>0</v>
      </c>
      <c r="BH1844">
        <v>2575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 t="shared" si="453"/>
        <v>06:17:27.970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465</v>
      </c>
      <c r="CR1844">
        <v>0</v>
      </c>
      <c r="CW1844">
        <v>4722954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si="450"/>
        <v>08/29/2020 06:17:24.744</v>
      </c>
      <c r="C1845" t="str">
        <f t="shared" si="420"/>
        <v>FFDFD3C0</v>
      </c>
      <c r="D1845" t="s">
        <v>121</v>
      </c>
      <c r="E1845">
        <v>10</v>
      </c>
      <c r="F1845">
        <v>1010</v>
      </c>
      <c r="G1845" t="s">
        <v>114</v>
      </c>
      <c r="J1845" t="s">
        <v>123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451"/>
        <v>06:17:27.969</v>
      </c>
      <c r="T1845" t="str">
        <f t="shared" si="452"/>
        <v>06:17:27.469</v>
      </c>
      <c r="U1845" t="str">
        <f t="shared" si="421"/>
        <v>A7E2E0</v>
      </c>
      <c r="V1845">
        <v>0</v>
      </c>
      <c r="W1845">
        <v>0</v>
      </c>
      <c r="X1845">
        <v>1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0</v>
      </c>
      <c r="AI1845" t="s">
        <v>1151</v>
      </c>
      <c r="AJ1845">
        <v>38.983612000000001</v>
      </c>
      <c r="AK1845" t="s">
        <v>1152</v>
      </c>
      <c r="AL1845">
        <v>-87.586763000000005</v>
      </c>
      <c r="AM1845">
        <v>100</v>
      </c>
      <c r="AN1845">
        <v>2700</v>
      </c>
      <c r="AO1845" t="s">
        <v>118</v>
      </c>
      <c r="AP1845">
        <v>-89</v>
      </c>
      <c r="AQ1845">
        <v>-119</v>
      </c>
      <c r="AR1845">
        <v>128</v>
      </c>
      <c r="AZ1845">
        <v>4552</v>
      </c>
      <c r="BA1845">
        <v>1</v>
      </c>
      <c r="BB1845" t="str">
        <f t="shared" si="422"/>
        <v xml:space="preserve">N607SR  </v>
      </c>
      <c r="BC1845">
        <v>1</v>
      </c>
      <c r="BE1845">
        <v>0</v>
      </c>
      <c r="BF1845">
        <v>0</v>
      </c>
      <c r="BG1845">
        <v>0</v>
      </c>
      <c r="BH1845">
        <v>2575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 t="shared" si="453"/>
        <v>06:17:27.970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465</v>
      </c>
      <c r="CR1845">
        <v>0</v>
      </c>
      <c r="CW1845">
        <v>4722954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si="450"/>
        <v>08/29/2020 06:17:24.744</v>
      </c>
      <c r="C1846" t="str">
        <f t="shared" si="420"/>
        <v>FFDFD3C0</v>
      </c>
      <c r="D1846" t="s">
        <v>121</v>
      </c>
      <c r="E1846">
        <v>11</v>
      </c>
      <c r="F1846">
        <v>1011</v>
      </c>
      <c r="G1846" t="s">
        <v>125</v>
      </c>
      <c r="J1846" t="s">
        <v>123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451"/>
        <v>06:17:27.969</v>
      </c>
      <c r="T1846" t="str">
        <f t="shared" si="452"/>
        <v>06:17:27.469</v>
      </c>
      <c r="U1846" t="str">
        <f t="shared" si="421"/>
        <v>A7E2E0</v>
      </c>
      <c r="V1846">
        <v>0</v>
      </c>
      <c r="W1846">
        <v>0</v>
      </c>
      <c r="X1846">
        <v>1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0</v>
      </c>
      <c r="AI1846" t="s">
        <v>1151</v>
      </c>
      <c r="AJ1846">
        <v>38.983612000000001</v>
      </c>
      <c r="AK1846" t="s">
        <v>1152</v>
      </c>
      <c r="AL1846">
        <v>-87.586763000000005</v>
      </c>
      <c r="AM1846">
        <v>100</v>
      </c>
      <c r="AN1846">
        <v>2700</v>
      </c>
      <c r="AO1846" t="s">
        <v>118</v>
      </c>
      <c r="AP1846">
        <v>-89</v>
      </c>
      <c r="AQ1846">
        <v>-119</v>
      </c>
      <c r="AR1846">
        <v>128</v>
      </c>
      <c r="AZ1846">
        <v>4552</v>
      </c>
      <c r="BA1846">
        <v>1</v>
      </c>
      <c r="BB1846" t="str">
        <f t="shared" si="422"/>
        <v xml:space="preserve">N607SR  </v>
      </c>
      <c r="BC1846">
        <v>1</v>
      </c>
      <c r="BE1846">
        <v>0</v>
      </c>
      <c r="BF1846">
        <v>0</v>
      </c>
      <c r="BG1846">
        <v>0</v>
      </c>
      <c r="BH1846">
        <v>2575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 t="shared" si="453"/>
        <v>06:17:27.970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5</v>
      </c>
      <c r="CP1846" t="s">
        <v>119</v>
      </c>
      <c r="CQ1846">
        <v>457</v>
      </c>
      <c r="CR1846">
        <v>0</v>
      </c>
      <c r="CW1846">
        <v>15518521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si="450"/>
        <v>08/29/2020 06:17:24.744</v>
      </c>
      <c r="C1847" t="str">
        <f t="shared" si="420"/>
        <v>FFDFD3C0</v>
      </c>
      <c r="D1847" t="s">
        <v>113</v>
      </c>
      <c r="E1847">
        <v>5</v>
      </c>
      <c r="H1847">
        <v>163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451"/>
        <v>06:17:27.969</v>
      </c>
      <c r="T1847" t="str">
        <f t="shared" si="452"/>
        <v>06:17:27.469</v>
      </c>
      <c r="U1847" t="str">
        <f t="shared" si="421"/>
        <v>A7E2E0</v>
      </c>
      <c r="V1847">
        <v>0</v>
      </c>
      <c r="W1847">
        <v>0</v>
      </c>
      <c r="X1847">
        <v>1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0</v>
      </c>
      <c r="AI1847" t="s">
        <v>1151</v>
      </c>
      <c r="AJ1847">
        <v>38.983612000000001</v>
      </c>
      <c r="AK1847" t="s">
        <v>1152</v>
      </c>
      <c r="AL1847">
        <v>-87.586763000000005</v>
      </c>
      <c r="AM1847">
        <v>100</v>
      </c>
      <c r="AN1847">
        <v>2700</v>
      </c>
      <c r="AO1847" t="s">
        <v>118</v>
      </c>
      <c r="AP1847">
        <v>-89</v>
      </c>
      <c r="AQ1847">
        <v>-119</v>
      </c>
      <c r="AR1847">
        <v>128</v>
      </c>
      <c r="AZ1847">
        <v>4552</v>
      </c>
      <c r="BA1847">
        <v>1</v>
      </c>
      <c r="BB1847" t="str">
        <f t="shared" si="422"/>
        <v xml:space="preserve">N607SR  </v>
      </c>
      <c r="BC1847">
        <v>1</v>
      </c>
      <c r="BE1847">
        <v>0</v>
      </c>
      <c r="BF1847">
        <v>0</v>
      </c>
      <c r="BG1847">
        <v>0</v>
      </c>
      <c r="BH1847">
        <v>2575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 t="shared" si="453"/>
        <v>06:17:27.970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465</v>
      </c>
      <c r="CR1847">
        <v>0</v>
      </c>
      <c r="CW1847">
        <v>4722954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450"/>
        <v>08/29/2020 06:17:24.744</v>
      </c>
      <c r="C1848" t="str">
        <f t="shared" si="420"/>
        <v>FFDFD3C0</v>
      </c>
      <c r="D1848" t="s">
        <v>121</v>
      </c>
      <c r="E1848">
        <v>13</v>
      </c>
      <c r="F1848">
        <v>1013</v>
      </c>
      <c r="G1848" t="s">
        <v>122</v>
      </c>
      <c r="J1848" t="s">
        <v>123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451"/>
        <v>06:17:27.969</v>
      </c>
      <c r="T1848" t="str">
        <f t="shared" si="452"/>
        <v>06:17:27.469</v>
      </c>
      <c r="U1848" t="str">
        <f t="shared" si="421"/>
        <v>A7E2E0</v>
      </c>
      <c r="V1848">
        <v>0</v>
      </c>
      <c r="W1848">
        <v>0</v>
      </c>
      <c r="X1848">
        <v>1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0</v>
      </c>
      <c r="AI1848" t="s">
        <v>1151</v>
      </c>
      <c r="AJ1848">
        <v>38.983612000000001</v>
      </c>
      <c r="AK1848" t="s">
        <v>1152</v>
      </c>
      <c r="AL1848">
        <v>-87.586763000000005</v>
      </c>
      <c r="AM1848">
        <v>100</v>
      </c>
      <c r="AN1848">
        <v>2700</v>
      </c>
      <c r="AO1848" t="s">
        <v>118</v>
      </c>
      <c r="AP1848">
        <v>-89</v>
      </c>
      <c r="AQ1848">
        <v>-119</v>
      </c>
      <c r="AR1848">
        <v>128</v>
      </c>
      <c r="AZ1848">
        <v>4552</v>
      </c>
      <c r="BA1848">
        <v>1</v>
      </c>
      <c r="BB1848" t="str">
        <f t="shared" si="422"/>
        <v xml:space="preserve">N607SR  </v>
      </c>
      <c r="BC1848">
        <v>1</v>
      </c>
      <c r="BE1848">
        <v>0</v>
      </c>
      <c r="BF1848">
        <v>0</v>
      </c>
      <c r="BG1848">
        <v>0</v>
      </c>
      <c r="BH1848">
        <v>2575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 t="shared" si="453"/>
        <v>06:17:27.970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465</v>
      </c>
      <c r="CR1848">
        <v>0</v>
      </c>
      <c r="CW1848">
        <v>4722954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 t="shared" ref="A1849:A1854" si="454">"08/29/2020 06:17:25.793"</f>
        <v>08/29/2020 06:17:25.793</v>
      </c>
      <c r="C1849" t="str">
        <f t="shared" si="420"/>
        <v>FFDFD3C0</v>
      </c>
      <c r="D1849" t="s">
        <v>113</v>
      </c>
      <c r="E1849">
        <v>5</v>
      </c>
      <c r="H1849">
        <v>163</v>
      </c>
      <c r="I1849" t="s">
        <v>114</v>
      </c>
      <c r="J1849" t="s">
        <v>115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ref="S1849:S1854" si="455">"06:17:29.000"</f>
        <v>06:17:29.000</v>
      </c>
      <c r="T1849" t="str">
        <f t="shared" ref="T1849:T1854" si="456">"06:17:28.500"</f>
        <v>06:17:28.500</v>
      </c>
      <c r="U1849" t="str">
        <f t="shared" si="421"/>
        <v>A7E2E0</v>
      </c>
      <c r="V1849">
        <v>0</v>
      </c>
      <c r="W1849">
        <v>0</v>
      </c>
      <c r="X1849">
        <v>1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0</v>
      </c>
      <c r="AI1849" t="s">
        <v>1153</v>
      </c>
      <c r="AJ1849">
        <v>38.983054000000003</v>
      </c>
      <c r="AK1849" t="s">
        <v>1154</v>
      </c>
      <c r="AL1849">
        <v>-87.587299000000002</v>
      </c>
      <c r="AM1849">
        <v>100</v>
      </c>
      <c r="AN1849">
        <v>2800</v>
      </c>
      <c r="AO1849" t="s">
        <v>118</v>
      </c>
      <c r="AP1849">
        <v>-89</v>
      </c>
      <c r="AQ1849">
        <v>-118</v>
      </c>
      <c r="AR1849">
        <v>192</v>
      </c>
      <c r="AZ1849">
        <v>4552</v>
      </c>
      <c r="BA1849">
        <v>1</v>
      </c>
      <c r="BB1849" t="str">
        <f t="shared" si="422"/>
        <v xml:space="preserve">N607SR  </v>
      </c>
      <c r="BC1849">
        <v>1</v>
      </c>
      <c r="BE1849">
        <v>0</v>
      </c>
      <c r="BF1849">
        <v>0</v>
      </c>
      <c r="BG1849">
        <v>0</v>
      </c>
      <c r="BH1849">
        <v>2675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 t="shared" ref="BW1849:BW1854" si="457">"06:17:29.002"</f>
        <v>06:17:29.002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465</v>
      </c>
      <c r="CR1849">
        <v>0</v>
      </c>
      <c r="CW1849">
        <v>4722987</v>
      </c>
      <c r="CY1849">
        <v>1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 t="shared" si="454"/>
        <v>08/29/2020 06:17:25.793</v>
      </c>
      <c r="C1850" t="str">
        <f t="shared" si="420"/>
        <v>FFDFD3C0</v>
      </c>
      <c r="D1850" t="s">
        <v>121</v>
      </c>
      <c r="E1850">
        <v>11</v>
      </c>
      <c r="F1850">
        <v>1011</v>
      </c>
      <c r="G1850" t="s">
        <v>125</v>
      </c>
      <c r="J1850" t="s">
        <v>123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455"/>
        <v>06:17:29.000</v>
      </c>
      <c r="T1850" t="str">
        <f t="shared" si="456"/>
        <v>06:17:28.500</v>
      </c>
      <c r="U1850" t="str">
        <f t="shared" si="421"/>
        <v>A7E2E0</v>
      </c>
      <c r="V1850">
        <v>0</v>
      </c>
      <c r="W1850">
        <v>0</v>
      </c>
      <c r="X1850">
        <v>1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0</v>
      </c>
      <c r="AI1850" t="s">
        <v>1153</v>
      </c>
      <c r="AJ1850">
        <v>38.983054000000003</v>
      </c>
      <c r="AK1850" t="s">
        <v>1154</v>
      </c>
      <c r="AL1850">
        <v>-87.587299000000002</v>
      </c>
      <c r="AM1850">
        <v>100</v>
      </c>
      <c r="AN1850">
        <v>2800</v>
      </c>
      <c r="AO1850" t="s">
        <v>118</v>
      </c>
      <c r="AP1850">
        <v>-89</v>
      </c>
      <c r="AQ1850">
        <v>-118</v>
      </c>
      <c r="AR1850">
        <v>192</v>
      </c>
      <c r="AZ1850">
        <v>4552</v>
      </c>
      <c r="BA1850">
        <v>1</v>
      </c>
      <c r="BB1850" t="str">
        <f t="shared" si="422"/>
        <v xml:space="preserve">N607SR  </v>
      </c>
      <c r="BC1850">
        <v>1</v>
      </c>
      <c r="BE1850">
        <v>0</v>
      </c>
      <c r="BF1850">
        <v>0</v>
      </c>
      <c r="BG1850">
        <v>0</v>
      </c>
      <c r="BH1850">
        <v>2675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 t="shared" si="457"/>
        <v>06:17:29.002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4</v>
      </c>
      <c r="CP1850" t="s">
        <v>119</v>
      </c>
      <c r="CQ1850">
        <v>457</v>
      </c>
      <c r="CR1850">
        <v>0</v>
      </c>
      <c r="CW1850">
        <v>15518550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 t="shared" si="454"/>
        <v>08/29/2020 06:17:25.793</v>
      </c>
      <c r="C1851" t="str">
        <f t="shared" si="420"/>
        <v>FFDFD3C0</v>
      </c>
      <c r="D1851" t="s">
        <v>121</v>
      </c>
      <c r="E1851">
        <v>13</v>
      </c>
      <c r="F1851">
        <v>1013</v>
      </c>
      <c r="G1851" t="s">
        <v>122</v>
      </c>
      <c r="J1851" t="s">
        <v>123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455"/>
        <v>06:17:29.000</v>
      </c>
      <c r="T1851" t="str">
        <f t="shared" si="456"/>
        <v>06:17:28.500</v>
      </c>
      <c r="U1851" t="str">
        <f t="shared" si="421"/>
        <v>A7E2E0</v>
      </c>
      <c r="V1851">
        <v>0</v>
      </c>
      <c r="W1851">
        <v>0</v>
      </c>
      <c r="X1851">
        <v>1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0</v>
      </c>
      <c r="AI1851" t="s">
        <v>1153</v>
      </c>
      <c r="AJ1851">
        <v>38.983054000000003</v>
      </c>
      <c r="AK1851" t="s">
        <v>1154</v>
      </c>
      <c r="AL1851">
        <v>-87.587299000000002</v>
      </c>
      <c r="AM1851">
        <v>100</v>
      </c>
      <c r="AN1851">
        <v>2800</v>
      </c>
      <c r="AO1851" t="s">
        <v>118</v>
      </c>
      <c r="AP1851">
        <v>-89</v>
      </c>
      <c r="AQ1851">
        <v>-118</v>
      </c>
      <c r="AR1851">
        <v>192</v>
      </c>
      <c r="AZ1851">
        <v>4552</v>
      </c>
      <c r="BA1851">
        <v>1</v>
      </c>
      <c r="BB1851" t="str">
        <f t="shared" si="422"/>
        <v xml:space="preserve">N607SR  </v>
      </c>
      <c r="BC1851">
        <v>1</v>
      </c>
      <c r="BE1851">
        <v>0</v>
      </c>
      <c r="BF1851">
        <v>0</v>
      </c>
      <c r="BG1851">
        <v>0</v>
      </c>
      <c r="BH1851">
        <v>2675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 t="shared" si="457"/>
        <v>06:17:29.002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465</v>
      </c>
      <c r="CR1851">
        <v>0</v>
      </c>
      <c r="CW1851">
        <v>4722987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 t="shared" si="454"/>
        <v>08/29/2020 06:17:25.793</v>
      </c>
      <c r="C1852" t="str">
        <f t="shared" si="420"/>
        <v>FFDFD3C0</v>
      </c>
      <c r="D1852" t="s">
        <v>128</v>
      </c>
      <c r="E1852">
        <v>5</v>
      </c>
      <c r="H1852">
        <v>241</v>
      </c>
      <c r="I1852" t="s">
        <v>129</v>
      </c>
      <c r="J1852" t="s">
        <v>130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455"/>
        <v>06:17:29.000</v>
      </c>
      <c r="T1852" t="str">
        <f t="shared" si="456"/>
        <v>06:17:28.500</v>
      </c>
      <c r="U1852" t="str">
        <f t="shared" si="421"/>
        <v>A7E2E0</v>
      </c>
      <c r="V1852">
        <v>0</v>
      </c>
      <c r="W1852">
        <v>0</v>
      </c>
      <c r="X1852">
        <v>1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0</v>
      </c>
      <c r="AI1852" t="s">
        <v>1153</v>
      </c>
      <c r="AJ1852">
        <v>38.983054000000003</v>
      </c>
      <c r="AK1852" t="s">
        <v>1154</v>
      </c>
      <c r="AL1852">
        <v>-87.587299000000002</v>
      </c>
      <c r="AM1852">
        <v>100</v>
      </c>
      <c r="AN1852">
        <v>2800</v>
      </c>
      <c r="AO1852" t="s">
        <v>118</v>
      </c>
      <c r="AP1852">
        <v>-89</v>
      </c>
      <c r="AQ1852">
        <v>-118</v>
      </c>
      <c r="AR1852">
        <v>192</v>
      </c>
      <c r="AZ1852">
        <v>4552</v>
      </c>
      <c r="BA1852">
        <v>1</v>
      </c>
      <c r="BB1852" t="str">
        <f t="shared" si="422"/>
        <v xml:space="preserve">N607SR  </v>
      </c>
      <c r="BC1852">
        <v>1</v>
      </c>
      <c r="BE1852">
        <v>0</v>
      </c>
      <c r="BF1852">
        <v>0</v>
      </c>
      <c r="BG1852">
        <v>0</v>
      </c>
      <c r="BH1852">
        <v>2675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 t="shared" si="457"/>
        <v>06:17:29.002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6</v>
      </c>
      <c r="CP1852" t="s">
        <v>119</v>
      </c>
      <c r="CQ1852">
        <v>465</v>
      </c>
      <c r="CR1852">
        <v>0</v>
      </c>
      <c r="CW1852">
        <v>4722987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 t="shared" si="454"/>
        <v>08/29/2020 06:17:25.793</v>
      </c>
      <c r="C1853" t="str">
        <f t="shared" si="420"/>
        <v>FFDFD3C0</v>
      </c>
      <c r="D1853" t="s">
        <v>939</v>
      </c>
      <c r="E1853">
        <v>10</v>
      </c>
      <c r="H1853">
        <v>79</v>
      </c>
      <c r="I1853" t="s">
        <v>940</v>
      </c>
      <c r="J1853" t="s">
        <v>130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455"/>
        <v>06:17:29.000</v>
      </c>
      <c r="T1853" t="str">
        <f t="shared" si="456"/>
        <v>06:17:28.500</v>
      </c>
      <c r="U1853" t="str">
        <f t="shared" si="421"/>
        <v>A7E2E0</v>
      </c>
      <c r="V1853">
        <v>0</v>
      </c>
      <c r="W1853">
        <v>0</v>
      </c>
      <c r="X1853">
        <v>1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0</v>
      </c>
      <c r="AI1853" t="s">
        <v>1153</v>
      </c>
      <c r="AJ1853">
        <v>38.983054000000003</v>
      </c>
      <c r="AK1853" t="s">
        <v>1154</v>
      </c>
      <c r="AL1853">
        <v>-87.587299000000002</v>
      </c>
      <c r="AM1853">
        <v>100</v>
      </c>
      <c r="AN1853">
        <v>2800</v>
      </c>
      <c r="AO1853" t="s">
        <v>118</v>
      </c>
      <c r="AP1853">
        <v>-89</v>
      </c>
      <c r="AQ1853">
        <v>-118</v>
      </c>
      <c r="AR1853">
        <v>192</v>
      </c>
      <c r="AZ1853">
        <v>4552</v>
      </c>
      <c r="BA1853">
        <v>1</v>
      </c>
      <c r="BB1853" t="str">
        <f t="shared" si="422"/>
        <v xml:space="preserve">N607SR  </v>
      </c>
      <c r="BC1853">
        <v>1</v>
      </c>
      <c r="BE1853">
        <v>0</v>
      </c>
      <c r="BF1853">
        <v>0</v>
      </c>
      <c r="BG1853">
        <v>0</v>
      </c>
      <c r="BH1853">
        <v>2675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 t="shared" si="457"/>
        <v>06:17:29.002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6</v>
      </c>
      <c r="CP1853" t="s">
        <v>119</v>
      </c>
      <c r="CQ1853">
        <v>465</v>
      </c>
      <c r="CR1853">
        <v>0</v>
      </c>
      <c r="CW1853">
        <v>4722987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 t="shared" si="454"/>
        <v>08/29/2020 06:17:25.793</v>
      </c>
      <c r="C1854" t="str">
        <f t="shared" si="420"/>
        <v>FFDFD3C0</v>
      </c>
      <c r="D1854" t="s">
        <v>121</v>
      </c>
      <c r="E1854">
        <v>10</v>
      </c>
      <c r="F1854">
        <v>1010</v>
      </c>
      <c r="G1854" t="s">
        <v>114</v>
      </c>
      <c r="J1854" t="s">
        <v>123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455"/>
        <v>06:17:29.000</v>
      </c>
      <c r="T1854" t="str">
        <f t="shared" si="456"/>
        <v>06:17:28.500</v>
      </c>
      <c r="U1854" t="str">
        <f t="shared" si="421"/>
        <v>A7E2E0</v>
      </c>
      <c r="V1854">
        <v>0</v>
      </c>
      <c r="W1854">
        <v>0</v>
      </c>
      <c r="X1854">
        <v>1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0</v>
      </c>
      <c r="AI1854" t="s">
        <v>1153</v>
      </c>
      <c r="AJ1854">
        <v>38.983054000000003</v>
      </c>
      <c r="AK1854" t="s">
        <v>1154</v>
      </c>
      <c r="AL1854">
        <v>-87.587299000000002</v>
      </c>
      <c r="AM1854">
        <v>100</v>
      </c>
      <c r="AN1854">
        <v>2800</v>
      </c>
      <c r="AO1854" t="s">
        <v>118</v>
      </c>
      <c r="AP1854">
        <v>-89</v>
      </c>
      <c r="AQ1854">
        <v>-118</v>
      </c>
      <c r="AR1854">
        <v>192</v>
      </c>
      <c r="AZ1854">
        <v>4552</v>
      </c>
      <c r="BA1854">
        <v>1</v>
      </c>
      <c r="BB1854" t="str">
        <f t="shared" si="422"/>
        <v xml:space="preserve">N607SR  </v>
      </c>
      <c r="BC1854">
        <v>1</v>
      </c>
      <c r="BE1854">
        <v>0</v>
      </c>
      <c r="BF1854">
        <v>0</v>
      </c>
      <c r="BG1854">
        <v>0</v>
      </c>
      <c r="BH1854">
        <v>2675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 t="shared" si="457"/>
        <v>06:17:29.002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6</v>
      </c>
      <c r="CP1854" t="s">
        <v>119</v>
      </c>
      <c r="CQ1854">
        <v>465</v>
      </c>
      <c r="CR1854">
        <v>0</v>
      </c>
      <c r="CW1854">
        <v>4722987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 t="shared" ref="A1855:A1860" si="458">"08/29/2020 06:17:26.757"</f>
        <v>08/29/2020 06:17:26.757</v>
      </c>
      <c r="C1855" t="str">
        <f t="shared" si="420"/>
        <v>FFDFD3C0</v>
      </c>
      <c r="D1855" t="s">
        <v>121</v>
      </c>
      <c r="E1855">
        <v>13</v>
      </c>
      <c r="F1855">
        <v>1013</v>
      </c>
      <c r="G1855" t="s">
        <v>122</v>
      </c>
      <c r="J1855" t="s">
        <v>123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ref="S1855:S1860" si="459">"06:17:29.969"</f>
        <v>06:17:29.969</v>
      </c>
      <c r="T1855" t="str">
        <f t="shared" ref="T1855:T1860" si="460">"06:17:29.569"</f>
        <v>06:17:29.569</v>
      </c>
      <c r="U1855" t="str">
        <f t="shared" si="421"/>
        <v>A7E2E0</v>
      </c>
      <c r="V1855">
        <v>0</v>
      </c>
      <c r="W1855">
        <v>0</v>
      </c>
      <c r="X1855">
        <v>1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0</v>
      </c>
      <c r="AI1855" t="s">
        <v>1155</v>
      </c>
      <c r="AJ1855">
        <v>38.982517999999999</v>
      </c>
      <c r="AK1855" t="s">
        <v>1156</v>
      </c>
      <c r="AL1855">
        <v>-87.587835999999996</v>
      </c>
      <c r="AM1855">
        <v>100</v>
      </c>
      <c r="AN1855">
        <v>2700</v>
      </c>
      <c r="AO1855" t="s">
        <v>118</v>
      </c>
      <c r="AP1855">
        <v>-88</v>
      </c>
      <c r="AQ1855">
        <v>-118</v>
      </c>
      <c r="AR1855">
        <v>192</v>
      </c>
      <c r="AZ1855">
        <v>4552</v>
      </c>
      <c r="BA1855">
        <v>1</v>
      </c>
      <c r="BB1855" t="str">
        <f t="shared" si="422"/>
        <v xml:space="preserve">N607SR  </v>
      </c>
      <c r="BC1855">
        <v>1</v>
      </c>
      <c r="BE1855">
        <v>0</v>
      </c>
      <c r="BF1855">
        <v>0</v>
      </c>
      <c r="BG1855">
        <v>0</v>
      </c>
      <c r="BH1855">
        <v>2475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 t="shared" ref="BW1855:BW1860" si="461">"06:17:29.974"</f>
        <v>06:17:29.974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6</v>
      </c>
      <c r="CP1855" t="s">
        <v>119</v>
      </c>
      <c r="CQ1855">
        <v>465</v>
      </c>
      <c r="CR1855">
        <v>0</v>
      </c>
      <c r="CW1855">
        <v>4723015</v>
      </c>
      <c r="CY1855">
        <v>1</v>
      </c>
      <c r="CZ1855">
        <v>0</v>
      </c>
      <c r="DA1855">
        <v>0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 t="shared" si="458"/>
        <v>08/29/2020 06:17:26.757</v>
      </c>
      <c r="C1856" t="str">
        <f t="shared" si="420"/>
        <v>FFDFD3C0</v>
      </c>
      <c r="D1856" t="s">
        <v>121</v>
      </c>
      <c r="E1856">
        <v>11</v>
      </c>
      <c r="F1856">
        <v>1011</v>
      </c>
      <c r="G1856" t="s">
        <v>125</v>
      </c>
      <c r="J1856" t="s">
        <v>123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459"/>
        <v>06:17:29.969</v>
      </c>
      <c r="T1856" t="str">
        <f t="shared" si="460"/>
        <v>06:17:29.569</v>
      </c>
      <c r="U1856" t="str">
        <f t="shared" si="421"/>
        <v>A7E2E0</v>
      </c>
      <c r="V1856">
        <v>0</v>
      </c>
      <c r="W1856">
        <v>0</v>
      </c>
      <c r="X1856">
        <v>1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0</v>
      </c>
      <c r="AI1856" t="s">
        <v>1155</v>
      </c>
      <c r="AJ1856">
        <v>38.982517999999999</v>
      </c>
      <c r="AK1856" t="s">
        <v>1156</v>
      </c>
      <c r="AL1856">
        <v>-87.587835999999996</v>
      </c>
      <c r="AM1856">
        <v>100</v>
      </c>
      <c r="AN1856">
        <v>2700</v>
      </c>
      <c r="AO1856" t="s">
        <v>118</v>
      </c>
      <c r="AP1856">
        <v>-88</v>
      </c>
      <c r="AQ1856">
        <v>-118</v>
      </c>
      <c r="AR1856">
        <v>192</v>
      </c>
      <c r="AZ1856">
        <v>4552</v>
      </c>
      <c r="BA1856">
        <v>1</v>
      </c>
      <c r="BB1856" t="str">
        <f t="shared" si="422"/>
        <v xml:space="preserve">N607SR  </v>
      </c>
      <c r="BC1856">
        <v>1</v>
      </c>
      <c r="BE1856">
        <v>0</v>
      </c>
      <c r="BF1856">
        <v>0</v>
      </c>
      <c r="BG1856">
        <v>0</v>
      </c>
      <c r="BH1856">
        <v>2575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 t="shared" si="461"/>
        <v>06:17:29.974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4</v>
      </c>
      <c r="CP1856" t="s">
        <v>119</v>
      </c>
      <c r="CQ1856">
        <v>177</v>
      </c>
      <c r="CR1856">
        <v>2</v>
      </c>
      <c r="CW1856">
        <v>1655366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 t="shared" si="458"/>
        <v>08/29/2020 06:17:26.757</v>
      </c>
      <c r="C1857" t="str">
        <f t="shared" si="420"/>
        <v>FFDFD3C0</v>
      </c>
      <c r="D1857" t="s">
        <v>113</v>
      </c>
      <c r="E1857">
        <v>5</v>
      </c>
      <c r="H1857">
        <v>163</v>
      </c>
      <c r="I1857" t="s">
        <v>114</v>
      </c>
      <c r="J1857" t="s">
        <v>115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459"/>
        <v>06:17:29.969</v>
      </c>
      <c r="T1857" t="str">
        <f t="shared" si="460"/>
        <v>06:17:29.569</v>
      </c>
      <c r="U1857" t="str">
        <f t="shared" si="421"/>
        <v>A7E2E0</v>
      </c>
      <c r="V1857">
        <v>0</v>
      </c>
      <c r="W1857">
        <v>0</v>
      </c>
      <c r="X1857">
        <v>1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0</v>
      </c>
      <c r="AI1857" t="s">
        <v>1155</v>
      </c>
      <c r="AJ1857">
        <v>38.982517999999999</v>
      </c>
      <c r="AK1857" t="s">
        <v>1156</v>
      </c>
      <c r="AL1857">
        <v>-87.587835999999996</v>
      </c>
      <c r="AM1857">
        <v>100</v>
      </c>
      <c r="AN1857">
        <v>2700</v>
      </c>
      <c r="AO1857" t="s">
        <v>118</v>
      </c>
      <c r="AP1857">
        <v>-88</v>
      </c>
      <c r="AQ1857">
        <v>-118</v>
      </c>
      <c r="AR1857">
        <v>192</v>
      </c>
      <c r="AZ1857">
        <v>4552</v>
      </c>
      <c r="BA1857">
        <v>1</v>
      </c>
      <c r="BB1857" t="str">
        <f t="shared" si="422"/>
        <v xml:space="preserve">N607SR  </v>
      </c>
      <c r="BC1857">
        <v>1</v>
      </c>
      <c r="BE1857">
        <v>0</v>
      </c>
      <c r="BF1857">
        <v>0</v>
      </c>
      <c r="BG1857">
        <v>0</v>
      </c>
      <c r="BH1857">
        <v>2475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 t="shared" si="461"/>
        <v>06:17:29.974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6</v>
      </c>
      <c r="CP1857" t="s">
        <v>119</v>
      </c>
      <c r="CQ1857">
        <v>465</v>
      </c>
      <c r="CR1857">
        <v>0</v>
      </c>
      <c r="CW1857">
        <v>4723015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 t="shared" si="458"/>
        <v>08/29/2020 06:17:26.757</v>
      </c>
      <c r="C1858" t="str">
        <f t="shared" ref="C1858:C1921" si="462">"FFDFD3C0"</f>
        <v>FFDFD3C0</v>
      </c>
      <c r="D1858" t="s">
        <v>128</v>
      </c>
      <c r="E1858">
        <v>5</v>
      </c>
      <c r="H1858">
        <v>241</v>
      </c>
      <c r="I1858" t="s">
        <v>129</v>
      </c>
      <c r="J1858" t="s">
        <v>130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459"/>
        <v>06:17:29.969</v>
      </c>
      <c r="T1858" t="str">
        <f t="shared" si="460"/>
        <v>06:17:29.569</v>
      </c>
      <c r="U1858" t="str">
        <f t="shared" ref="U1858:U1921" si="463">"A7E2E0"</f>
        <v>A7E2E0</v>
      </c>
      <c r="V1858">
        <v>0</v>
      </c>
      <c r="W1858">
        <v>0</v>
      </c>
      <c r="X1858">
        <v>1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0</v>
      </c>
      <c r="AI1858" t="s">
        <v>1155</v>
      </c>
      <c r="AJ1858">
        <v>38.982517999999999</v>
      </c>
      <c r="AK1858" t="s">
        <v>1156</v>
      </c>
      <c r="AL1858">
        <v>-87.587835999999996</v>
      </c>
      <c r="AM1858">
        <v>100</v>
      </c>
      <c r="AN1858">
        <v>2700</v>
      </c>
      <c r="AO1858" t="s">
        <v>118</v>
      </c>
      <c r="AP1858">
        <v>-88</v>
      </c>
      <c r="AQ1858">
        <v>-118</v>
      </c>
      <c r="AR1858">
        <v>192</v>
      </c>
      <c r="AZ1858">
        <v>4552</v>
      </c>
      <c r="BA1858">
        <v>1</v>
      </c>
      <c r="BB1858" t="str">
        <f t="shared" ref="BB1858:BB1921" si="464">"N607SR  "</f>
        <v xml:space="preserve">N607SR  </v>
      </c>
      <c r="BC1858">
        <v>1</v>
      </c>
      <c r="BE1858">
        <v>0</v>
      </c>
      <c r="BF1858">
        <v>0</v>
      </c>
      <c r="BG1858">
        <v>0</v>
      </c>
      <c r="BH1858">
        <v>2475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 t="shared" si="461"/>
        <v>06:17:29.974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465</v>
      </c>
      <c r="CR1858">
        <v>0</v>
      </c>
      <c r="CW1858">
        <v>4723015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 t="shared" si="458"/>
        <v>08/29/2020 06:17:26.757</v>
      </c>
      <c r="C1859" t="str">
        <f t="shared" si="462"/>
        <v>FFDFD3C0</v>
      </c>
      <c r="D1859" t="s">
        <v>939</v>
      </c>
      <c r="E1859">
        <v>10</v>
      </c>
      <c r="H1859">
        <v>79</v>
      </c>
      <c r="I1859" t="s">
        <v>940</v>
      </c>
      <c r="J1859" t="s">
        <v>130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459"/>
        <v>06:17:29.969</v>
      </c>
      <c r="T1859" t="str">
        <f t="shared" si="460"/>
        <v>06:17:29.569</v>
      </c>
      <c r="U1859" t="str">
        <f t="shared" si="463"/>
        <v>A7E2E0</v>
      </c>
      <c r="V1859">
        <v>0</v>
      </c>
      <c r="W1859">
        <v>0</v>
      </c>
      <c r="X1859">
        <v>1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0</v>
      </c>
      <c r="AI1859" t="s">
        <v>1155</v>
      </c>
      <c r="AJ1859">
        <v>38.982517999999999</v>
      </c>
      <c r="AK1859" t="s">
        <v>1156</v>
      </c>
      <c r="AL1859">
        <v>-87.587835999999996</v>
      </c>
      <c r="AM1859">
        <v>100</v>
      </c>
      <c r="AN1859">
        <v>2700</v>
      </c>
      <c r="AO1859" t="s">
        <v>118</v>
      </c>
      <c r="AP1859">
        <v>-88</v>
      </c>
      <c r="AQ1859">
        <v>-118</v>
      </c>
      <c r="AR1859">
        <v>192</v>
      </c>
      <c r="AZ1859">
        <v>4552</v>
      </c>
      <c r="BA1859">
        <v>1</v>
      </c>
      <c r="BB1859" t="str">
        <f t="shared" si="464"/>
        <v xml:space="preserve">N607SR  </v>
      </c>
      <c r="BC1859">
        <v>1</v>
      </c>
      <c r="BE1859">
        <v>0</v>
      </c>
      <c r="BF1859">
        <v>0</v>
      </c>
      <c r="BG1859">
        <v>0</v>
      </c>
      <c r="BH1859">
        <v>2475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 t="shared" si="461"/>
        <v>06:17:29.974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6</v>
      </c>
      <c r="CP1859" t="s">
        <v>119</v>
      </c>
      <c r="CQ1859">
        <v>465</v>
      </c>
      <c r="CR1859">
        <v>0</v>
      </c>
      <c r="CW1859">
        <v>4723015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 t="shared" si="458"/>
        <v>08/29/2020 06:17:26.757</v>
      </c>
      <c r="C1860" t="str">
        <f t="shared" si="462"/>
        <v>FFDFD3C0</v>
      </c>
      <c r="D1860" t="s">
        <v>121</v>
      </c>
      <c r="E1860">
        <v>10</v>
      </c>
      <c r="F1860">
        <v>1010</v>
      </c>
      <c r="G1860" t="s">
        <v>114</v>
      </c>
      <c r="J1860" t="s">
        <v>123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459"/>
        <v>06:17:29.969</v>
      </c>
      <c r="T1860" t="str">
        <f t="shared" si="460"/>
        <v>06:17:29.569</v>
      </c>
      <c r="U1860" t="str">
        <f t="shared" si="463"/>
        <v>A7E2E0</v>
      </c>
      <c r="V1860">
        <v>0</v>
      </c>
      <c r="W1860">
        <v>0</v>
      </c>
      <c r="X1860">
        <v>1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0</v>
      </c>
      <c r="AI1860" t="s">
        <v>1155</v>
      </c>
      <c r="AJ1860">
        <v>38.982517999999999</v>
      </c>
      <c r="AK1860" t="s">
        <v>1156</v>
      </c>
      <c r="AL1860">
        <v>-87.587835999999996</v>
      </c>
      <c r="AM1860">
        <v>100</v>
      </c>
      <c r="AN1860">
        <v>2700</v>
      </c>
      <c r="AO1860" t="s">
        <v>118</v>
      </c>
      <c r="AP1860">
        <v>-88</v>
      </c>
      <c r="AQ1860">
        <v>-118</v>
      </c>
      <c r="AR1860">
        <v>192</v>
      </c>
      <c r="AZ1860">
        <v>4552</v>
      </c>
      <c r="BA1860">
        <v>1</v>
      </c>
      <c r="BB1860" t="str">
        <f t="shared" si="464"/>
        <v xml:space="preserve">N607SR  </v>
      </c>
      <c r="BC1860">
        <v>1</v>
      </c>
      <c r="BE1860">
        <v>0</v>
      </c>
      <c r="BF1860">
        <v>0</v>
      </c>
      <c r="BG1860">
        <v>0</v>
      </c>
      <c r="BH1860">
        <v>2475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 t="shared" si="461"/>
        <v>06:17:29.974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465</v>
      </c>
      <c r="CR1860">
        <v>0</v>
      </c>
      <c r="CW1860">
        <v>4723015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 t="shared" ref="A1861:A1866" si="465">"08/29/2020 06:17:27.631"</f>
        <v>08/29/2020 06:17:27.631</v>
      </c>
      <c r="C1861" t="str">
        <f t="shared" si="462"/>
        <v>FFDFD3C0</v>
      </c>
      <c r="D1861" t="s">
        <v>128</v>
      </c>
      <c r="E1861">
        <v>5</v>
      </c>
      <c r="H1861">
        <v>241</v>
      </c>
      <c r="I1861" t="s">
        <v>129</v>
      </c>
      <c r="J1861" t="s">
        <v>130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ref="S1861:S1866" si="466">"06:17:30.844"</f>
        <v>06:17:30.844</v>
      </c>
      <c r="T1861" t="str">
        <f t="shared" ref="T1861:T1866" si="467">"06:17:30.444"</f>
        <v>06:17:30.444</v>
      </c>
      <c r="U1861" t="str">
        <f t="shared" si="463"/>
        <v>A7E2E0</v>
      </c>
      <c r="V1861">
        <v>0</v>
      </c>
      <c r="W1861">
        <v>0</v>
      </c>
      <c r="X1861">
        <v>1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0</v>
      </c>
      <c r="AI1861" t="s">
        <v>1157</v>
      </c>
      <c r="AJ1861">
        <v>38.982002999999999</v>
      </c>
      <c r="AK1861" t="s">
        <v>1158</v>
      </c>
      <c r="AL1861">
        <v>-87.588307999999998</v>
      </c>
      <c r="AM1861">
        <v>100</v>
      </c>
      <c r="AN1861">
        <v>2800</v>
      </c>
      <c r="AO1861" t="s">
        <v>118</v>
      </c>
      <c r="AP1861">
        <v>-88</v>
      </c>
      <c r="AQ1861">
        <v>-118</v>
      </c>
      <c r="AR1861">
        <v>128</v>
      </c>
      <c r="AZ1861">
        <v>4552</v>
      </c>
      <c r="BA1861">
        <v>1</v>
      </c>
      <c r="BB1861" t="str">
        <f t="shared" si="464"/>
        <v xml:space="preserve">N607SR  </v>
      </c>
      <c r="BC1861">
        <v>1</v>
      </c>
      <c r="BE1861">
        <v>0</v>
      </c>
      <c r="BF1861">
        <v>0</v>
      </c>
      <c r="BG1861">
        <v>0</v>
      </c>
      <c r="BH1861">
        <v>2575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 t="shared" ref="BW1861:BW1866" si="468">"06:17:30.846"</f>
        <v>06:17:30.846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465</v>
      </c>
      <c r="CR1861">
        <v>0</v>
      </c>
      <c r="CW1861">
        <v>4723043</v>
      </c>
      <c r="CY1861">
        <v>1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 t="shared" si="465"/>
        <v>08/29/2020 06:17:27.631</v>
      </c>
      <c r="C1862" t="str">
        <f t="shared" si="462"/>
        <v>FFDFD3C0</v>
      </c>
      <c r="D1862" t="s">
        <v>939</v>
      </c>
      <c r="E1862">
        <v>10</v>
      </c>
      <c r="H1862">
        <v>79</v>
      </c>
      <c r="I1862" t="s">
        <v>940</v>
      </c>
      <c r="J1862" t="s">
        <v>130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466"/>
        <v>06:17:30.844</v>
      </c>
      <c r="T1862" t="str">
        <f t="shared" si="467"/>
        <v>06:17:30.444</v>
      </c>
      <c r="U1862" t="str">
        <f t="shared" si="463"/>
        <v>A7E2E0</v>
      </c>
      <c r="V1862">
        <v>0</v>
      </c>
      <c r="W1862">
        <v>0</v>
      </c>
      <c r="X1862">
        <v>1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0</v>
      </c>
      <c r="AI1862" t="s">
        <v>1157</v>
      </c>
      <c r="AJ1862">
        <v>38.982002999999999</v>
      </c>
      <c r="AK1862" t="s">
        <v>1158</v>
      </c>
      <c r="AL1862">
        <v>-87.588307999999998</v>
      </c>
      <c r="AM1862">
        <v>100</v>
      </c>
      <c r="AN1862">
        <v>2800</v>
      </c>
      <c r="AO1862" t="s">
        <v>118</v>
      </c>
      <c r="AP1862">
        <v>-88</v>
      </c>
      <c r="AQ1862">
        <v>-118</v>
      </c>
      <c r="AR1862">
        <v>128</v>
      </c>
      <c r="AZ1862">
        <v>4552</v>
      </c>
      <c r="BA1862">
        <v>1</v>
      </c>
      <c r="BB1862" t="str">
        <f t="shared" si="464"/>
        <v xml:space="preserve">N607SR  </v>
      </c>
      <c r="BC1862">
        <v>1</v>
      </c>
      <c r="BE1862">
        <v>0</v>
      </c>
      <c r="BF1862">
        <v>0</v>
      </c>
      <c r="BG1862">
        <v>0</v>
      </c>
      <c r="BH1862">
        <v>2575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 t="shared" si="468"/>
        <v>06:17:30.846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465</v>
      </c>
      <c r="CR1862">
        <v>0</v>
      </c>
      <c r="CW1862">
        <v>4723043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 t="shared" si="465"/>
        <v>08/29/2020 06:17:27.631</v>
      </c>
      <c r="C1863" t="str">
        <f t="shared" si="462"/>
        <v>FFDFD3C0</v>
      </c>
      <c r="D1863" t="s">
        <v>121</v>
      </c>
      <c r="E1863">
        <v>10</v>
      </c>
      <c r="F1863">
        <v>1010</v>
      </c>
      <c r="G1863" t="s">
        <v>114</v>
      </c>
      <c r="J1863" t="s">
        <v>123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466"/>
        <v>06:17:30.844</v>
      </c>
      <c r="T1863" t="str">
        <f t="shared" si="467"/>
        <v>06:17:30.444</v>
      </c>
      <c r="U1863" t="str">
        <f t="shared" si="463"/>
        <v>A7E2E0</v>
      </c>
      <c r="V1863">
        <v>0</v>
      </c>
      <c r="W1863">
        <v>0</v>
      </c>
      <c r="X1863">
        <v>1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0</v>
      </c>
      <c r="AI1863" t="s">
        <v>1157</v>
      </c>
      <c r="AJ1863">
        <v>38.982002999999999</v>
      </c>
      <c r="AK1863" t="s">
        <v>1158</v>
      </c>
      <c r="AL1863">
        <v>-87.588307999999998</v>
      </c>
      <c r="AM1863">
        <v>100</v>
      </c>
      <c r="AN1863">
        <v>2800</v>
      </c>
      <c r="AO1863" t="s">
        <v>118</v>
      </c>
      <c r="AP1863">
        <v>-88</v>
      </c>
      <c r="AQ1863">
        <v>-118</v>
      </c>
      <c r="AR1863">
        <v>128</v>
      </c>
      <c r="AZ1863">
        <v>4552</v>
      </c>
      <c r="BA1863">
        <v>1</v>
      </c>
      <c r="BB1863" t="str">
        <f t="shared" si="464"/>
        <v xml:space="preserve">N607SR  </v>
      </c>
      <c r="BC1863">
        <v>1</v>
      </c>
      <c r="BE1863">
        <v>0</v>
      </c>
      <c r="BF1863">
        <v>0</v>
      </c>
      <c r="BG1863">
        <v>0</v>
      </c>
      <c r="BH1863">
        <v>2575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 t="shared" si="468"/>
        <v>06:17:30.846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465</v>
      </c>
      <c r="CR1863">
        <v>0</v>
      </c>
      <c r="CW1863">
        <v>4723043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si="465"/>
        <v>08/29/2020 06:17:27.631</v>
      </c>
      <c r="C1864" t="str">
        <f t="shared" si="462"/>
        <v>FFDFD3C0</v>
      </c>
      <c r="D1864" t="s">
        <v>113</v>
      </c>
      <c r="E1864">
        <v>5</v>
      </c>
      <c r="H1864">
        <v>163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466"/>
        <v>06:17:30.844</v>
      </c>
      <c r="T1864" t="str">
        <f t="shared" si="467"/>
        <v>06:17:30.444</v>
      </c>
      <c r="U1864" t="str">
        <f t="shared" si="463"/>
        <v>A7E2E0</v>
      </c>
      <c r="V1864">
        <v>0</v>
      </c>
      <c r="W1864">
        <v>0</v>
      </c>
      <c r="X1864">
        <v>1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0</v>
      </c>
      <c r="AI1864" t="s">
        <v>1157</v>
      </c>
      <c r="AJ1864">
        <v>38.982002999999999</v>
      </c>
      <c r="AK1864" t="s">
        <v>1158</v>
      </c>
      <c r="AL1864">
        <v>-87.588307999999998</v>
      </c>
      <c r="AM1864">
        <v>100</v>
      </c>
      <c r="AN1864">
        <v>2800</v>
      </c>
      <c r="AO1864" t="s">
        <v>118</v>
      </c>
      <c r="AP1864">
        <v>-88</v>
      </c>
      <c r="AQ1864">
        <v>-118</v>
      </c>
      <c r="AR1864">
        <v>128</v>
      </c>
      <c r="AZ1864">
        <v>4552</v>
      </c>
      <c r="BA1864">
        <v>1</v>
      </c>
      <c r="BB1864" t="str">
        <f t="shared" si="464"/>
        <v xml:space="preserve">N607SR  </v>
      </c>
      <c r="BC1864">
        <v>1</v>
      </c>
      <c r="BE1864">
        <v>0</v>
      </c>
      <c r="BF1864">
        <v>0</v>
      </c>
      <c r="BG1864">
        <v>0</v>
      </c>
      <c r="BH1864">
        <v>2575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 t="shared" si="468"/>
        <v>06:17:30.846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465</v>
      </c>
      <c r="CR1864">
        <v>0</v>
      </c>
      <c r="CW1864">
        <v>4723043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si="465"/>
        <v>08/29/2020 06:17:27.631</v>
      </c>
      <c r="C1865" t="str">
        <f t="shared" si="462"/>
        <v>FFDFD3C0</v>
      </c>
      <c r="D1865" t="s">
        <v>121</v>
      </c>
      <c r="E1865">
        <v>11</v>
      </c>
      <c r="F1865">
        <v>1011</v>
      </c>
      <c r="G1865" t="s">
        <v>125</v>
      </c>
      <c r="J1865" t="s">
        <v>123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466"/>
        <v>06:17:30.844</v>
      </c>
      <c r="T1865" t="str">
        <f t="shared" si="467"/>
        <v>06:17:30.444</v>
      </c>
      <c r="U1865" t="str">
        <f t="shared" si="463"/>
        <v>A7E2E0</v>
      </c>
      <c r="V1865">
        <v>0</v>
      </c>
      <c r="W1865">
        <v>0</v>
      </c>
      <c r="X1865">
        <v>1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0</v>
      </c>
      <c r="AI1865" t="s">
        <v>1157</v>
      </c>
      <c r="AJ1865">
        <v>38.982002999999999</v>
      </c>
      <c r="AK1865" t="s">
        <v>1158</v>
      </c>
      <c r="AL1865">
        <v>-87.588307999999998</v>
      </c>
      <c r="AM1865">
        <v>100</v>
      </c>
      <c r="AN1865">
        <v>2800</v>
      </c>
      <c r="AO1865" t="s">
        <v>118</v>
      </c>
      <c r="AP1865">
        <v>-88</v>
      </c>
      <c r="AQ1865">
        <v>-118</v>
      </c>
      <c r="AR1865">
        <v>128</v>
      </c>
      <c r="AZ1865">
        <v>4552</v>
      </c>
      <c r="BA1865">
        <v>1</v>
      </c>
      <c r="BB1865" t="str">
        <f t="shared" si="464"/>
        <v xml:space="preserve">N607SR  </v>
      </c>
      <c r="BC1865">
        <v>1</v>
      </c>
      <c r="BE1865">
        <v>0</v>
      </c>
      <c r="BF1865">
        <v>0</v>
      </c>
      <c r="BG1865">
        <v>0</v>
      </c>
      <c r="BH1865">
        <v>2575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 t="shared" si="468"/>
        <v>06:17:30.846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5</v>
      </c>
      <c r="CP1865" t="s">
        <v>119</v>
      </c>
      <c r="CQ1865">
        <v>177</v>
      </c>
      <c r="CR1865">
        <v>2</v>
      </c>
      <c r="CW1865">
        <v>1655506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465"/>
        <v>08/29/2020 06:17:27.631</v>
      </c>
      <c r="C1866" t="str">
        <f t="shared" si="462"/>
        <v>FFDFD3C0</v>
      </c>
      <c r="D1866" t="s">
        <v>121</v>
      </c>
      <c r="E1866">
        <v>13</v>
      </c>
      <c r="F1866">
        <v>1013</v>
      </c>
      <c r="G1866" t="s">
        <v>122</v>
      </c>
      <c r="J1866" t="s">
        <v>123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466"/>
        <v>06:17:30.844</v>
      </c>
      <c r="T1866" t="str">
        <f t="shared" si="467"/>
        <v>06:17:30.444</v>
      </c>
      <c r="U1866" t="str">
        <f t="shared" si="463"/>
        <v>A7E2E0</v>
      </c>
      <c r="V1866">
        <v>0</v>
      </c>
      <c r="W1866">
        <v>0</v>
      </c>
      <c r="X1866">
        <v>1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0</v>
      </c>
      <c r="AI1866" t="s">
        <v>1157</v>
      </c>
      <c r="AJ1866">
        <v>38.982002999999999</v>
      </c>
      <c r="AK1866" t="s">
        <v>1158</v>
      </c>
      <c r="AL1866">
        <v>-87.588307999999998</v>
      </c>
      <c r="AM1866">
        <v>100</v>
      </c>
      <c r="AN1866">
        <v>2800</v>
      </c>
      <c r="AO1866" t="s">
        <v>118</v>
      </c>
      <c r="AP1866">
        <v>-88</v>
      </c>
      <c r="AQ1866">
        <v>-118</v>
      </c>
      <c r="AR1866">
        <v>128</v>
      </c>
      <c r="AZ1866">
        <v>4552</v>
      </c>
      <c r="BA1866">
        <v>1</v>
      </c>
      <c r="BB1866" t="str">
        <f t="shared" si="464"/>
        <v xml:space="preserve">N607SR  </v>
      </c>
      <c r="BC1866">
        <v>1</v>
      </c>
      <c r="BE1866">
        <v>0</v>
      </c>
      <c r="BF1866">
        <v>0</v>
      </c>
      <c r="BG1866">
        <v>0</v>
      </c>
      <c r="BH1866">
        <v>2575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 t="shared" si="468"/>
        <v>06:17:30.846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6</v>
      </c>
      <c r="CP1866" t="s">
        <v>119</v>
      </c>
      <c r="CQ1866">
        <v>465</v>
      </c>
      <c r="CR1866">
        <v>0</v>
      </c>
      <c r="CW1866">
        <v>4723043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ref="A1867:A1872" si="469">"08/29/2020 06:17:28.696"</f>
        <v>08/29/2020 06:17:28.696</v>
      </c>
      <c r="C1867" t="str">
        <f t="shared" si="462"/>
        <v>FFDFD3C0</v>
      </c>
      <c r="D1867" t="s">
        <v>128</v>
      </c>
      <c r="E1867">
        <v>5</v>
      </c>
      <c r="H1867">
        <v>241</v>
      </c>
      <c r="I1867" t="s">
        <v>129</v>
      </c>
      <c r="J1867" t="s">
        <v>130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ref="S1867:S1872" si="470">"06:17:31.945"</f>
        <v>06:17:31.945</v>
      </c>
      <c r="T1867" t="str">
        <f t="shared" ref="T1867:T1872" si="471">"06:17:31.445"</f>
        <v>06:17:31.445</v>
      </c>
      <c r="U1867" t="str">
        <f t="shared" si="463"/>
        <v>A7E2E0</v>
      </c>
      <c r="V1867">
        <v>0</v>
      </c>
      <c r="W1867">
        <v>0</v>
      </c>
      <c r="X1867">
        <v>1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0</v>
      </c>
      <c r="AI1867" t="s">
        <v>1159</v>
      </c>
      <c r="AJ1867">
        <v>38.981422999999999</v>
      </c>
      <c r="AK1867" t="s">
        <v>1160</v>
      </c>
      <c r="AL1867">
        <v>-87.588865999999996</v>
      </c>
      <c r="AM1867">
        <v>100</v>
      </c>
      <c r="AN1867">
        <v>2700</v>
      </c>
      <c r="AO1867" t="s">
        <v>118</v>
      </c>
      <c r="AP1867">
        <v>-88</v>
      </c>
      <c r="AQ1867">
        <v>-117</v>
      </c>
      <c r="AR1867">
        <v>128</v>
      </c>
      <c r="AZ1867">
        <v>4552</v>
      </c>
      <c r="BA1867">
        <v>1</v>
      </c>
      <c r="BB1867" t="str">
        <f t="shared" si="464"/>
        <v xml:space="preserve">N607SR  </v>
      </c>
      <c r="BC1867">
        <v>1</v>
      </c>
      <c r="BE1867">
        <v>0</v>
      </c>
      <c r="BF1867">
        <v>0</v>
      </c>
      <c r="BG1867">
        <v>0</v>
      </c>
      <c r="BH1867">
        <v>2475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 t="shared" ref="BW1867:BW1872" si="472">"06:17:31.951"</f>
        <v>06:17:31.951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6</v>
      </c>
      <c r="CP1867" t="s">
        <v>119</v>
      </c>
      <c r="CQ1867">
        <v>465</v>
      </c>
      <c r="CR1867">
        <v>0</v>
      </c>
      <c r="CW1867">
        <v>4723080</v>
      </c>
      <c r="CY1867">
        <v>1</v>
      </c>
      <c r="CZ1867">
        <v>0</v>
      </c>
      <c r="DA1867">
        <v>0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si="469"/>
        <v>08/29/2020 06:17:28.696</v>
      </c>
      <c r="C1868" t="str">
        <f t="shared" si="462"/>
        <v>FFDFD3C0</v>
      </c>
      <c r="D1868" t="s">
        <v>121</v>
      </c>
      <c r="E1868">
        <v>10</v>
      </c>
      <c r="F1868">
        <v>1010</v>
      </c>
      <c r="G1868" t="s">
        <v>114</v>
      </c>
      <c r="J1868" t="s">
        <v>123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470"/>
        <v>06:17:31.945</v>
      </c>
      <c r="T1868" t="str">
        <f t="shared" si="471"/>
        <v>06:17:31.445</v>
      </c>
      <c r="U1868" t="str">
        <f t="shared" si="463"/>
        <v>A7E2E0</v>
      </c>
      <c r="V1868">
        <v>0</v>
      </c>
      <c r="W1868">
        <v>0</v>
      </c>
      <c r="X1868">
        <v>1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0</v>
      </c>
      <c r="AI1868" t="s">
        <v>1159</v>
      </c>
      <c r="AJ1868">
        <v>38.981422999999999</v>
      </c>
      <c r="AK1868" t="s">
        <v>1160</v>
      </c>
      <c r="AL1868">
        <v>-87.588865999999996</v>
      </c>
      <c r="AM1868">
        <v>100</v>
      </c>
      <c r="AN1868">
        <v>2700</v>
      </c>
      <c r="AO1868" t="s">
        <v>118</v>
      </c>
      <c r="AP1868">
        <v>-88</v>
      </c>
      <c r="AQ1868">
        <v>-117</v>
      </c>
      <c r="AR1868">
        <v>128</v>
      </c>
      <c r="AZ1868">
        <v>4552</v>
      </c>
      <c r="BA1868">
        <v>1</v>
      </c>
      <c r="BB1868" t="str">
        <f t="shared" si="464"/>
        <v xml:space="preserve">N607SR  </v>
      </c>
      <c r="BC1868">
        <v>1</v>
      </c>
      <c r="BE1868">
        <v>0</v>
      </c>
      <c r="BF1868">
        <v>0</v>
      </c>
      <c r="BG1868">
        <v>0</v>
      </c>
      <c r="BH1868">
        <v>2475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 t="shared" si="472"/>
        <v>06:17:31.951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6</v>
      </c>
      <c r="CP1868" t="s">
        <v>119</v>
      </c>
      <c r="CQ1868">
        <v>465</v>
      </c>
      <c r="CR1868">
        <v>0</v>
      </c>
      <c r="CW1868">
        <v>4723080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469"/>
        <v>08/29/2020 06:17:28.696</v>
      </c>
      <c r="C1869" t="str">
        <f t="shared" si="462"/>
        <v>FFDFD3C0</v>
      </c>
      <c r="D1869" t="s">
        <v>113</v>
      </c>
      <c r="E1869">
        <v>5</v>
      </c>
      <c r="H1869">
        <v>163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470"/>
        <v>06:17:31.945</v>
      </c>
      <c r="T1869" t="str">
        <f t="shared" si="471"/>
        <v>06:17:31.445</v>
      </c>
      <c r="U1869" t="str">
        <f t="shared" si="463"/>
        <v>A7E2E0</v>
      </c>
      <c r="V1869">
        <v>0</v>
      </c>
      <c r="W1869">
        <v>0</v>
      </c>
      <c r="X1869">
        <v>1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0</v>
      </c>
      <c r="AI1869" t="s">
        <v>1159</v>
      </c>
      <c r="AJ1869">
        <v>38.981422999999999</v>
      </c>
      <c r="AK1869" t="s">
        <v>1160</v>
      </c>
      <c r="AL1869">
        <v>-87.588865999999996</v>
      </c>
      <c r="AM1869">
        <v>100</v>
      </c>
      <c r="AN1869">
        <v>2700</v>
      </c>
      <c r="AO1869" t="s">
        <v>118</v>
      </c>
      <c r="AP1869">
        <v>-88</v>
      </c>
      <c r="AQ1869">
        <v>-117</v>
      </c>
      <c r="AR1869">
        <v>128</v>
      </c>
      <c r="AZ1869">
        <v>4552</v>
      </c>
      <c r="BA1869">
        <v>1</v>
      </c>
      <c r="BB1869" t="str">
        <f t="shared" si="464"/>
        <v xml:space="preserve">N607SR  </v>
      </c>
      <c r="BC1869">
        <v>1</v>
      </c>
      <c r="BE1869">
        <v>0</v>
      </c>
      <c r="BF1869">
        <v>0</v>
      </c>
      <c r="BG1869">
        <v>0</v>
      </c>
      <c r="BH1869">
        <v>2475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 t="shared" si="472"/>
        <v>06:17:31.951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6</v>
      </c>
      <c r="CP1869" t="s">
        <v>119</v>
      </c>
      <c r="CQ1869">
        <v>465</v>
      </c>
      <c r="CR1869">
        <v>0</v>
      </c>
      <c r="CW1869">
        <v>4723080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469"/>
        <v>08/29/2020 06:17:28.696</v>
      </c>
      <c r="C1870" t="str">
        <f t="shared" si="462"/>
        <v>FFDFD3C0</v>
      </c>
      <c r="D1870" t="s">
        <v>121</v>
      </c>
      <c r="E1870">
        <v>11</v>
      </c>
      <c r="F1870">
        <v>1011</v>
      </c>
      <c r="G1870" t="s">
        <v>125</v>
      </c>
      <c r="J1870" t="s">
        <v>123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470"/>
        <v>06:17:31.945</v>
      </c>
      <c r="T1870" t="str">
        <f t="shared" si="471"/>
        <v>06:17:31.445</v>
      </c>
      <c r="U1870" t="str">
        <f t="shared" si="463"/>
        <v>A7E2E0</v>
      </c>
      <c r="V1870">
        <v>0</v>
      </c>
      <c r="W1870">
        <v>0</v>
      </c>
      <c r="X1870">
        <v>1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0</v>
      </c>
      <c r="AI1870" t="s">
        <v>1159</v>
      </c>
      <c r="AJ1870">
        <v>38.981422999999999</v>
      </c>
      <c r="AK1870" t="s">
        <v>1160</v>
      </c>
      <c r="AL1870">
        <v>-87.588865999999996</v>
      </c>
      <c r="AM1870">
        <v>100</v>
      </c>
      <c r="AN1870">
        <v>2700</v>
      </c>
      <c r="AO1870" t="s">
        <v>118</v>
      </c>
      <c r="AP1870">
        <v>-88</v>
      </c>
      <c r="AQ1870">
        <v>-117</v>
      </c>
      <c r="AR1870">
        <v>128</v>
      </c>
      <c r="AZ1870">
        <v>4552</v>
      </c>
      <c r="BA1870">
        <v>1</v>
      </c>
      <c r="BB1870" t="str">
        <f t="shared" si="464"/>
        <v xml:space="preserve">N607SR  </v>
      </c>
      <c r="BC1870">
        <v>1</v>
      </c>
      <c r="BE1870">
        <v>0</v>
      </c>
      <c r="BF1870">
        <v>0</v>
      </c>
      <c r="BG1870">
        <v>0</v>
      </c>
      <c r="BH1870">
        <v>2575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 t="shared" si="472"/>
        <v>06:17:31.951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5</v>
      </c>
      <c r="CP1870" t="s">
        <v>119</v>
      </c>
      <c r="CQ1870">
        <v>177</v>
      </c>
      <c r="CR1870">
        <v>2</v>
      </c>
      <c r="CW1870">
        <v>1655701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 t="shared" si="469"/>
        <v>08/29/2020 06:17:28.696</v>
      </c>
      <c r="C1871" t="str">
        <f t="shared" si="462"/>
        <v>FFDFD3C0</v>
      </c>
      <c r="D1871" t="s">
        <v>121</v>
      </c>
      <c r="E1871">
        <v>13</v>
      </c>
      <c r="F1871">
        <v>1013</v>
      </c>
      <c r="G1871" t="s">
        <v>122</v>
      </c>
      <c r="J1871" t="s">
        <v>123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470"/>
        <v>06:17:31.945</v>
      </c>
      <c r="T1871" t="str">
        <f t="shared" si="471"/>
        <v>06:17:31.445</v>
      </c>
      <c r="U1871" t="str">
        <f t="shared" si="463"/>
        <v>A7E2E0</v>
      </c>
      <c r="V1871">
        <v>0</v>
      </c>
      <c r="W1871">
        <v>0</v>
      </c>
      <c r="X1871">
        <v>1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0</v>
      </c>
      <c r="AI1871" t="s">
        <v>1159</v>
      </c>
      <c r="AJ1871">
        <v>38.981422999999999</v>
      </c>
      <c r="AK1871" t="s">
        <v>1160</v>
      </c>
      <c r="AL1871">
        <v>-87.588865999999996</v>
      </c>
      <c r="AM1871">
        <v>100</v>
      </c>
      <c r="AN1871">
        <v>2700</v>
      </c>
      <c r="AO1871" t="s">
        <v>118</v>
      </c>
      <c r="AP1871">
        <v>-88</v>
      </c>
      <c r="AQ1871">
        <v>-117</v>
      </c>
      <c r="AR1871">
        <v>128</v>
      </c>
      <c r="AZ1871">
        <v>4552</v>
      </c>
      <c r="BA1871">
        <v>1</v>
      </c>
      <c r="BB1871" t="str">
        <f t="shared" si="464"/>
        <v xml:space="preserve">N607SR  </v>
      </c>
      <c r="BC1871">
        <v>1</v>
      </c>
      <c r="BE1871">
        <v>0</v>
      </c>
      <c r="BF1871">
        <v>0</v>
      </c>
      <c r="BG1871">
        <v>0</v>
      </c>
      <c r="BH1871">
        <v>2475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 t="shared" si="472"/>
        <v>06:17:31.951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6</v>
      </c>
      <c r="CP1871" t="s">
        <v>119</v>
      </c>
      <c r="CQ1871">
        <v>465</v>
      </c>
      <c r="CR1871">
        <v>0</v>
      </c>
      <c r="CW1871">
        <v>4723080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 t="shared" si="469"/>
        <v>08/29/2020 06:17:28.696</v>
      </c>
      <c r="C1872" t="str">
        <f t="shared" si="462"/>
        <v>FFDFD3C0</v>
      </c>
      <c r="D1872" t="s">
        <v>939</v>
      </c>
      <c r="E1872">
        <v>10</v>
      </c>
      <c r="H1872">
        <v>79</v>
      </c>
      <c r="I1872" t="s">
        <v>940</v>
      </c>
      <c r="J1872" t="s">
        <v>130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470"/>
        <v>06:17:31.945</v>
      </c>
      <c r="T1872" t="str">
        <f t="shared" si="471"/>
        <v>06:17:31.445</v>
      </c>
      <c r="U1872" t="str">
        <f t="shared" si="463"/>
        <v>A7E2E0</v>
      </c>
      <c r="V1872">
        <v>0</v>
      </c>
      <c r="W1872">
        <v>0</v>
      </c>
      <c r="X1872">
        <v>1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0</v>
      </c>
      <c r="AI1872" t="s">
        <v>1159</v>
      </c>
      <c r="AJ1872">
        <v>38.981422999999999</v>
      </c>
      <c r="AK1872" t="s">
        <v>1160</v>
      </c>
      <c r="AL1872">
        <v>-87.588865999999996</v>
      </c>
      <c r="AM1872">
        <v>100</v>
      </c>
      <c r="AN1872">
        <v>2700</v>
      </c>
      <c r="AO1872" t="s">
        <v>118</v>
      </c>
      <c r="AP1872">
        <v>-88</v>
      </c>
      <c r="AQ1872">
        <v>-117</v>
      </c>
      <c r="AR1872">
        <v>128</v>
      </c>
      <c r="AZ1872">
        <v>4552</v>
      </c>
      <c r="BA1872">
        <v>1</v>
      </c>
      <c r="BB1872" t="str">
        <f t="shared" si="464"/>
        <v xml:space="preserve">N607SR  </v>
      </c>
      <c r="BC1872">
        <v>1</v>
      </c>
      <c r="BE1872">
        <v>0</v>
      </c>
      <c r="BF1872">
        <v>0</v>
      </c>
      <c r="BG1872">
        <v>0</v>
      </c>
      <c r="BH1872">
        <v>2475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 t="shared" si="472"/>
        <v>06:17:31.951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6</v>
      </c>
      <c r="CP1872" t="s">
        <v>119</v>
      </c>
      <c r="CQ1872">
        <v>465</v>
      </c>
      <c r="CR1872">
        <v>0</v>
      </c>
      <c r="CW1872">
        <v>4723080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 t="shared" ref="A1873:A1878" si="473">"08/29/2020 06:17:29.646"</f>
        <v>08/29/2020 06:17:29.646</v>
      </c>
      <c r="C1873" t="str">
        <f t="shared" si="462"/>
        <v>FFDFD3C0</v>
      </c>
      <c r="D1873" t="s">
        <v>939</v>
      </c>
      <c r="E1873">
        <v>10</v>
      </c>
      <c r="H1873">
        <v>79</v>
      </c>
      <c r="I1873" t="s">
        <v>940</v>
      </c>
      <c r="J1873" t="s">
        <v>130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ref="S1873:S1878" si="474">"06:17:32.891"</f>
        <v>06:17:32.891</v>
      </c>
      <c r="T1873" t="str">
        <f t="shared" ref="T1873:T1878" si="475">"06:17:32.491"</f>
        <v>06:17:32.491</v>
      </c>
      <c r="U1873" t="str">
        <f t="shared" si="463"/>
        <v>A7E2E0</v>
      </c>
      <c r="V1873">
        <v>0</v>
      </c>
      <c r="W1873">
        <v>0</v>
      </c>
      <c r="X1873">
        <v>1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0</v>
      </c>
      <c r="AI1873" t="s">
        <v>1161</v>
      </c>
      <c r="AJ1873">
        <v>38.980930000000001</v>
      </c>
      <c r="AK1873" t="s">
        <v>1162</v>
      </c>
      <c r="AL1873">
        <v>-87.589359000000002</v>
      </c>
      <c r="AM1873">
        <v>100</v>
      </c>
      <c r="AN1873">
        <v>2800</v>
      </c>
      <c r="AO1873" t="s">
        <v>118</v>
      </c>
      <c r="AP1873">
        <v>-88</v>
      </c>
      <c r="AQ1873">
        <v>-117</v>
      </c>
      <c r="AR1873">
        <v>64</v>
      </c>
      <c r="AZ1873">
        <v>4552</v>
      </c>
      <c r="BA1873">
        <v>1</v>
      </c>
      <c r="BB1873" t="str">
        <f t="shared" si="464"/>
        <v xml:space="preserve">N607SR  </v>
      </c>
      <c r="BC1873">
        <v>1</v>
      </c>
      <c r="BE1873">
        <v>0</v>
      </c>
      <c r="BF1873">
        <v>0</v>
      </c>
      <c r="BG1873">
        <v>0</v>
      </c>
      <c r="BH1873">
        <v>2575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 t="shared" ref="BW1873:BW1878" si="476">"06:17:32.892"</f>
        <v>06:17:32.892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6</v>
      </c>
      <c r="CP1873" t="s">
        <v>119</v>
      </c>
      <c r="CQ1873">
        <v>465</v>
      </c>
      <c r="CR1873">
        <v>0</v>
      </c>
      <c r="CW1873">
        <v>4723111</v>
      </c>
      <c r="CY1873">
        <v>1</v>
      </c>
      <c r="CZ1873">
        <v>0</v>
      </c>
      <c r="DA1873">
        <v>0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 t="shared" si="473"/>
        <v>08/29/2020 06:17:29.646</v>
      </c>
      <c r="C1874" t="str">
        <f t="shared" si="462"/>
        <v>FFDFD3C0</v>
      </c>
      <c r="D1874" t="s">
        <v>121</v>
      </c>
      <c r="E1874">
        <v>11</v>
      </c>
      <c r="F1874">
        <v>1011</v>
      </c>
      <c r="G1874" t="s">
        <v>125</v>
      </c>
      <c r="J1874" t="s">
        <v>123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474"/>
        <v>06:17:32.891</v>
      </c>
      <c r="T1874" t="str">
        <f t="shared" si="475"/>
        <v>06:17:32.491</v>
      </c>
      <c r="U1874" t="str">
        <f t="shared" si="463"/>
        <v>A7E2E0</v>
      </c>
      <c r="V1874">
        <v>0</v>
      </c>
      <c r="W1874">
        <v>0</v>
      </c>
      <c r="X1874">
        <v>1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0</v>
      </c>
      <c r="AI1874" t="s">
        <v>1161</v>
      </c>
      <c r="AJ1874">
        <v>38.980930000000001</v>
      </c>
      <c r="AK1874" t="s">
        <v>1162</v>
      </c>
      <c r="AL1874">
        <v>-87.589359000000002</v>
      </c>
      <c r="AM1874">
        <v>100</v>
      </c>
      <c r="AN1874">
        <v>2800</v>
      </c>
      <c r="AO1874" t="s">
        <v>118</v>
      </c>
      <c r="AP1874">
        <v>-88</v>
      </c>
      <c r="AQ1874">
        <v>-117</v>
      </c>
      <c r="AR1874">
        <v>64</v>
      </c>
      <c r="AZ1874">
        <v>4552</v>
      </c>
      <c r="BA1874">
        <v>1</v>
      </c>
      <c r="BB1874" t="str">
        <f t="shared" si="464"/>
        <v xml:space="preserve">N607SR  </v>
      </c>
      <c r="BC1874">
        <v>1</v>
      </c>
      <c r="BE1874">
        <v>0</v>
      </c>
      <c r="BF1874">
        <v>0</v>
      </c>
      <c r="BG1874">
        <v>0</v>
      </c>
      <c r="BH1874">
        <v>2575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 t="shared" si="476"/>
        <v>06:17:32.892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5</v>
      </c>
      <c r="CP1874" t="s">
        <v>119</v>
      </c>
      <c r="CQ1874">
        <v>177</v>
      </c>
      <c r="CR1874">
        <v>2</v>
      </c>
      <c r="CW1874">
        <v>1655838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 t="shared" si="473"/>
        <v>08/29/2020 06:17:29.646</v>
      </c>
      <c r="C1875" t="str">
        <f t="shared" si="462"/>
        <v>FFDFD3C0</v>
      </c>
      <c r="D1875" t="s">
        <v>121</v>
      </c>
      <c r="E1875">
        <v>13</v>
      </c>
      <c r="F1875">
        <v>1013</v>
      </c>
      <c r="G1875" t="s">
        <v>122</v>
      </c>
      <c r="J1875" t="s">
        <v>123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474"/>
        <v>06:17:32.891</v>
      </c>
      <c r="T1875" t="str">
        <f t="shared" si="475"/>
        <v>06:17:32.491</v>
      </c>
      <c r="U1875" t="str">
        <f t="shared" si="463"/>
        <v>A7E2E0</v>
      </c>
      <c r="V1875">
        <v>0</v>
      </c>
      <c r="W1875">
        <v>0</v>
      </c>
      <c r="X1875">
        <v>1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0</v>
      </c>
      <c r="AI1875" t="s">
        <v>1161</v>
      </c>
      <c r="AJ1875">
        <v>38.980930000000001</v>
      </c>
      <c r="AK1875" t="s">
        <v>1162</v>
      </c>
      <c r="AL1875">
        <v>-87.589359000000002</v>
      </c>
      <c r="AM1875">
        <v>100</v>
      </c>
      <c r="AN1875">
        <v>2800</v>
      </c>
      <c r="AO1875" t="s">
        <v>118</v>
      </c>
      <c r="AP1875">
        <v>-88</v>
      </c>
      <c r="AQ1875">
        <v>-117</v>
      </c>
      <c r="AR1875">
        <v>64</v>
      </c>
      <c r="AZ1875">
        <v>4552</v>
      </c>
      <c r="BA1875">
        <v>1</v>
      </c>
      <c r="BB1875" t="str">
        <f t="shared" si="464"/>
        <v xml:space="preserve">N607SR  </v>
      </c>
      <c r="BC1875">
        <v>1</v>
      </c>
      <c r="BE1875">
        <v>0</v>
      </c>
      <c r="BF1875">
        <v>0</v>
      </c>
      <c r="BG1875">
        <v>0</v>
      </c>
      <c r="BH1875">
        <v>2575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 t="shared" si="476"/>
        <v>06:17:32.892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6</v>
      </c>
      <c r="CP1875" t="s">
        <v>119</v>
      </c>
      <c r="CQ1875">
        <v>465</v>
      </c>
      <c r="CR1875">
        <v>0</v>
      </c>
      <c r="CW1875">
        <v>4723111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 t="shared" si="473"/>
        <v>08/29/2020 06:17:29.646</v>
      </c>
      <c r="C1876" t="str">
        <f t="shared" si="462"/>
        <v>FFDFD3C0</v>
      </c>
      <c r="D1876" t="s">
        <v>128</v>
      </c>
      <c r="E1876">
        <v>5</v>
      </c>
      <c r="H1876">
        <v>241</v>
      </c>
      <c r="I1876" t="s">
        <v>129</v>
      </c>
      <c r="J1876" t="s">
        <v>130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474"/>
        <v>06:17:32.891</v>
      </c>
      <c r="T1876" t="str">
        <f t="shared" si="475"/>
        <v>06:17:32.491</v>
      </c>
      <c r="U1876" t="str">
        <f t="shared" si="463"/>
        <v>A7E2E0</v>
      </c>
      <c r="V1876">
        <v>0</v>
      </c>
      <c r="W1876">
        <v>0</v>
      </c>
      <c r="X1876">
        <v>1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0</v>
      </c>
      <c r="AI1876" t="s">
        <v>1161</v>
      </c>
      <c r="AJ1876">
        <v>38.980930000000001</v>
      </c>
      <c r="AK1876" t="s">
        <v>1162</v>
      </c>
      <c r="AL1876">
        <v>-87.589359000000002</v>
      </c>
      <c r="AM1876">
        <v>100</v>
      </c>
      <c r="AN1876">
        <v>2800</v>
      </c>
      <c r="AO1876" t="s">
        <v>118</v>
      </c>
      <c r="AP1876">
        <v>-88</v>
      </c>
      <c r="AQ1876">
        <v>-117</v>
      </c>
      <c r="AR1876">
        <v>64</v>
      </c>
      <c r="AZ1876">
        <v>4552</v>
      </c>
      <c r="BA1876">
        <v>1</v>
      </c>
      <c r="BB1876" t="str">
        <f t="shared" si="464"/>
        <v xml:space="preserve">N607SR  </v>
      </c>
      <c r="BC1876">
        <v>1</v>
      </c>
      <c r="BE1876">
        <v>0</v>
      </c>
      <c r="BF1876">
        <v>0</v>
      </c>
      <c r="BG1876">
        <v>0</v>
      </c>
      <c r="BH1876">
        <v>2575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 t="shared" si="476"/>
        <v>06:17:32.892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465</v>
      </c>
      <c r="CR1876">
        <v>0</v>
      </c>
      <c r="CW1876">
        <v>4723111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 t="shared" si="473"/>
        <v>08/29/2020 06:17:29.646</v>
      </c>
      <c r="C1877" t="str">
        <f t="shared" si="462"/>
        <v>FFDFD3C0</v>
      </c>
      <c r="D1877" t="s">
        <v>121</v>
      </c>
      <c r="E1877">
        <v>10</v>
      </c>
      <c r="F1877">
        <v>1010</v>
      </c>
      <c r="G1877" t="s">
        <v>114</v>
      </c>
      <c r="J1877" t="s">
        <v>123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474"/>
        <v>06:17:32.891</v>
      </c>
      <c r="T1877" t="str">
        <f t="shared" si="475"/>
        <v>06:17:32.491</v>
      </c>
      <c r="U1877" t="str">
        <f t="shared" si="463"/>
        <v>A7E2E0</v>
      </c>
      <c r="V1877">
        <v>0</v>
      </c>
      <c r="W1877">
        <v>0</v>
      </c>
      <c r="X1877">
        <v>1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0</v>
      </c>
      <c r="AI1877" t="s">
        <v>1161</v>
      </c>
      <c r="AJ1877">
        <v>38.980930000000001</v>
      </c>
      <c r="AK1877" t="s">
        <v>1162</v>
      </c>
      <c r="AL1877">
        <v>-87.589359000000002</v>
      </c>
      <c r="AM1877">
        <v>100</v>
      </c>
      <c r="AN1877">
        <v>2800</v>
      </c>
      <c r="AO1877" t="s">
        <v>118</v>
      </c>
      <c r="AP1877">
        <v>-88</v>
      </c>
      <c r="AQ1877">
        <v>-117</v>
      </c>
      <c r="AR1877">
        <v>64</v>
      </c>
      <c r="AZ1877">
        <v>4552</v>
      </c>
      <c r="BA1877">
        <v>1</v>
      </c>
      <c r="BB1877" t="str">
        <f t="shared" si="464"/>
        <v xml:space="preserve">N607SR  </v>
      </c>
      <c r="BC1877">
        <v>1</v>
      </c>
      <c r="BE1877">
        <v>0</v>
      </c>
      <c r="BF1877">
        <v>0</v>
      </c>
      <c r="BG1877">
        <v>0</v>
      </c>
      <c r="BH1877">
        <v>2575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 t="shared" si="476"/>
        <v>06:17:32.892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465</v>
      </c>
      <c r="CR1877">
        <v>0</v>
      </c>
      <c r="CW1877">
        <v>4723111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 t="shared" si="473"/>
        <v>08/29/2020 06:17:29.646</v>
      </c>
      <c r="C1878" t="str">
        <f t="shared" si="462"/>
        <v>FFDFD3C0</v>
      </c>
      <c r="D1878" t="s">
        <v>113</v>
      </c>
      <c r="E1878">
        <v>5</v>
      </c>
      <c r="H1878">
        <v>163</v>
      </c>
      <c r="I1878" t="s">
        <v>114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474"/>
        <v>06:17:32.891</v>
      </c>
      <c r="T1878" t="str">
        <f t="shared" si="475"/>
        <v>06:17:32.491</v>
      </c>
      <c r="U1878" t="str">
        <f t="shared" si="463"/>
        <v>A7E2E0</v>
      </c>
      <c r="V1878">
        <v>0</v>
      </c>
      <c r="W1878">
        <v>0</v>
      </c>
      <c r="X1878">
        <v>1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0</v>
      </c>
      <c r="AI1878" t="s">
        <v>1161</v>
      </c>
      <c r="AJ1878">
        <v>38.980930000000001</v>
      </c>
      <c r="AK1878" t="s">
        <v>1162</v>
      </c>
      <c r="AL1878">
        <v>-87.589359000000002</v>
      </c>
      <c r="AM1878">
        <v>100</v>
      </c>
      <c r="AN1878">
        <v>2800</v>
      </c>
      <c r="AO1878" t="s">
        <v>118</v>
      </c>
      <c r="AP1878">
        <v>-88</v>
      </c>
      <c r="AQ1878">
        <v>-117</v>
      </c>
      <c r="AR1878">
        <v>64</v>
      </c>
      <c r="AZ1878">
        <v>4552</v>
      </c>
      <c r="BA1878">
        <v>1</v>
      </c>
      <c r="BB1878" t="str">
        <f t="shared" si="464"/>
        <v xml:space="preserve">N607SR  </v>
      </c>
      <c r="BC1878">
        <v>1</v>
      </c>
      <c r="BE1878">
        <v>0</v>
      </c>
      <c r="BF1878">
        <v>0</v>
      </c>
      <c r="BG1878">
        <v>0</v>
      </c>
      <c r="BH1878">
        <v>2575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 t="shared" si="476"/>
        <v>06:17:32.892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6</v>
      </c>
      <c r="CP1878" t="s">
        <v>119</v>
      </c>
      <c r="CQ1878">
        <v>465</v>
      </c>
      <c r="CR1878">
        <v>0</v>
      </c>
      <c r="CW1878">
        <v>4723111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 t="shared" ref="A1879:A1884" si="477">"08/29/2020 06:17:30.702"</f>
        <v>08/29/2020 06:17:30.702</v>
      </c>
      <c r="C1879" t="str">
        <f t="shared" si="462"/>
        <v>FFDFD3C0</v>
      </c>
      <c r="D1879" t="s">
        <v>939</v>
      </c>
      <c r="E1879">
        <v>10</v>
      </c>
      <c r="H1879">
        <v>79</v>
      </c>
      <c r="I1879" t="s">
        <v>940</v>
      </c>
      <c r="J1879" t="s">
        <v>130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ref="S1879:S1884" si="478">"06:17:33.898"</f>
        <v>06:17:33.898</v>
      </c>
      <c r="T1879" t="str">
        <f t="shared" ref="T1879:T1884" si="479">"06:17:33.498"</f>
        <v>06:17:33.498</v>
      </c>
      <c r="U1879" t="str">
        <f t="shared" si="463"/>
        <v>A7E2E0</v>
      </c>
      <c r="V1879">
        <v>0</v>
      </c>
      <c r="W1879">
        <v>0</v>
      </c>
      <c r="X1879">
        <v>1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0</v>
      </c>
      <c r="AI1879" t="s">
        <v>1163</v>
      </c>
      <c r="AJ1879">
        <v>38.980308000000001</v>
      </c>
      <c r="AK1879" t="s">
        <v>1164</v>
      </c>
      <c r="AL1879">
        <v>-87.589939000000001</v>
      </c>
      <c r="AM1879">
        <v>100</v>
      </c>
      <c r="AN1879">
        <v>2800</v>
      </c>
      <c r="AO1879" t="s">
        <v>118</v>
      </c>
      <c r="AP1879">
        <v>-88</v>
      </c>
      <c r="AQ1879">
        <v>-117</v>
      </c>
      <c r="AR1879">
        <v>64</v>
      </c>
      <c r="AZ1879">
        <v>4552</v>
      </c>
      <c r="BA1879">
        <v>1</v>
      </c>
      <c r="BB1879" t="str">
        <f t="shared" si="464"/>
        <v xml:space="preserve">N607SR  </v>
      </c>
      <c r="BC1879">
        <v>1</v>
      </c>
      <c r="BE1879">
        <v>0</v>
      </c>
      <c r="BF1879">
        <v>0</v>
      </c>
      <c r="BG1879">
        <v>0</v>
      </c>
      <c r="BH1879">
        <v>2575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 t="shared" ref="BW1879:BW1884" si="480">"06:17:33.906"</f>
        <v>06:17:33.906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6</v>
      </c>
      <c r="CP1879" t="s">
        <v>119</v>
      </c>
      <c r="CQ1879">
        <v>465</v>
      </c>
      <c r="CR1879">
        <v>0</v>
      </c>
      <c r="CW1879">
        <v>4723142</v>
      </c>
      <c r="CY1879">
        <v>1</v>
      </c>
      <c r="CZ1879">
        <v>0</v>
      </c>
      <c r="DA1879">
        <v>0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 t="shared" si="477"/>
        <v>08/29/2020 06:17:30.702</v>
      </c>
      <c r="C1880" t="str">
        <f t="shared" si="462"/>
        <v>FFDFD3C0</v>
      </c>
      <c r="D1880" t="s">
        <v>113</v>
      </c>
      <c r="E1880">
        <v>5</v>
      </c>
      <c r="H1880">
        <v>163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478"/>
        <v>06:17:33.898</v>
      </c>
      <c r="T1880" t="str">
        <f t="shared" si="479"/>
        <v>06:17:33.498</v>
      </c>
      <c r="U1880" t="str">
        <f t="shared" si="463"/>
        <v>A7E2E0</v>
      </c>
      <c r="V1880">
        <v>0</v>
      </c>
      <c r="W1880">
        <v>0</v>
      </c>
      <c r="X1880">
        <v>1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0</v>
      </c>
      <c r="AI1880" t="s">
        <v>1163</v>
      </c>
      <c r="AJ1880">
        <v>38.980308000000001</v>
      </c>
      <c r="AK1880" t="s">
        <v>1164</v>
      </c>
      <c r="AL1880">
        <v>-87.589939000000001</v>
      </c>
      <c r="AM1880">
        <v>100</v>
      </c>
      <c r="AN1880">
        <v>2800</v>
      </c>
      <c r="AO1880" t="s">
        <v>118</v>
      </c>
      <c r="AP1880">
        <v>-88</v>
      </c>
      <c r="AQ1880">
        <v>-117</v>
      </c>
      <c r="AR1880">
        <v>64</v>
      </c>
      <c r="AZ1880">
        <v>4552</v>
      </c>
      <c r="BA1880">
        <v>1</v>
      </c>
      <c r="BB1880" t="str">
        <f t="shared" si="464"/>
        <v xml:space="preserve">N607SR  </v>
      </c>
      <c r="BC1880">
        <v>1</v>
      </c>
      <c r="BE1880">
        <v>0</v>
      </c>
      <c r="BF1880">
        <v>0</v>
      </c>
      <c r="BG1880">
        <v>0</v>
      </c>
      <c r="BH1880">
        <v>2575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 t="shared" si="480"/>
        <v>06:17:33.906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6</v>
      </c>
      <c r="CP1880" t="s">
        <v>119</v>
      </c>
      <c r="CQ1880">
        <v>465</v>
      </c>
      <c r="CR1880">
        <v>0</v>
      </c>
      <c r="CW1880">
        <v>4723142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 t="shared" si="477"/>
        <v>08/29/2020 06:17:30.702</v>
      </c>
      <c r="C1881" t="str">
        <f t="shared" si="462"/>
        <v>FFDFD3C0</v>
      </c>
      <c r="D1881" t="s">
        <v>121</v>
      </c>
      <c r="E1881">
        <v>13</v>
      </c>
      <c r="F1881">
        <v>1013</v>
      </c>
      <c r="G1881" t="s">
        <v>122</v>
      </c>
      <c r="J1881" t="s">
        <v>123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478"/>
        <v>06:17:33.898</v>
      </c>
      <c r="T1881" t="str">
        <f t="shared" si="479"/>
        <v>06:17:33.498</v>
      </c>
      <c r="U1881" t="str">
        <f t="shared" si="463"/>
        <v>A7E2E0</v>
      </c>
      <c r="V1881">
        <v>0</v>
      </c>
      <c r="W1881">
        <v>0</v>
      </c>
      <c r="X1881">
        <v>1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0</v>
      </c>
      <c r="AI1881" t="s">
        <v>1163</v>
      </c>
      <c r="AJ1881">
        <v>38.980308000000001</v>
      </c>
      <c r="AK1881" t="s">
        <v>1164</v>
      </c>
      <c r="AL1881">
        <v>-87.589939000000001</v>
      </c>
      <c r="AM1881">
        <v>100</v>
      </c>
      <c r="AN1881">
        <v>2800</v>
      </c>
      <c r="AO1881" t="s">
        <v>118</v>
      </c>
      <c r="AP1881">
        <v>-88</v>
      </c>
      <c r="AQ1881">
        <v>-117</v>
      </c>
      <c r="AR1881">
        <v>64</v>
      </c>
      <c r="AZ1881">
        <v>4552</v>
      </c>
      <c r="BA1881">
        <v>1</v>
      </c>
      <c r="BB1881" t="str">
        <f t="shared" si="464"/>
        <v xml:space="preserve">N607SR  </v>
      </c>
      <c r="BC1881">
        <v>1</v>
      </c>
      <c r="BE1881">
        <v>0</v>
      </c>
      <c r="BF1881">
        <v>0</v>
      </c>
      <c r="BG1881">
        <v>0</v>
      </c>
      <c r="BH1881">
        <v>2575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 t="shared" si="480"/>
        <v>06:17:33.906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6</v>
      </c>
      <c r="CP1881" t="s">
        <v>119</v>
      </c>
      <c r="CQ1881">
        <v>465</v>
      </c>
      <c r="CR1881">
        <v>0</v>
      </c>
      <c r="CW1881">
        <v>4723142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 t="shared" si="477"/>
        <v>08/29/2020 06:17:30.702</v>
      </c>
      <c r="C1882" t="str">
        <f t="shared" si="462"/>
        <v>FFDFD3C0</v>
      </c>
      <c r="D1882" t="s">
        <v>121</v>
      </c>
      <c r="E1882">
        <v>11</v>
      </c>
      <c r="F1882">
        <v>1011</v>
      </c>
      <c r="G1882" t="s">
        <v>125</v>
      </c>
      <c r="J1882" t="s">
        <v>123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478"/>
        <v>06:17:33.898</v>
      </c>
      <c r="T1882" t="str">
        <f t="shared" si="479"/>
        <v>06:17:33.498</v>
      </c>
      <c r="U1882" t="str">
        <f t="shared" si="463"/>
        <v>A7E2E0</v>
      </c>
      <c r="V1882">
        <v>0</v>
      </c>
      <c r="W1882">
        <v>0</v>
      </c>
      <c r="X1882">
        <v>1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0</v>
      </c>
      <c r="AI1882" t="s">
        <v>1163</v>
      </c>
      <c r="AJ1882">
        <v>38.980308000000001</v>
      </c>
      <c r="AK1882" t="s">
        <v>1164</v>
      </c>
      <c r="AL1882">
        <v>-87.589939000000001</v>
      </c>
      <c r="AM1882">
        <v>100</v>
      </c>
      <c r="AN1882">
        <v>2800</v>
      </c>
      <c r="AO1882" t="s">
        <v>118</v>
      </c>
      <c r="AP1882">
        <v>-88</v>
      </c>
      <c r="AQ1882">
        <v>-117</v>
      </c>
      <c r="AR1882">
        <v>64</v>
      </c>
      <c r="AZ1882">
        <v>4552</v>
      </c>
      <c r="BA1882">
        <v>1</v>
      </c>
      <c r="BB1882" t="str">
        <f t="shared" si="464"/>
        <v xml:space="preserve">N607SR  </v>
      </c>
      <c r="BC1882">
        <v>1</v>
      </c>
      <c r="BE1882">
        <v>0</v>
      </c>
      <c r="BF1882">
        <v>0</v>
      </c>
      <c r="BG1882">
        <v>0</v>
      </c>
      <c r="BH1882">
        <v>2575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 t="shared" si="480"/>
        <v>06:17:33.906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5</v>
      </c>
      <c r="CP1882" t="s">
        <v>119</v>
      </c>
      <c r="CQ1882">
        <v>177</v>
      </c>
      <c r="CR1882">
        <v>2</v>
      </c>
      <c r="CW1882">
        <v>1655998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 t="shared" si="477"/>
        <v>08/29/2020 06:17:30.702</v>
      </c>
      <c r="C1883" t="str">
        <f t="shared" si="462"/>
        <v>FFDFD3C0</v>
      </c>
      <c r="D1883" t="s">
        <v>128</v>
      </c>
      <c r="E1883">
        <v>5</v>
      </c>
      <c r="H1883">
        <v>241</v>
      </c>
      <c r="I1883" t="s">
        <v>129</v>
      </c>
      <c r="J1883" t="s">
        <v>130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478"/>
        <v>06:17:33.898</v>
      </c>
      <c r="T1883" t="str">
        <f t="shared" si="479"/>
        <v>06:17:33.498</v>
      </c>
      <c r="U1883" t="str">
        <f t="shared" si="463"/>
        <v>A7E2E0</v>
      </c>
      <c r="V1883">
        <v>0</v>
      </c>
      <c r="W1883">
        <v>0</v>
      </c>
      <c r="X1883">
        <v>1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0</v>
      </c>
      <c r="AI1883" t="s">
        <v>1163</v>
      </c>
      <c r="AJ1883">
        <v>38.980308000000001</v>
      </c>
      <c r="AK1883" t="s">
        <v>1164</v>
      </c>
      <c r="AL1883">
        <v>-87.589939000000001</v>
      </c>
      <c r="AM1883">
        <v>100</v>
      </c>
      <c r="AN1883">
        <v>2800</v>
      </c>
      <c r="AO1883" t="s">
        <v>118</v>
      </c>
      <c r="AP1883">
        <v>-88</v>
      </c>
      <c r="AQ1883">
        <v>-117</v>
      </c>
      <c r="AR1883">
        <v>64</v>
      </c>
      <c r="AZ1883">
        <v>4552</v>
      </c>
      <c r="BA1883">
        <v>1</v>
      </c>
      <c r="BB1883" t="str">
        <f t="shared" si="464"/>
        <v xml:space="preserve">N607SR  </v>
      </c>
      <c r="BC1883">
        <v>1</v>
      </c>
      <c r="BE1883">
        <v>0</v>
      </c>
      <c r="BF1883">
        <v>0</v>
      </c>
      <c r="BG1883">
        <v>0</v>
      </c>
      <c r="BH1883">
        <v>2575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 t="shared" si="480"/>
        <v>06:17:33.906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465</v>
      </c>
      <c r="CR1883">
        <v>0</v>
      </c>
      <c r="CW1883">
        <v>4723142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 t="shared" si="477"/>
        <v>08/29/2020 06:17:30.702</v>
      </c>
      <c r="C1884" t="str">
        <f t="shared" si="462"/>
        <v>FFDFD3C0</v>
      </c>
      <c r="D1884" t="s">
        <v>121</v>
      </c>
      <c r="E1884">
        <v>10</v>
      </c>
      <c r="F1884">
        <v>1010</v>
      </c>
      <c r="G1884" t="s">
        <v>114</v>
      </c>
      <c r="J1884" t="s">
        <v>123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478"/>
        <v>06:17:33.898</v>
      </c>
      <c r="T1884" t="str">
        <f t="shared" si="479"/>
        <v>06:17:33.498</v>
      </c>
      <c r="U1884" t="str">
        <f t="shared" si="463"/>
        <v>A7E2E0</v>
      </c>
      <c r="V1884">
        <v>0</v>
      </c>
      <c r="W1884">
        <v>0</v>
      </c>
      <c r="X1884">
        <v>1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0</v>
      </c>
      <c r="AI1884" t="s">
        <v>1163</v>
      </c>
      <c r="AJ1884">
        <v>38.980308000000001</v>
      </c>
      <c r="AK1884" t="s">
        <v>1164</v>
      </c>
      <c r="AL1884">
        <v>-87.589939000000001</v>
      </c>
      <c r="AM1884">
        <v>100</v>
      </c>
      <c r="AN1884">
        <v>2800</v>
      </c>
      <c r="AO1884" t="s">
        <v>118</v>
      </c>
      <c r="AP1884">
        <v>-88</v>
      </c>
      <c r="AQ1884">
        <v>-117</v>
      </c>
      <c r="AR1884">
        <v>64</v>
      </c>
      <c r="AZ1884">
        <v>4552</v>
      </c>
      <c r="BA1884">
        <v>1</v>
      </c>
      <c r="BB1884" t="str">
        <f t="shared" si="464"/>
        <v xml:space="preserve">N607SR  </v>
      </c>
      <c r="BC1884">
        <v>1</v>
      </c>
      <c r="BE1884">
        <v>0</v>
      </c>
      <c r="BF1884">
        <v>0</v>
      </c>
      <c r="BG1884">
        <v>0</v>
      </c>
      <c r="BH1884">
        <v>2575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 t="shared" si="480"/>
        <v>06:17:33.906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465</v>
      </c>
      <c r="CR1884">
        <v>0</v>
      </c>
      <c r="CW1884">
        <v>4723142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 t="shared" ref="A1885:A1890" si="481">"08/29/2020 06:17:31.623"</f>
        <v>08/29/2020 06:17:31.623</v>
      </c>
      <c r="C1885" t="str">
        <f t="shared" si="462"/>
        <v>FFDFD3C0</v>
      </c>
      <c r="D1885" t="s">
        <v>121</v>
      </c>
      <c r="E1885">
        <v>13</v>
      </c>
      <c r="F1885">
        <v>1013</v>
      </c>
      <c r="G1885" t="s">
        <v>122</v>
      </c>
      <c r="J1885" t="s">
        <v>123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ref="S1885:S1890" si="482">"06:17:34.844"</f>
        <v>06:17:34.844</v>
      </c>
      <c r="T1885" t="str">
        <f t="shared" ref="T1885:T1890" si="483">"06:17:34.444"</f>
        <v>06:17:34.444</v>
      </c>
      <c r="U1885" t="str">
        <f t="shared" si="463"/>
        <v>A7E2E0</v>
      </c>
      <c r="V1885">
        <v>0</v>
      </c>
      <c r="W1885">
        <v>0</v>
      </c>
      <c r="X1885">
        <v>1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0</v>
      </c>
      <c r="AI1885" t="s">
        <v>1165</v>
      </c>
      <c r="AJ1885">
        <v>38.979857000000003</v>
      </c>
      <c r="AK1885" t="s">
        <v>1166</v>
      </c>
      <c r="AL1885">
        <v>-87.590389000000002</v>
      </c>
      <c r="AM1885">
        <v>100</v>
      </c>
      <c r="AN1885">
        <v>2800</v>
      </c>
      <c r="AO1885" t="s">
        <v>118</v>
      </c>
      <c r="AP1885">
        <v>-87</v>
      </c>
      <c r="AQ1885">
        <v>-117</v>
      </c>
      <c r="AR1885">
        <v>0</v>
      </c>
      <c r="AZ1885">
        <v>4552</v>
      </c>
      <c r="BA1885">
        <v>1</v>
      </c>
      <c r="BB1885" t="str">
        <f t="shared" si="464"/>
        <v xml:space="preserve">N607SR  </v>
      </c>
      <c r="BC1885">
        <v>1</v>
      </c>
      <c r="BE1885">
        <v>0</v>
      </c>
      <c r="BF1885">
        <v>0</v>
      </c>
      <c r="BG1885">
        <v>0</v>
      </c>
      <c r="BH1885">
        <v>2575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 t="shared" ref="BW1885:BW1890" si="484">"06:17:34.852"</f>
        <v>06:17:34.852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465</v>
      </c>
      <c r="CR1885">
        <v>0</v>
      </c>
      <c r="CW1885">
        <v>4723173</v>
      </c>
      <c r="CY1885">
        <v>1</v>
      </c>
      <c r="CZ1885">
        <v>0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 t="shared" si="481"/>
        <v>08/29/2020 06:17:31.623</v>
      </c>
      <c r="C1886" t="str">
        <f t="shared" si="462"/>
        <v>FFDFD3C0</v>
      </c>
      <c r="D1886" t="s">
        <v>121</v>
      </c>
      <c r="E1886">
        <v>11</v>
      </c>
      <c r="F1886">
        <v>1011</v>
      </c>
      <c r="G1886" t="s">
        <v>125</v>
      </c>
      <c r="J1886" t="s">
        <v>123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482"/>
        <v>06:17:34.844</v>
      </c>
      <c r="T1886" t="str">
        <f t="shared" si="483"/>
        <v>06:17:34.444</v>
      </c>
      <c r="U1886" t="str">
        <f t="shared" si="463"/>
        <v>A7E2E0</v>
      </c>
      <c r="V1886">
        <v>0</v>
      </c>
      <c r="W1886">
        <v>0</v>
      </c>
      <c r="X1886">
        <v>1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0</v>
      </c>
      <c r="AI1886" t="s">
        <v>1165</v>
      </c>
      <c r="AJ1886">
        <v>38.979857000000003</v>
      </c>
      <c r="AK1886" t="s">
        <v>1166</v>
      </c>
      <c r="AL1886">
        <v>-87.590389000000002</v>
      </c>
      <c r="AM1886">
        <v>100</v>
      </c>
      <c r="AN1886">
        <v>2800</v>
      </c>
      <c r="AO1886" t="s">
        <v>118</v>
      </c>
      <c r="AP1886">
        <v>-87</v>
      </c>
      <c r="AQ1886">
        <v>-117</v>
      </c>
      <c r="AR1886">
        <v>0</v>
      </c>
      <c r="AZ1886">
        <v>4552</v>
      </c>
      <c r="BA1886">
        <v>1</v>
      </c>
      <c r="BB1886" t="str">
        <f t="shared" si="464"/>
        <v xml:space="preserve">N607SR  </v>
      </c>
      <c r="BC1886">
        <v>1</v>
      </c>
      <c r="BE1886">
        <v>0</v>
      </c>
      <c r="BF1886">
        <v>0</v>
      </c>
      <c r="BG1886">
        <v>0</v>
      </c>
      <c r="BH1886">
        <v>2575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 t="shared" si="484"/>
        <v>06:17:34.852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5</v>
      </c>
      <c r="CP1886" t="s">
        <v>119</v>
      </c>
      <c r="CQ1886">
        <v>177</v>
      </c>
      <c r="CR1886">
        <v>2</v>
      </c>
      <c r="CW1886">
        <v>1656169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 t="shared" si="481"/>
        <v>08/29/2020 06:17:31.623</v>
      </c>
      <c r="C1887" t="str">
        <f t="shared" si="462"/>
        <v>FFDFD3C0</v>
      </c>
      <c r="D1887" t="s">
        <v>128</v>
      </c>
      <c r="E1887">
        <v>5</v>
      </c>
      <c r="H1887">
        <v>241</v>
      </c>
      <c r="I1887" t="s">
        <v>129</v>
      </c>
      <c r="J1887" t="s">
        <v>130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482"/>
        <v>06:17:34.844</v>
      </c>
      <c r="T1887" t="str">
        <f t="shared" si="483"/>
        <v>06:17:34.444</v>
      </c>
      <c r="U1887" t="str">
        <f t="shared" si="463"/>
        <v>A7E2E0</v>
      </c>
      <c r="V1887">
        <v>0</v>
      </c>
      <c r="W1887">
        <v>0</v>
      </c>
      <c r="X1887">
        <v>1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0</v>
      </c>
      <c r="AI1887" t="s">
        <v>1165</v>
      </c>
      <c r="AJ1887">
        <v>38.979857000000003</v>
      </c>
      <c r="AK1887" t="s">
        <v>1166</v>
      </c>
      <c r="AL1887">
        <v>-87.590389000000002</v>
      </c>
      <c r="AM1887">
        <v>100</v>
      </c>
      <c r="AN1887">
        <v>2800</v>
      </c>
      <c r="AO1887" t="s">
        <v>118</v>
      </c>
      <c r="AP1887">
        <v>-87</v>
      </c>
      <c r="AQ1887">
        <v>-117</v>
      </c>
      <c r="AR1887">
        <v>0</v>
      </c>
      <c r="AZ1887">
        <v>4552</v>
      </c>
      <c r="BA1887">
        <v>1</v>
      </c>
      <c r="BB1887" t="str">
        <f t="shared" si="464"/>
        <v xml:space="preserve">N607SR  </v>
      </c>
      <c r="BC1887">
        <v>1</v>
      </c>
      <c r="BE1887">
        <v>0</v>
      </c>
      <c r="BF1887">
        <v>0</v>
      </c>
      <c r="BG1887">
        <v>0</v>
      </c>
      <c r="BH1887">
        <v>2575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 t="shared" si="484"/>
        <v>06:17:34.852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465</v>
      </c>
      <c r="CR1887">
        <v>0</v>
      </c>
      <c r="CW1887">
        <v>4723173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 t="shared" si="481"/>
        <v>08/29/2020 06:17:31.623</v>
      </c>
      <c r="C1888" t="str">
        <f t="shared" si="462"/>
        <v>FFDFD3C0</v>
      </c>
      <c r="D1888" t="s">
        <v>121</v>
      </c>
      <c r="E1888">
        <v>10</v>
      </c>
      <c r="F1888">
        <v>1010</v>
      </c>
      <c r="G1888" t="s">
        <v>114</v>
      </c>
      <c r="J1888" t="s">
        <v>123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482"/>
        <v>06:17:34.844</v>
      </c>
      <c r="T1888" t="str">
        <f t="shared" si="483"/>
        <v>06:17:34.444</v>
      </c>
      <c r="U1888" t="str">
        <f t="shared" si="463"/>
        <v>A7E2E0</v>
      </c>
      <c r="V1888">
        <v>0</v>
      </c>
      <c r="W1888">
        <v>0</v>
      </c>
      <c r="X1888">
        <v>1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0</v>
      </c>
      <c r="AI1888" t="s">
        <v>1165</v>
      </c>
      <c r="AJ1888">
        <v>38.979857000000003</v>
      </c>
      <c r="AK1888" t="s">
        <v>1166</v>
      </c>
      <c r="AL1888">
        <v>-87.590389000000002</v>
      </c>
      <c r="AM1888">
        <v>100</v>
      </c>
      <c r="AN1888">
        <v>2800</v>
      </c>
      <c r="AO1888" t="s">
        <v>118</v>
      </c>
      <c r="AP1888">
        <v>-87</v>
      </c>
      <c r="AQ1888">
        <v>-117</v>
      </c>
      <c r="AR1888">
        <v>0</v>
      </c>
      <c r="AZ1888">
        <v>4552</v>
      </c>
      <c r="BA1888">
        <v>1</v>
      </c>
      <c r="BB1888" t="str">
        <f t="shared" si="464"/>
        <v xml:space="preserve">N607SR  </v>
      </c>
      <c r="BC1888">
        <v>1</v>
      </c>
      <c r="BE1888">
        <v>0</v>
      </c>
      <c r="BF1888">
        <v>0</v>
      </c>
      <c r="BG1888">
        <v>0</v>
      </c>
      <c r="BH1888">
        <v>2575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 t="shared" si="484"/>
        <v>06:17:34.852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465</v>
      </c>
      <c r="CR1888">
        <v>0</v>
      </c>
      <c r="CW1888">
        <v>4723173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 t="shared" si="481"/>
        <v>08/29/2020 06:17:31.623</v>
      </c>
      <c r="C1889" t="str">
        <f t="shared" si="462"/>
        <v>FFDFD3C0</v>
      </c>
      <c r="D1889" t="s">
        <v>939</v>
      </c>
      <c r="E1889">
        <v>10</v>
      </c>
      <c r="H1889">
        <v>79</v>
      </c>
      <c r="I1889" t="s">
        <v>940</v>
      </c>
      <c r="J1889" t="s">
        <v>130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482"/>
        <v>06:17:34.844</v>
      </c>
      <c r="T1889" t="str">
        <f t="shared" si="483"/>
        <v>06:17:34.444</v>
      </c>
      <c r="U1889" t="str">
        <f t="shared" si="463"/>
        <v>A7E2E0</v>
      </c>
      <c r="V1889">
        <v>0</v>
      </c>
      <c r="W1889">
        <v>0</v>
      </c>
      <c r="X1889">
        <v>1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0</v>
      </c>
      <c r="AI1889" t="s">
        <v>1165</v>
      </c>
      <c r="AJ1889">
        <v>38.979857000000003</v>
      </c>
      <c r="AK1889" t="s">
        <v>1166</v>
      </c>
      <c r="AL1889">
        <v>-87.590389000000002</v>
      </c>
      <c r="AM1889">
        <v>100</v>
      </c>
      <c r="AN1889">
        <v>2800</v>
      </c>
      <c r="AO1889" t="s">
        <v>118</v>
      </c>
      <c r="AP1889">
        <v>-87</v>
      </c>
      <c r="AQ1889">
        <v>-117</v>
      </c>
      <c r="AR1889">
        <v>0</v>
      </c>
      <c r="AZ1889">
        <v>4552</v>
      </c>
      <c r="BA1889">
        <v>1</v>
      </c>
      <c r="BB1889" t="str">
        <f t="shared" si="464"/>
        <v xml:space="preserve">N607SR  </v>
      </c>
      <c r="BC1889">
        <v>1</v>
      </c>
      <c r="BE1889">
        <v>0</v>
      </c>
      <c r="BF1889">
        <v>0</v>
      </c>
      <c r="BG1889">
        <v>0</v>
      </c>
      <c r="BH1889">
        <v>2575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 t="shared" si="484"/>
        <v>06:17:34.852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465</v>
      </c>
      <c r="CR1889">
        <v>0</v>
      </c>
      <c r="CW1889">
        <v>4723173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 t="shared" si="481"/>
        <v>08/29/2020 06:17:31.623</v>
      </c>
      <c r="C1890" t="str">
        <f t="shared" si="462"/>
        <v>FFDFD3C0</v>
      </c>
      <c r="D1890" t="s">
        <v>113</v>
      </c>
      <c r="E1890">
        <v>5</v>
      </c>
      <c r="H1890">
        <v>163</v>
      </c>
      <c r="I1890" t="s">
        <v>114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482"/>
        <v>06:17:34.844</v>
      </c>
      <c r="T1890" t="str">
        <f t="shared" si="483"/>
        <v>06:17:34.444</v>
      </c>
      <c r="U1890" t="str">
        <f t="shared" si="463"/>
        <v>A7E2E0</v>
      </c>
      <c r="V1890">
        <v>0</v>
      </c>
      <c r="W1890">
        <v>0</v>
      </c>
      <c r="X1890">
        <v>1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0</v>
      </c>
      <c r="AI1890" t="s">
        <v>1165</v>
      </c>
      <c r="AJ1890">
        <v>38.979857000000003</v>
      </c>
      <c r="AK1890" t="s">
        <v>1166</v>
      </c>
      <c r="AL1890">
        <v>-87.590389000000002</v>
      </c>
      <c r="AM1890">
        <v>100</v>
      </c>
      <c r="AN1890">
        <v>2800</v>
      </c>
      <c r="AO1890" t="s">
        <v>118</v>
      </c>
      <c r="AP1890">
        <v>-87</v>
      </c>
      <c r="AQ1890">
        <v>-117</v>
      </c>
      <c r="AR1890">
        <v>0</v>
      </c>
      <c r="AZ1890">
        <v>4552</v>
      </c>
      <c r="BA1890">
        <v>1</v>
      </c>
      <c r="BB1890" t="str">
        <f t="shared" si="464"/>
        <v xml:space="preserve">N607SR  </v>
      </c>
      <c r="BC1890">
        <v>1</v>
      </c>
      <c r="BE1890">
        <v>0</v>
      </c>
      <c r="BF1890">
        <v>0</v>
      </c>
      <c r="BG1890">
        <v>0</v>
      </c>
      <c r="BH1890">
        <v>2575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 t="shared" si="484"/>
        <v>06:17:34.852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465</v>
      </c>
      <c r="CR1890">
        <v>0</v>
      </c>
      <c r="CW1890">
        <v>4723173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 t="shared" ref="A1891:A1896" si="485">"08/29/2020 06:17:32.479"</f>
        <v>08/29/2020 06:17:32.479</v>
      </c>
      <c r="C1891" t="str">
        <f t="shared" si="462"/>
        <v>FFDFD3C0</v>
      </c>
      <c r="D1891" t="s">
        <v>113</v>
      </c>
      <c r="E1891">
        <v>5</v>
      </c>
      <c r="H1891">
        <v>163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ref="S1891:S1896" si="486">"06:17:35.703"</f>
        <v>06:17:35.703</v>
      </c>
      <c r="T1891" t="str">
        <f t="shared" ref="T1891:T1896" si="487">"06:17:35.303"</f>
        <v>06:17:35.303</v>
      </c>
      <c r="U1891" t="str">
        <f t="shared" si="463"/>
        <v>A7E2E0</v>
      </c>
      <c r="V1891">
        <v>0</v>
      </c>
      <c r="W1891">
        <v>0</v>
      </c>
      <c r="X1891">
        <v>1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0</v>
      </c>
      <c r="AI1891" t="s">
        <v>1167</v>
      </c>
      <c r="AJ1891">
        <v>38.979362999999999</v>
      </c>
      <c r="AK1891" t="s">
        <v>1168</v>
      </c>
      <c r="AL1891">
        <v>-87.59084</v>
      </c>
      <c r="AM1891">
        <v>100</v>
      </c>
      <c r="AN1891">
        <v>2800</v>
      </c>
      <c r="AO1891" t="s">
        <v>118</v>
      </c>
      <c r="AP1891">
        <v>-87</v>
      </c>
      <c r="AQ1891">
        <v>-117</v>
      </c>
      <c r="AR1891">
        <v>64</v>
      </c>
      <c r="AZ1891">
        <v>4552</v>
      </c>
      <c r="BA1891">
        <v>1</v>
      </c>
      <c r="BB1891" t="str">
        <f t="shared" si="464"/>
        <v xml:space="preserve">N607SR  </v>
      </c>
      <c r="BC1891">
        <v>1</v>
      </c>
      <c r="BE1891">
        <v>0</v>
      </c>
      <c r="BF1891">
        <v>0</v>
      </c>
      <c r="BG1891">
        <v>0</v>
      </c>
      <c r="BH1891">
        <v>2575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 t="shared" ref="BW1891:BW1896" si="488">"06:17:35.710"</f>
        <v>06:17:35.710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465</v>
      </c>
      <c r="CR1891">
        <v>0</v>
      </c>
      <c r="CW1891">
        <v>4723197</v>
      </c>
      <c r="CY1891">
        <v>1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 t="shared" si="485"/>
        <v>08/29/2020 06:17:32.479</v>
      </c>
      <c r="C1892" t="str">
        <f t="shared" si="462"/>
        <v>FFDFD3C0</v>
      </c>
      <c r="D1892" t="s">
        <v>121</v>
      </c>
      <c r="E1892">
        <v>13</v>
      </c>
      <c r="F1892">
        <v>1013</v>
      </c>
      <c r="G1892" t="s">
        <v>122</v>
      </c>
      <c r="J1892" t="s">
        <v>123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486"/>
        <v>06:17:35.703</v>
      </c>
      <c r="T1892" t="str">
        <f t="shared" si="487"/>
        <v>06:17:35.303</v>
      </c>
      <c r="U1892" t="str">
        <f t="shared" si="463"/>
        <v>A7E2E0</v>
      </c>
      <c r="V1892">
        <v>0</v>
      </c>
      <c r="W1892">
        <v>0</v>
      </c>
      <c r="X1892">
        <v>1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0</v>
      </c>
      <c r="AI1892" t="s">
        <v>1167</v>
      </c>
      <c r="AJ1892">
        <v>38.979362999999999</v>
      </c>
      <c r="AK1892" t="s">
        <v>1168</v>
      </c>
      <c r="AL1892">
        <v>-87.59084</v>
      </c>
      <c r="AM1892">
        <v>100</v>
      </c>
      <c r="AN1892">
        <v>2800</v>
      </c>
      <c r="AO1892" t="s">
        <v>118</v>
      </c>
      <c r="AP1892">
        <v>-87</v>
      </c>
      <c r="AQ1892">
        <v>-117</v>
      </c>
      <c r="AR1892">
        <v>64</v>
      </c>
      <c r="AZ1892">
        <v>4552</v>
      </c>
      <c r="BA1892">
        <v>1</v>
      </c>
      <c r="BB1892" t="str">
        <f t="shared" si="464"/>
        <v xml:space="preserve">N607SR  </v>
      </c>
      <c r="BC1892">
        <v>1</v>
      </c>
      <c r="BE1892">
        <v>0</v>
      </c>
      <c r="BF1892">
        <v>0</v>
      </c>
      <c r="BG1892">
        <v>0</v>
      </c>
      <c r="BH1892">
        <v>2575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 t="shared" si="488"/>
        <v>06:17:35.710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465</v>
      </c>
      <c r="CR1892">
        <v>0</v>
      </c>
      <c r="CW1892">
        <v>4723197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 t="shared" si="485"/>
        <v>08/29/2020 06:17:32.479</v>
      </c>
      <c r="C1893" t="str">
        <f t="shared" si="462"/>
        <v>FFDFD3C0</v>
      </c>
      <c r="D1893" t="s">
        <v>121</v>
      </c>
      <c r="E1893">
        <v>11</v>
      </c>
      <c r="F1893">
        <v>1011</v>
      </c>
      <c r="G1893" t="s">
        <v>125</v>
      </c>
      <c r="J1893" t="s">
        <v>123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486"/>
        <v>06:17:35.703</v>
      </c>
      <c r="T1893" t="str">
        <f t="shared" si="487"/>
        <v>06:17:35.303</v>
      </c>
      <c r="U1893" t="str">
        <f t="shared" si="463"/>
        <v>A7E2E0</v>
      </c>
      <c r="V1893">
        <v>0</v>
      </c>
      <c r="W1893">
        <v>0</v>
      </c>
      <c r="X1893">
        <v>1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0</v>
      </c>
      <c r="AI1893" t="s">
        <v>1167</v>
      </c>
      <c r="AJ1893">
        <v>38.979362999999999</v>
      </c>
      <c r="AK1893" t="s">
        <v>1168</v>
      </c>
      <c r="AL1893">
        <v>-87.59084</v>
      </c>
      <c r="AM1893">
        <v>100</v>
      </c>
      <c r="AN1893">
        <v>2800</v>
      </c>
      <c r="AO1893" t="s">
        <v>118</v>
      </c>
      <c r="AP1893">
        <v>-87</v>
      </c>
      <c r="AQ1893">
        <v>-117</v>
      </c>
      <c r="AR1893">
        <v>64</v>
      </c>
      <c r="AZ1893">
        <v>4552</v>
      </c>
      <c r="BA1893">
        <v>1</v>
      </c>
      <c r="BB1893" t="str">
        <f t="shared" si="464"/>
        <v xml:space="preserve">N607SR  </v>
      </c>
      <c r="BC1893">
        <v>1</v>
      </c>
      <c r="BE1893">
        <v>0</v>
      </c>
      <c r="BF1893">
        <v>0</v>
      </c>
      <c r="BG1893">
        <v>0</v>
      </c>
      <c r="BH1893">
        <v>2575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 t="shared" si="488"/>
        <v>06:17:35.710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5</v>
      </c>
      <c r="CP1893" t="s">
        <v>119</v>
      </c>
      <c r="CQ1893">
        <v>177</v>
      </c>
      <c r="CR1893">
        <v>2</v>
      </c>
      <c r="CW1893">
        <v>1656301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 t="shared" si="485"/>
        <v>08/29/2020 06:17:32.479</v>
      </c>
      <c r="C1894" t="str">
        <f t="shared" si="462"/>
        <v>FFDFD3C0</v>
      </c>
      <c r="D1894" t="s">
        <v>128</v>
      </c>
      <c r="E1894">
        <v>5</v>
      </c>
      <c r="H1894">
        <v>241</v>
      </c>
      <c r="I1894" t="s">
        <v>129</v>
      </c>
      <c r="J1894" t="s">
        <v>130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486"/>
        <v>06:17:35.703</v>
      </c>
      <c r="T1894" t="str">
        <f t="shared" si="487"/>
        <v>06:17:35.303</v>
      </c>
      <c r="U1894" t="str">
        <f t="shared" si="463"/>
        <v>A7E2E0</v>
      </c>
      <c r="V1894">
        <v>0</v>
      </c>
      <c r="W1894">
        <v>0</v>
      </c>
      <c r="X1894">
        <v>1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0</v>
      </c>
      <c r="AI1894" t="s">
        <v>1167</v>
      </c>
      <c r="AJ1894">
        <v>38.979362999999999</v>
      </c>
      <c r="AK1894" t="s">
        <v>1168</v>
      </c>
      <c r="AL1894">
        <v>-87.59084</v>
      </c>
      <c r="AM1894">
        <v>100</v>
      </c>
      <c r="AN1894">
        <v>2800</v>
      </c>
      <c r="AO1894" t="s">
        <v>118</v>
      </c>
      <c r="AP1894">
        <v>-87</v>
      </c>
      <c r="AQ1894">
        <v>-117</v>
      </c>
      <c r="AR1894">
        <v>64</v>
      </c>
      <c r="AZ1894">
        <v>4552</v>
      </c>
      <c r="BA1894">
        <v>1</v>
      </c>
      <c r="BB1894" t="str">
        <f t="shared" si="464"/>
        <v xml:space="preserve">N607SR  </v>
      </c>
      <c r="BC1894">
        <v>1</v>
      </c>
      <c r="BE1894">
        <v>0</v>
      </c>
      <c r="BF1894">
        <v>0</v>
      </c>
      <c r="BG1894">
        <v>0</v>
      </c>
      <c r="BH1894">
        <v>2575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 t="shared" si="488"/>
        <v>06:17:35.710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465</v>
      </c>
      <c r="CR1894">
        <v>0</v>
      </c>
      <c r="CW1894">
        <v>4723197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 t="shared" si="485"/>
        <v>08/29/2020 06:17:32.479</v>
      </c>
      <c r="C1895" t="str">
        <f t="shared" si="462"/>
        <v>FFDFD3C0</v>
      </c>
      <c r="D1895" t="s">
        <v>121</v>
      </c>
      <c r="E1895">
        <v>10</v>
      </c>
      <c r="F1895">
        <v>1010</v>
      </c>
      <c r="G1895" t="s">
        <v>114</v>
      </c>
      <c r="J1895" t="s">
        <v>123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486"/>
        <v>06:17:35.703</v>
      </c>
      <c r="T1895" t="str">
        <f t="shared" si="487"/>
        <v>06:17:35.303</v>
      </c>
      <c r="U1895" t="str">
        <f t="shared" si="463"/>
        <v>A7E2E0</v>
      </c>
      <c r="V1895">
        <v>0</v>
      </c>
      <c r="W1895">
        <v>0</v>
      </c>
      <c r="X1895">
        <v>1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0</v>
      </c>
      <c r="AI1895" t="s">
        <v>1167</v>
      </c>
      <c r="AJ1895">
        <v>38.979362999999999</v>
      </c>
      <c r="AK1895" t="s">
        <v>1168</v>
      </c>
      <c r="AL1895">
        <v>-87.59084</v>
      </c>
      <c r="AM1895">
        <v>100</v>
      </c>
      <c r="AN1895">
        <v>2800</v>
      </c>
      <c r="AO1895" t="s">
        <v>118</v>
      </c>
      <c r="AP1895">
        <v>-87</v>
      </c>
      <c r="AQ1895">
        <v>-117</v>
      </c>
      <c r="AR1895">
        <v>64</v>
      </c>
      <c r="AZ1895">
        <v>4552</v>
      </c>
      <c r="BA1895">
        <v>1</v>
      </c>
      <c r="BB1895" t="str">
        <f t="shared" si="464"/>
        <v xml:space="preserve">N607SR  </v>
      </c>
      <c r="BC1895">
        <v>1</v>
      </c>
      <c r="BE1895">
        <v>0</v>
      </c>
      <c r="BF1895">
        <v>0</v>
      </c>
      <c r="BG1895">
        <v>0</v>
      </c>
      <c r="BH1895">
        <v>2575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 t="shared" si="488"/>
        <v>06:17:35.710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465</v>
      </c>
      <c r="CR1895">
        <v>0</v>
      </c>
      <c r="CW1895">
        <v>4723197</v>
      </c>
      <c r="CY1895">
        <v>1</v>
      </c>
      <c r="CZ1895">
        <v>0</v>
      </c>
      <c r="DA1895">
        <v>1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 t="shared" si="485"/>
        <v>08/29/2020 06:17:32.479</v>
      </c>
      <c r="C1896" t="str">
        <f t="shared" si="462"/>
        <v>FFDFD3C0</v>
      </c>
      <c r="D1896" t="s">
        <v>939</v>
      </c>
      <c r="E1896">
        <v>10</v>
      </c>
      <c r="H1896">
        <v>79</v>
      </c>
      <c r="I1896" t="s">
        <v>940</v>
      </c>
      <c r="J1896" t="s">
        <v>130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486"/>
        <v>06:17:35.703</v>
      </c>
      <c r="T1896" t="str">
        <f t="shared" si="487"/>
        <v>06:17:35.303</v>
      </c>
      <c r="U1896" t="str">
        <f t="shared" si="463"/>
        <v>A7E2E0</v>
      </c>
      <c r="V1896">
        <v>0</v>
      </c>
      <c r="W1896">
        <v>0</v>
      </c>
      <c r="X1896">
        <v>1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0</v>
      </c>
      <c r="AI1896" t="s">
        <v>1167</v>
      </c>
      <c r="AJ1896">
        <v>38.979362999999999</v>
      </c>
      <c r="AK1896" t="s">
        <v>1168</v>
      </c>
      <c r="AL1896">
        <v>-87.59084</v>
      </c>
      <c r="AM1896">
        <v>100</v>
      </c>
      <c r="AN1896">
        <v>2800</v>
      </c>
      <c r="AO1896" t="s">
        <v>118</v>
      </c>
      <c r="AP1896">
        <v>-87</v>
      </c>
      <c r="AQ1896">
        <v>-117</v>
      </c>
      <c r="AR1896">
        <v>64</v>
      </c>
      <c r="AZ1896">
        <v>4552</v>
      </c>
      <c r="BA1896">
        <v>1</v>
      </c>
      <c r="BB1896" t="str">
        <f t="shared" si="464"/>
        <v xml:space="preserve">N607SR  </v>
      </c>
      <c r="BC1896">
        <v>1</v>
      </c>
      <c r="BE1896">
        <v>0</v>
      </c>
      <c r="BF1896">
        <v>0</v>
      </c>
      <c r="BG1896">
        <v>0</v>
      </c>
      <c r="BH1896">
        <v>2575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 t="shared" si="488"/>
        <v>06:17:35.710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465</v>
      </c>
      <c r="CR1896">
        <v>0</v>
      </c>
      <c r="CW1896">
        <v>4723197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 t="shared" ref="A1897:A1902" si="489">"08/29/2020 06:17:33.342"</f>
        <v>08/29/2020 06:17:33.342</v>
      </c>
      <c r="C1897" t="str">
        <f t="shared" si="462"/>
        <v>FFDFD3C0</v>
      </c>
      <c r="D1897" t="s">
        <v>113</v>
      </c>
      <c r="E1897">
        <v>5</v>
      </c>
      <c r="H1897">
        <v>163</v>
      </c>
      <c r="I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ref="S1897:S1902" si="490">"06:17:36.594"</f>
        <v>06:17:36.594</v>
      </c>
      <c r="T1897" t="str">
        <f>"06:17:36.194"</f>
        <v>06:17:36.194</v>
      </c>
      <c r="U1897" t="str">
        <f t="shared" si="463"/>
        <v>A7E2E0</v>
      </c>
      <c r="V1897">
        <v>0</v>
      </c>
      <c r="W1897">
        <v>0</v>
      </c>
      <c r="X1897">
        <v>1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0</v>
      </c>
      <c r="AI1897" t="s">
        <v>1169</v>
      </c>
      <c r="AJ1897">
        <v>38.978934000000002</v>
      </c>
      <c r="AK1897" t="s">
        <v>1170</v>
      </c>
      <c r="AL1897">
        <v>-87.591247999999993</v>
      </c>
      <c r="AM1897">
        <v>100</v>
      </c>
      <c r="AN1897">
        <v>2800</v>
      </c>
      <c r="AO1897" t="s">
        <v>118</v>
      </c>
      <c r="AP1897">
        <v>-87</v>
      </c>
      <c r="AQ1897">
        <v>-117</v>
      </c>
      <c r="AR1897">
        <v>64</v>
      </c>
      <c r="AZ1897">
        <v>4552</v>
      </c>
      <c r="BA1897">
        <v>1</v>
      </c>
      <c r="BB1897" t="str">
        <f t="shared" si="464"/>
        <v xml:space="preserve">N607SR  </v>
      </c>
      <c r="BC1897">
        <v>1</v>
      </c>
      <c r="BE1897">
        <v>0</v>
      </c>
      <c r="BF1897">
        <v>0</v>
      </c>
      <c r="BG1897">
        <v>0</v>
      </c>
      <c r="BH1897">
        <v>2575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 t="shared" ref="BW1897:BW1902" si="491">"06:17:36.595"</f>
        <v>06:17:36.595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465</v>
      </c>
      <c r="CR1897">
        <v>0</v>
      </c>
      <c r="CW1897">
        <v>4723222</v>
      </c>
      <c r="CY1897">
        <v>1</v>
      </c>
      <c r="CZ1897">
        <v>0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 t="shared" si="489"/>
        <v>08/29/2020 06:17:33.342</v>
      </c>
      <c r="C1898" t="str">
        <f t="shared" si="462"/>
        <v>FFDFD3C0</v>
      </c>
      <c r="D1898" t="s">
        <v>121</v>
      </c>
      <c r="E1898">
        <v>13</v>
      </c>
      <c r="F1898">
        <v>1013</v>
      </c>
      <c r="G1898" t="s">
        <v>122</v>
      </c>
      <c r="J1898" t="s">
        <v>123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490"/>
        <v>06:17:36.594</v>
      </c>
      <c r="U1898" t="str">
        <f t="shared" si="463"/>
        <v>A7E2E0</v>
      </c>
      <c r="V1898">
        <v>0</v>
      </c>
      <c r="W1898">
        <v>0</v>
      </c>
      <c r="X1898">
        <v>1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0</v>
      </c>
      <c r="AI1898" t="s">
        <v>1169</v>
      </c>
      <c r="AJ1898">
        <v>38.978934000000002</v>
      </c>
      <c r="AK1898" t="s">
        <v>1170</v>
      </c>
      <c r="AL1898">
        <v>-87.591247999999993</v>
      </c>
      <c r="AM1898">
        <v>100</v>
      </c>
      <c r="AN1898">
        <v>2800</v>
      </c>
      <c r="AO1898" t="s">
        <v>118</v>
      </c>
      <c r="AP1898">
        <v>-87</v>
      </c>
      <c r="AQ1898">
        <v>-117</v>
      </c>
      <c r="AR1898">
        <v>64</v>
      </c>
      <c r="AZ1898">
        <v>4552</v>
      </c>
      <c r="BA1898">
        <v>1</v>
      </c>
      <c r="BB1898" t="str">
        <f t="shared" si="464"/>
        <v xml:space="preserve">N607SR  </v>
      </c>
      <c r="BC1898">
        <v>1</v>
      </c>
      <c r="BE1898">
        <v>0</v>
      </c>
      <c r="BF1898">
        <v>0</v>
      </c>
      <c r="BG1898">
        <v>0</v>
      </c>
      <c r="BH1898">
        <v>2575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 t="shared" si="491"/>
        <v>06:17:36.595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1</v>
      </c>
      <c r="CP1898" t="s">
        <v>119</v>
      </c>
      <c r="CQ1898">
        <v>528</v>
      </c>
      <c r="CR1898">
        <v>1</v>
      </c>
      <c r="CW1898">
        <v>13099406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 t="shared" si="489"/>
        <v>08/29/2020 06:17:33.342</v>
      </c>
      <c r="C1899" t="str">
        <f t="shared" si="462"/>
        <v>FFDFD3C0</v>
      </c>
      <c r="D1899" t="s">
        <v>121</v>
      </c>
      <c r="E1899">
        <v>11</v>
      </c>
      <c r="F1899">
        <v>1011</v>
      </c>
      <c r="G1899" t="s">
        <v>125</v>
      </c>
      <c r="J1899" t="s">
        <v>123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490"/>
        <v>06:17:36.594</v>
      </c>
      <c r="U1899" t="str">
        <f t="shared" si="463"/>
        <v>A7E2E0</v>
      </c>
      <c r="V1899">
        <v>0</v>
      </c>
      <c r="W1899">
        <v>0</v>
      </c>
      <c r="X1899">
        <v>1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0</v>
      </c>
      <c r="AI1899" t="s">
        <v>1169</v>
      </c>
      <c r="AJ1899">
        <v>38.978934000000002</v>
      </c>
      <c r="AK1899" t="s">
        <v>1170</v>
      </c>
      <c r="AL1899">
        <v>-87.591247999999993</v>
      </c>
      <c r="AM1899">
        <v>100</v>
      </c>
      <c r="AN1899">
        <v>2800</v>
      </c>
      <c r="AO1899" t="s">
        <v>118</v>
      </c>
      <c r="AP1899">
        <v>-87</v>
      </c>
      <c r="AQ1899">
        <v>-117</v>
      </c>
      <c r="AR1899">
        <v>64</v>
      </c>
      <c r="AZ1899">
        <v>4552</v>
      </c>
      <c r="BA1899">
        <v>1</v>
      </c>
      <c r="BB1899" t="str">
        <f t="shared" si="464"/>
        <v xml:space="preserve">N607SR  </v>
      </c>
      <c r="BC1899">
        <v>1</v>
      </c>
      <c r="BE1899">
        <v>0</v>
      </c>
      <c r="BF1899">
        <v>0</v>
      </c>
      <c r="BG1899">
        <v>0</v>
      </c>
      <c r="BH1899">
        <v>2575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 t="shared" si="491"/>
        <v>06:17:36.595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1</v>
      </c>
      <c r="CP1899" t="s">
        <v>119</v>
      </c>
      <c r="CQ1899">
        <v>528</v>
      </c>
      <c r="CR1899">
        <v>1</v>
      </c>
      <c r="CW1899">
        <v>13099406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 t="shared" si="489"/>
        <v>08/29/2020 06:17:33.342</v>
      </c>
      <c r="C1900" t="str">
        <f t="shared" si="462"/>
        <v>FFDFD3C0</v>
      </c>
      <c r="D1900" t="s">
        <v>128</v>
      </c>
      <c r="E1900">
        <v>5</v>
      </c>
      <c r="H1900">
        <v>241</v>
      </c>
      <c r="I1900" t="s">
        <v>129</v>
      </c>
      <c r="J1900" t="s">
        <v>130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490"/>
        <v>06:17:36.594</v>
      </c>
      <c r="U1900" t="str">
        <f t="shared" si="463"/>
        <v>A7E2E0</v>
      </c>
      <c r="V1900">
        <v>0</v>
      </c>
      <c r="W1900">
        <v>0</v>
      </c>
      <c r="X1900">
        <v>1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0</v>
      </c>
      <c r="AI1900" t="s">
        <v>1169</v>
      </c>
      <c r="AJ1900">
        <v>38.978934000000002</v>
      </c>
      <c r="AK1900" t="s">
        <v>1170</v>
      </c>
      <c r="AL1900">
        <v>-87.591247999999993</v>
      </c>
      <c r="AM1900">
        <v>100</v>
      </c>
      <c r="AN1900">
        <v>2800</v>
      </c>
      <c r="AO1900" t="s">
        <v>118</v>
      </c>
      <c r="AP1900">
        <v>-87</v>
      </c>
      <c r="AQ1900">
        <v>-117</v>
      </c>
      <c r="AR1900">
        <v>64</v>
      </c>
      <c r="AZ1900">
        <v>4552</v>
      </c>
      <c r="BA1900">
        <v>1</v>
      </c>
      <c r="BB1900" t="str">
        <f t="shared" si="464"/>
        <v xml:space="preserve">N607SR  </v>
      </c>
      <c r="BC1900">
        <v>1</v>
      </c>
      <c r="BE1900">
        <v>0</v>
      </c>
      <c r="BF1900">
        <v>0</v>
      </c>
      <c r="BG1900">
        <v>0</v>
      </c>
      <c r="BH1900">
        <v>2575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 t="shared" si="491"/>
        <v>06:17:36.595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1</v>
      </c>
      <c r="CP1900" t="s">
        <v>119</v>
      </c>
      <c r="CQ1900">
        <v>528</v>
      </c>
      <c r="CR1900">
        <v>1</v>
      </c>
      <c r="CW1900">
        <v>13099406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 t="shared" si="489"/>
        <v>08/29/2020 06:17:33.342</v>
      </c>
      <c r="C1901" t="str">
        <f t="shared" si="462"/>
        <v>FFDFD3C0</v>
      </c>
      <c r="D1901" t="s">
        <v>121</v>
      </c>
      <c r="E1901">
        <v>10</v>
      </c>
      <c r="F1901">
        <v>1010</v>
      </c>
      <c r="G1901" t="s">
        <v>114</v>
      </c>
      <c r="J1901" t="s">
        <v>123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490"/>
        <v>06:17:36.594</v>
      </c>
      <c r="U1901" t="str">
        <f t="shared" si="463"/>
        <v>A7E2E0</v>
      </c>
      <c r="V1901">
        <v>0</v>
      </c>
      <c r="W1901">
        <v>0</v>
      </c>
      <c r="X1901">
        <v>1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0</v>
      </c>
      <c r="AI1901" t="s">
        <v>1169</v>
      </c>
      <c r="AJ1901">
        <v>38.978934000000002</v>
      </c>
      <c r="AK1901" t="s">
        <v>1170</v>
      </c>
      <c r="AL1901">
        <v>-87.591247999999993</v>
      </c>
      <c r="AM1901">
        <v>100</v>
      </c>
      <c r="AN1901">
        <v>2800</v>
      </c>
      <c r="AO1901" t="s">
        <v>118</v>
      </c>
      <c r="AP1901">
        <v>-87</v>
      </c>
      <c r="AQ1901">
        <v>-117</v>
      </c>
      <c r="AR1901">
        <v>64</v>
      </c>
      <c r="AZ1901">
        <v>4552</v>
      </c>
      <c r="BA1901">
        <v>1</v>
      </c>
      <c r="BB1901" t="str">
        <f t="shared" si="464"/>
        <v xml:space="preserve">N607SR  </v>
      </c>
      <c r="BC1901">
        <v>1</v>
      </c>
      <c r="BE1901">
        <v>0</v>
      </c>
      <c r="BF1901">
        <v>0</v>
      </c>
      <c r="BG1901">
        <v>0</v>
      </c>
      <c r="BH1901">
        <v>2575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 t="shared" si="491"/>
        <v>06:17:36.595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1</v>
      </c>
      <c r="CP1901" t="s">
        <v>119</v>
      </c>
      <c r="CQ1901">
        <v>528</v>
      </c>
      <c r="CR1901">
        <v>1</v>
      </c>
      <c r="CW1901">
        <v>13099406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 t="shared" si="489"/>
        <v>08/29/2020 06:17:33.342</v>
      </c>
      <c r="C1902" t="str">
        <f t="shared" si="462"/>
        <v>FFDFD3C0</v>
      </c>
      <c r="D1902" t="s">
        <v>939</v>
      </c>
      <c r="E1902">
        <v>10</v>
      </c>
      <c r="H1902">
        <v>79</v>
      </c>
      <c r="I1902" t="s">
        <v>940</v>
      </c>
      <c r="J1902" t="s">
        <v>130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490"/>
        <v>06:17:36.594</v>
      </c>
      <c r="T1902" t="str">
        <f>"06:17:36.194"</f>
        <v>06:17:36.194</v>
      </c>
      <c r="U1902" t="str">
        <f t="shared" si="463"/>
        <v>A7E2E0</v>
      </c>
      <c r="V1902">
        <v>0</v>
      </c>
      <c r="W1902">
        <v>0</v>
      </c>
      <c r="X1902">
        <v>1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0</v>
      </c>
      <c r="AI1902" t="s">
        <v>1169</v>
      </c>
      <c r="AJ1902">
        <v>38.978934000000002</v>
      </c>
      <c r="AK1902" t="s">
        <v>1170</v>
      </c>
      <c r="AL1902">
        <v>-87.591247999999993</v>
      </c>
      <c r="AM1902">
        <v>100</v>
      </c>
      <c r="AN1902">
        <v>2800</v>
      </c>
      <c r="AO1902" t="s">
        <v>118</v>
      </c>
      <c r="AP1902">
        <v>-87</v>
      </c>
      <c r="AQ1902">
        <v>-117</v>
      </c>
      <c r="AR1902">
        <v>64</v>
      </c>
      <c r="AZ1902">
        <v>4552</v>
      </c>
      <c r="BA1902">
        <v>1</v>
      </c>
      <c r="BB1902" t="str">
        <f t="shared" si="464"/>
        <v xml:space="preserve">N607SR  </v>
      </c>
      <c r="BC1902">
        <v>1</v>
      </c>
      <c r="BE1902">
        <v>0</v>
      </c>
      <c r="BF1902">
        <v>0</v>
      </c>
      <c r="BG1902">
        <v>0</v>
      </c>
      <c r="BH1902">
        <v>2575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 t="shared" si="491"/>
        <v>06:17:36.595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465</v>
      </c>
      <c r="CR1902">
        <v>0</v>
      </c>
      <c r="CW1902">
        <v>4723222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 t="shared" ref="A1903:A1908" si="492">"08/29/2020 06:17:34.272"</f>
        <v>08/29/2020 06:17:34.272</v>
      </c>
      <c r="C1903" t="str">
        <f t="shared" si="462"/>
        <v>FFDFD3C0</v>
      </c>
      <c r="D1903" t="s">
        <v>939</v>
      </c>
      <c r="E1903">
        <v>10</v>
      </c>
      <c r="H1903">
        <v>79</v>
      </c>
      <c r="I1903" t="s">
        <v>940</v>
      </c>
      <c r="J1903" t="s">
        <v>130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ref="S1903:S1908" si="493">"06:17:37.484"</f>
        <v>06:17:37.484</v>
      </c>
      <c r="T1903" t="str">
        <f>"06:17:37.084"</f>
        <v>06:17:37.084</v>
      </c>
      <c r="U1903" t="str">
        <f t="shared" si="463"/>
        <v>A7E2E0</v>
      </c>
      <c r="V1903">
        <v>0</v>
      </c>
      <c r="W1903">
        <v>0</v>
      </c>
      <c r="X1903">
        <v>1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0</v>
      </c>
      <c r="AI1903" t="s">
        <v>1171</v>
      </c>
      <c r="AJ1903">
        <v>38.978419000000002</v>
      </c>
      <c r="AK1903" t="s">
        <v>1172</v>
      </c>
      <c r="AL1903">
        <v>-87.591740999999999</v>
      </c>
      <c r="AM1903">
        <v>100</v>
      </c>
      <c r="AN1903">
        <v>2800</v>
      </c>
      <c r="AO1903" t="s">
        <v>118</v>
      </c>
      <c r="AP1903">
        <v>-87</v>
      </c>
      <c r="AQ1903">
        <v>-117</v>
      </c>
      <c r="AR1903">
        <v>0</v>
      </c>
      <c r="AZ1903">
        <v>4552</v>
      </c>
      <c r="BA1903">
        <v>1</v>
      </c>
      <c r="BB1903" t="str">
        <f t="shared" si="464"/>
        <v xml:space="preserve">N607SR  </v>
      </c>
      <c r="BC1903">
        <v>1</v>
      </c>
      <c r="BE1903">
        <v>0</v>
      </c>
      <c r="BF1903">
        <v>0</v>
      </c>
      <c r="BG1903">
        <v>0</v>
      </c>
      <c r="BH1903">
        <v>2575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 t="shared" ref="BW1903:BW1908" si="494">"06:17:37.489"</f>
        <v>06:17:37.489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465</v>
      </c>
      <c r="CR1903">
        <v>0</v>
      </c>
      <c r="CW1903">
        <v>4723253</v>
      </c>
      <c r="CY1903">
        <v>1</v>
      </c>
      <c r="CZ1903">
        <v>0</v>
      </c>
      <c r="DA1903">
        <v>0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 t="shared" si="492"/>
        <v>08/29/2020 06:17:34.272</v>
      </c>
      <c r="C1904" t="str">
        <f t="shared" si="462"/>
        <v>FFDFD3C0</v>
      </c>
      <c r="D1904" t="s">
        <v>121</v>
      </c>
      <c r="E1904">
        <v>10</v>
      </c>
      <c r="F1904">
        <v>1010</v>
      </c>
      <c r="G1904" t="s">
        <v>114</v>
      </c>
      <c r="J1904" t="s">
        <v>123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493"/>
        <v>06:17:37.484</v>
      </c>
      <c r="U1904" t="str">
        <f t="shared" si="463"/>
        <v>A7E2E0</v>
      </c>
      <c r="V1904">
        <v>0</v>
      </c>
      <c r="W1904">
        <v>0</v>
      </c>
      <c r="X1904">
        <v>1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0</v>
      </c>
      <c r="AI1904" t="s">
        <v>1171</v>
      </c>
      <c r="AJ1904">
        <v>38.978419000000002</v>
      </c>
      <c r="AK1904" t="s">
        <v>1172</v>
      </c>
      <c r="AL1904">
        <v>-87.591740999999999</v>
      </c>
      <c r="AM1904">
        <v>100</v>
      </c>
      <c r="AN1904">
        <v>2800</v>
      </c>
      <c r="AO1904" t="s">
        <v>118</v>
      </c>
      <c r="AP1904">
        <v>-87</v>
      </c>
      <c r="AQ1904">
        <v>-116</v>
      </c>
      <c r="AR1904">
        <v>0</v>
      </c>
      <c r="AZ1904">
        <v>4552</v>
      </c>
      <c r="BA1904">
        <v>1</v>
      </c>
      <c r="BB1904" t="str">
        <f t="shared" si="464"/>
        <v xml:space="preserve">N607SR  </v>
      </c>
      <c r="BC1904">
        <v>1</v>
      </c>
      <c r="BE1904">
        <v>0</v>
      </c>
      <c r="BF1904">
        <v>0</v>
      </c>
      <c r="BG1904">
        <v>0</v>
      </c>
      <c r="BH1904">
        <v>2575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 t="shared" si="494"/>
        <v>06:17:37.489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5</v>
      </c>
      <c r="CP1904" t="s">
        <v>119</v>
      </c>
      <c r="CQ1904">
        <v>517</v>
      </c>
      <c r="CR1904">
        <v>1</v>
      </c>
      <c r="CW1904">
        <v>2483644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si="492"/>
        <v>08/29/2020 06:17:34.272</v>
      </c>
      <c r="C1905" t="str">
        <f t="shared" si="462"/>
        <v>FFDFD3C0</v>
      </c>
      <c r="D1905" t="s">
        <v>128</v>
      </c>
      <c r="E1905">
        <v>5</v>
      </c>
      <c r="H1905">
        <v>241</v>
      </c>
      <c r="I1905" t="s">
        <v>129</v>
      </c>
      <c r="J1905" t="s">
        <v>130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493"/>
        <v>06:17:37.484</v>
      </c>
      <c r="U1905" t="str">
        <f t="shared" si="463"/>
        <v>A7E2E0</v>
      </c>
      <c r="V1905">
        <v>0</v>
      </c>
      <c r="W1905">
        <v>0</v>
      </c>
      <c r="X1905">
        <v>1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0</v>
      </c>
      <c r="AI1905" t="s">
        <v>1171</v>
      </c>
      <c r="AJ1905">
        <v>38.978419000000002</v>
      </c>
      <c r="AK1905" t="s">
        <v>1172</v>
      </c>
      <c r="AL1905">
        <v>-87.591740999999999</v>
      </c>
      <c r="AM1905">
        <v>100</v>
      </c>
      <c r="AN1905">
        <v>2800</v>
      </c>
      <c r="AO1905" t="s">
        <v>118</v>
      </c>
      <c r="AP1905">
        <v>-87</v>
      </c>
      <c r="AQ1905">
        <v>-116</v>
      </c>
      <c r="AR1905">
        <v>0</v>
      </c>
      <c r="AZ1905">
        <v>4552</v>
      </c>
      <c r="BA1905">
        <v>1</v>
      </c>
      <c r="BB1905" t="str">
        <f t="shared" si="464"/>
        <v xml:space="preserve">N607SR  </v>
      </c>
      <c r="BC1905">
        <v>1</v>
      </c>
      <c r="BE1905">
        <v>0</v>
      </c>
      <c r="BF1905">
        <v>0</v>
      </c>
      <c r="BG1905">
        <v>0</v>
      </c>
      <c r="BH1905">
        <v>2575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 t="shared" si="494"/>
        <v>06:17:37.489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5</v>
      </c>
      <c r="CP1905" t="s">
        <v>119</v>
      </c>
      <c r="CQ1905">
        <v>517</v>
      </c>
      <c r="CR1905">
        <v>1</v>
      </c>
      <c r="CW1905">
        <v>2483644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492"/>
        <v>08/29/2020 06:17:34.272</v>
      </c>
      <c r="C1906" t="str">
        <f t="shared" si="462"/>
        <v>FFDFD3C0</v>
      </c>
      <c r="D1906" t="s">
        <v>113</v>
      </c>
      <c r="E1906">
        <v>5</v>
      </c>
      <c r="H1906">
        <v>163</v>
      </c>
      <c r="I1906" t="s">
        <v>114</v>
      </c>
      <c r="J1906" t="s">
        <v>115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493"/>
        <v>06:17:37.484</v>
      </c>
      <c r="U1906" t="str">
        <f t="shared" si="463"/>
        <v>A7E2E0</v>
      </c>
      <c r="V1906">
        <v>0</v>
      </c>
      <c r="W1906">
        <v>0</v>
      </c>
      <c r="X1906">
        <v>1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0</v>
      </c>
      <c r="AI1906" t="s">
        <v>1171</v>
      </c>
      <c r="AJ1906">
        <v>38.978419000000002</v>
      </c>
      <c r="AK1906" t="s">
        <v>1172</v>
      </c>
      <c r="AL1906">
        <v>-87.591740999999999</v>
      </c>
      <c r="AM1906">
        <v>100</v>
      </c>
      <c r="AN1906">
        <v>2800</v>
      </c>
      <c r="AO1906" t="s">
        <v>118</v>
      </c>
      <c r="AP1906">
        <v>-87</v>
      </c>
      <c r="AQ1906">
        <v>-116</v>
      </c>
      <c r="AR1906">
        <v>0</v>
      </c>
      <c r="AZ1906">
        <v>4552</v>
      </c>
      <c r="BA1906">
        <v>1</v>
      </c>
      <c r="BB1906" t="str">
        <f t="shared" si="464"/>
        <v xml:space="preserve">N607SR  </v>
      </c>
      <c r="BC1906">
        <v>1</v>
      </c>
      <c r="BE1906">
        <v>0</v>
      </c>
      <c r="BF1906">
        <v>0</v>
      </c>
      <c r="BG1906">
        <v>0</v>
      </c>
      <c r="BH1906">
        <v>2575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 t="shared" si="494"/>
        <v>06:17:37.489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5</v>
      </c>
      <c r="CP1906" t="s">
        <v>119</v>
      </c>
      <c r="CQ1906">
        <v>517</v>
      </c>
      <c r="CR1906">
        <v>1</v>
      </c>
      <c r="CW1906">
        <v>2483644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 t="shared" si="492"/>
        <v>08/29/2020 06:17:34.272</v>
      </c>
      <c r="C1907" t="str">
        <f t="shared" si="462"/>
        <v>FFDFD3C0</v>
      </c>
      <c r="D1907" t="s">
        <v>121</v>
      </c>
      <c r="E1907">
        <v>13</v>
      </c>
      <c r="F1907">
        <v>1013</v>
      </c>
      <c r="G1907" t="s">
        <v>122</v>
      </c>
      <c r="J1907" t="s">
        <v>123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493"/>
        <v>06:17:37.484</v>
      </c>
      <c r="U1907" t="str">
        <f t="shared" si="463"/>
        <v>A7E2E0</v>
      </c>
      <c r="V1907">
        <v>0</v>
      </c>
      <c r="W1907">
        <v>0</v>
      </c>
      <c r="X1907">
        <v>1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0</v>
      </c>
      <c r="AI1907" t="s">
        <v>1171</v>
      </c>
      <c r="AJ1907">
        <v>38.978419000000002</v>
      </c>
      <c r="AK1907" t="s">
        <v>1172</v>
      </c>
      <c r="AL1907">
        <v>-87.591740999999999</v>
      </c>
      <c r="AM1907">
        <v>100</v>
      </c>
      <c r="AN1907">
        <v>2800</v>
      </c>
      <c r="AO1907" t="s">
        <v>118</v>
      </c>
      <c r="AP1907">
        <v>-87</v>
      </c>
      <c r="AQ1907">
        <v>-116</v>
      </c>
      <c r="AR1907">
        <v>0</v>
      </c>
      <c r="AZ1907">
        <v>4552</v>
      </c>
      <c r="BA1907">
        <v>1</v>
      </c>
      <c r="BB1907" t="str">
        <f t="shared" si="464"/>
        <v xml:space="preserve">N607SR  </v>
      </c>
      <c r="BC1907">
        <v>1</v>
      </c>
      <c r="BE1907">
        <v>0</v>
      </c>
      <c r="BF1907">
        <v>0</v>
      </c>
      <c r="BG1907">
        <v>0</v>
      </c>
      <c r="BH1907">
        <v>2575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 t="shared" si="494"/>
        <v>06:17:37.489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5</v>
      </c>
      <c r="CP1907" t="s">
        <v>119</v>
      </c>
      <c r="CQ1907">
        <v>517</v>
      </c>
      <c r="CR1907">
        <v>1</v>
      </c>
      <c r="CW1907">
        <v>2483644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 t="shared" si="492"/>
        <v>08/29/2020 06:17:34.272</v>
      </c>
      <c r="C1908" t="str">
        <f t="shared" si="462"/>
        <v>FFDFD3C0</v>
      </c>
      <c r="D1908" t="s">
        <v>121</v>
      </c>
      <c r="E1908">
        <v>11</v>
      </c>
      <c r="F1908">
        <v>1011</v>
      </c>
      <c r="G1908" t="s">
        <v>125</v>
      </c>
      <c r="J1908" t="s">
        <v>123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493"/>
        <v>06:17:37.484</v>
      </c>
      <c r="T1908" t="str">
        <f>"06:17:37.084"</f>
        <v>06:17:37.084</v>
      </c>
      <c r="U1908" t="str">
        <f t="shared" si="463"/>
        <v>A7E2E0</v>
      </c>
      <c r="V1908">
        <v>0</v>
      </c>
      <c r="W1908">
        <v>0</v>
      </c>
      <c r="X1908">
        <v>1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0</v>
      </c>
      <c r="AI1908" t="s">
        <v>1171</v>
      </c>
      <c r="AJ1908">
        <v>38.978419000000002</v>
      </c>
      <c r="AK1908" t="s">
        <v>1172</v>
      </c>
      <c r="AL1908">
        <v>-87.591740999999999</v>
      </c>
      <c r="AM1908">
        <v>100</v>
      </c>
      <c r="AN1908">
        <v>2800</v>
      </c>
      <c r="AO1908" t="s">
        <v>118</v>
      </c>
      <c r="AP1908">
        <v>-87</v>
      </c>
      <c r="AQ1908">
        <v>-117</v>
      </c>
      <c r="AR1908">
        <v>0</v>
      </c>
      <c r="AZ1908">
        <v>4552</v>
      </c>
      <c r="BA1908">
        <v>1</v>
      </c>
      <c r="BB1908" t="str">
        <f t="shared" si="464"/>
        <v xml:space="preserve">N607SR  </v>
      </c>
      <c r="BC1908">
        <v>1</v>
      </c>
      <c r="BE1908">
        <v>0</v>
      </c>
      <c r="BF1908">
        <v>0</v>
      </c>
      <c r="BG1908">
        <v>0</v>
      </c>
      <c r="BH1908">
        <v>2575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 t="shared" si="494"/>
        <v>06:17:37.489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4</v>
      </c>
      <c r="CP1908" t="s">
        <v>119</v>
      </c>
      <c r="CQ1908">
        <v>457</v>
      </c>
      <c r="CR1908">
        <v>0</v>
      </c>
      <c r="CW1908">
        <v>15518783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 t="shared" ref="A1909:A1914" si="495">"08/29/2020 06:17:35.284"</f>
        <v>08/29/2020 06:17:35.284</v>
      </c>
      <c r="C1909" t="str">
        <f t="shared" si="462"/>
        <v>FFDFD3C0</v>
      </c>
      <c r="D1909" t="s">
        <v>128</v>
      </c>
      <c r="E1909">
        <v>5</v>
      </c>
      <c r="H1909">
        <v>241</v>
      </c>
      <c r="I1909" t="s">
        <v>129</v>
      </c>
      <c r="J1909" t="s">
        <v>130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ref="S1909:S1914" si="496">"06:17:38.500"</f>
        <v>06:17:38.500</v>
      </c>
      <c r="T1909" t="str">
        <f t="shared" ref="T1909:T1914" si="497">"06:17:38.000"</f>
        <v>06:17:38.000</v>
      </c>
      <c r="U1909" t="str">
        <f t="shared" si="463"/>
        <v>A7E2E0</v>
      </c>
      <c r="V1909">
        <v>0</v>
      </c>
      <c r="W1909">
        <v>0</v>
      </c>
      <c r="X1909">
        <v>1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0</v>
      </c>
      <c r="AI1909" t="s">
        <v>1173</v>
      </c>
      <c r="AJ1909">
        <v>38.977904000000002</v>
      </c>
      <c r="AK1909" t="s">
        <v>1174</v>
      </c>
      <c r="AL1909">
        <v>-87.592235000000002</v>
      </c>
      <c r="AM1909">
        <v>100</v>
      </c>
      <c r="AN1909">
        <v>2800</v>
      </c>
      <c r="AO1909" t="s">
        <v>118</v>
      </c>
      <c r="AP1909">
        <v>-87</v>
      </c>
      <c r="AQ1909">
        <v>-116</v>
      </c>
      <c r="AR1909">
        <v>0</v>
      </c>
      <c r="AZ1909">
        <v>4552</v>
      </c>
      <c r="BA1909">
        <v>1</v>
      </c>
      <c r="BB1909" t="str">
        <f t="shared" si="464"/>
        <v xml:space="preserve">N607SR  </v>
      </c>
      <c r="BC1909">
        <v>1</v>
      </c>
      <c r="BE1909">
        <v>0</v>
      </c>
      <c r="BF1909">
        <v>0</v>
      </c>
      <c r="BG1909">
        <v>0</v>
      </c>
      <c r="BH1909">
        <v>2575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 t="shared" ref="BW1909:BW1914" si="498">"06:17:38.505"</f>
        <v>06:17:38.505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6</v>
      </c>
      <c r="CP1909" t="s">
        <v>119</v>
      </c>
      <c r="CQ1909">
        <v>465</v>
      </c>
      <c r="CR1909">
        <v>0</v>
      </c>
      <c r="CW1909">
        <v>4723285</v>
      </c>
      <c r="CY1909">
        <v>1</v>
      </c>
      <c r="CZ1909">
        <v>0</v>
      </c>
      <c r="DA1909">
        <v>0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 t="shared" si="495"/>
        <v>08/29/2020 06:17:35.284</v>
      </c>
      <c r="C1910" t="str">
        <f t="shared" si="462"/>
        <v>FFDFD3C0</v>
      </c>
      <c r="D1910" t="s">
        <v>121</v>
      </c>
      <c r="E1910">
        <v>10</v>
      </c>
      <c r="F1910">
        <v>1010</v>
      </c>
      <c r="G1910" t="s">
        <v>114</v>
      </c>
      <c r="J1910" t="s">
        <v>123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496"/>
        <v>06:17:38.500</v>
      </c>
      <c r="T1910" t="str">
        <f t="shared" si="497"/>
        <v>06:17:38.000</v>
      </c>
      <c r="U1910" t="str">
        <f t="shared" si="463"/>
        <v>A7E2E0</v>
      </c>
      <c r="V1910">
        <v>0</v>
      </c>
      <c r="W1910">
        <v>0</v>
      </c>
      <c r="X1910">
        <v>1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0</v>
      </c>
      <c r="AI1910" t="s">
        <v>1173</v>
      </c>
      <c r="AJ1910">
        <v>38.977904000000002</v>
      </c>
      <c r="AK1910" t="s">
        <v>1174</v>
      </c>
      <c r="AL1910">
        <v>-87.592235000000002</v>
      </c>
      <c r="AM1910">
        <v>100</v>
      </c>
      <c r="AN1910">
        <v>2800</v>
      </c>
      <c r="AO1910" t="s">
        <v>118</v>
      </c>
      <c r="AP1910">
        <v>-87</v>
      </c>
      <c r="AQ1910">
        <v>-116</v>
      </c>
      <c r="AR1910">
        <v>0</v>
      </c>
      <c r="AZ1910">
        <v>4552</v>
      </c>
      <c r="BA1910">
        <v>1</v>
      </c>
      <c r="BB1910" t="str">
        <f t="shared" si="464"/>
        <v xml:space="preserve">N607SR  </v>
      </c>
      <c r="BC1910">
        <v>1</v>
      </c>
      <c r="BE1910">
        <v>0</v>
      </c>
      <c r="BF1910">
        <v>0</v>
      </c>
      <c r="BG1910">
        <v>0</v>
      </c>
      <c r="BH1910">
        <v>2575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 t="shared" si="498"/>
        <v>06:17:38.505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465</v>
      </c>
      <c r="CR1910">
        <v>0</v>
      </c>
      <c r="CW1910">
        <v>4723285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 t="shared" si="495"/>
        <v>08/29/2020 06:17:35.284</v>
      </c>
      <c r="C1911" t="str">
        <f t="shared" si="462"/>
        <v>FFDFD3C0</v>
      </c>
      <c r="D1911" t="s">
        <v>113</v>
      </c>
      <c r="E1911">
        <v>5</v>
      </c>
      <c r="H1911">
        <v>163</v>
      </c>
      <c r="I1911" t="s">
        <v>114</v>
      </c>
      <c r="J1911" t="s">
        <v>115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496"/>
        <v>06:17:38.500</v>
      </c>
      <c r="T1911" t="str">
        <f t="shared" si="497"/>
        <v>06:17:38.000</v>
      </c>
      <c r="U1911" t="str">
        <f t="shared" si="463"/>
        <v>A7E2E0</v>
      </c>
      <c r="V1911">
        <v>0</v>
      </c>
      <c r="W1911">
        <v>0</v>
      </c>
      <c r="X1911">
        <v>1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0</v>
      </c>
      <c r="AI1911" t="s">
        <v>1173</v>
      </c>
      <c r="AJ1911">
        <v>38.977904000000002</v>
      </c>
      <c r="AK1911" t="s">
        <v>1174</v>
      </c>
      <c r="AL1911">
        <v>-87.592235000000002</v>
      </c>
      <c r="AM1911">
        <v>100</v>
      </c>
      <c r="AN1911">
        <v>2800</v>
      </c>
      <c r="AO1911" t="s">
        <v>118</v>
      </c>
      <c r="AP1911">
        <v>-87</v>
      </c>
      <c r="AQ1911">
        <v>-116</v>
      </c>
      <c r="AR1911">
        <v>0</v>
      </c>
      <c r="AZ1911">
        <v>4552</v>
      </c>
      <c r="BA1911">
        <v>1</v>
      </c>
      <c r="BB1911" t="str">
        <f t="shared" si="464"/>
        <v xml:space="preserve">N607SR  </v>
      </c>
      <c r="BC1911">
        <v>1</v>
      </c>
      <c r="BE1911">
        <v>0</v>
      </c>
      <c r="BF1911">
        <v>0</v>
      </c>
      <c r="BG1911">
        <v>0</v>
      </c>
      <c r="BH1911">
        <v>2575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 t="shared" si="498"/>
        <v>06:17:38.505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6</v>
      </c>
      <c r="CP1911" t="s">
        <v>119</v>
      </c>
      <c r="CQ1911">
        <v>465</v>
      </c>
      <c r="CR1911">
        <v>0</v>
      </c>
      <c r="CW1911">
        <v>4723285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 t="shared" si="495"/>
        <v>08/29/2020 06:17:35.284</v>
      </c>
      <c r="C1912" t="str">
        <f t="shared" si="462"/>
        <v>FFDFD3C0</v>
      </c>
      <c r="D1912" t="s">
        <v>121</v>
      </c>
      <c r="E1912">
        <v>13</v>
      </c>
      <c r="F1912">
        <v>1013</v>
      </c>
      <c r="G1912" t="s">
        <v>122</v>
      </c>
      <c r="J1912" t="s">
        <v>123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496"/>
        <v>06:17:38.500</v>
      </c>
      <c r="T1912" t="str">
        <f t="shared" si="497"/>
        <v>06:17:38.000</v>
      </c>
      <c r="U1912" t="str">
        <f t="shared" si="463"/>
        <v>A7E2E0</v>
      </c>
      <c r="V1912">
        <v>0</v>
      </c>
      <c r="W1912">
        <v>0</v>
      </c>
      <c r="X1912">
        <v>1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0</v>
      </c>
      <c r="AI1912" t="s">
        <v>1173</v>
      </c>
      <c r="AJ1912">
        <v>38.977904000000002</v>
      </c>
      <c r="AK1912" t="s">
        <v>1174</v>
      </c>
      <c r="AL1912">
        <v>-87.592235000000002</v>
      </c>
      <c r="AM1912">
        <v>100</v>
      </c>
      <c r="AN1912">
        <v>2800</v>
      </c>
      <c r="AO1912" t="s">
        <v>118</v>
      </c>
      <c r="AP1912">
        <v>-87</v>
      </c>
      <c r="AQ1912">
        <v>-116</v>
      </c>
      <c r="AR1912">
        <v>0</v>
      </c>
      <c r="AZ1912">
        <v>4552</v>
      </c>
      <c r="BA1912">
        <v>1</v>
      </c>
      <c r="BB1912" t="str">
        <f t="shared" si="464"/>
        <v xml:space="preserve">N607SR  </v>
      </c>
      <c r="BC1912">
        <v>1</v>
      </c>
      <c r="BE1912">
        <v>0</v>
      </c>
      <c r="BF1912">
        <v>0</v>
      </c>
      <c r="BG1912">
        <v>0</v>
      </c>
      <c r="BH1912">
        <v>2575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 t="shared" si="498"/>
        <v>06:17:38.505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6</v>
      </c>
      <c r="CP1912" t="s">
        <v>119</v>
      </c>
      <c r="CQ1912">
        <v>465</v>
      </c>
      <c r="CR1912">
        <v>0</v>
      </c>
      <c r="CW1912">
        <v>4723285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 t="shared" si="495"/>
        <v>08/29/2020 06:17:35.284</v>
      </c>
      <c r="C1913" t="str">
        <f t="shared" si="462"/>
        <v>FFDFD3C0</v>
      </c>
      <c r="D1913" t="s">
        <v>939</v>
      </c>
      <c r="E1913">
        <v>10</v>
      </c>
      <c r="H1913">
        <v>79</v>
      </c>
      <c r="I1913" t="s">
        <v>940</v>
      </c>
      <c r="J1913" t="s">
        <v>130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496"/>
        <v>06:17:38.500</v>
      </c>
      <c r="T1913" t="str">
        <f t="shared" si="497"/>
        <v>06:17:38.000</v>
      </c>
      <c r="U1913" t="str">
        <f t="shared" si="463"/>
        <v>A7E2E0</v>
      </c>
      <c r="V1913">
        <v>0</v>
      </c>
      <c r="W1913">
        <v>0</v>
      </c>
      <c r="X1913">
        <v>1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0</v>
      </c>
      <c r="AI1913" t="s">
        <v>1173</v>
      </c>
      <c r="AJ1913">
        <v>38.977904000000002</v>
      </c>
      <c r="AK1913" t="s">
        <v>1174</v>
      </c>
      <c r="AL1913">
        <v>-87.592235000000002</v>
      </c>
      <c r="AM1913">
        <v>100</v>
      </c>
      <c r="AN1913">
        <v>2800</v>
      </c>
      <c r="AO1913" t="s">
        <v>118</v>
      </c>
      <c r="AP1913">
        <v>-87</v>
      </c>
      <c r="AQ1913">
        <v>-116</v>
      </c>
      <c r="AR1913">
        <v>0</v>
      </c>
      <c r="AZ1913">
        <v>4552</v>
      </c>
      <c r="BA1913">
        <v>1</v>
      </c>
      <c r="BB1913" t="str">
        <f t="shared" si="464"/>
        <v xml:space="preserve">N607SR  </v>
      </c>
      <c r="BC1913">
        <v>1</v>
      </c>
      <c r="BE1913">
        <v>0</v>
      </c>
      <c r="BF1913">
        <v>0</v>
      </c>
      <c r="BG1913">
        <v>0</v>
      </c>
      <c r="BH1913">
        <v>2575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 t="shared" si="498"/>
        <v>06:17:38.505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465</v>
      </c>
      <c r="CR1913">
        <v>0</v>
      </c>
      <c r="CW1913">
        <v>4723285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 t="shared" si="495"/>
        <v>08/29/2020 06:17:35.284</v>
      </c>
      <c r="C1914" t="str">
        <f t="shared" si="462"/>
        <v>FFDFD3C0</v>
      </c>
      <c r="D1914" t="s">
        <v>121</v>
      </c>
      <c r="E1914">
        <v>11</v>
      </c>
      <c r="F1914">
        <v>1011</v>
      </c>
      <c r="G1914" t="s">
        <v>125</v>
      </c>
      <c r="J1914" t="s">
        <v>123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496"/>
        <v>06:17:38.500</v>
      </c>
      <c r="T1914" t="str">
        <f t="shared" si="497"/>
        <v>06:17:38.000</v>
      </c>
      <c r="U1914" t="str">
        <f t="shared" si="463"/>
        <v>A7E2E0</v>
      </c>
      <c r="V1914">
        <v>0</v>
      </c>
      <c r="W1914">
        <v>0</v>
      </c>
      <c r="X1914">
        <v>1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0</v>
      </c>
      <c r="AI1914" t="s">
        <v>1173</v>
      </c>
      <c r="AJ1914">
        <v>38.977904000000002</v>
      </c>
      <c r="AK1914" t="s">
        <v>1174</v>
      </c>
      <c r="AL1914">
        <v>-87.592235000000002</v>
      </c>
      <c r="AM1914">
        <v>100</v>
      </c>
      <c r="AN1914">
        <v>2800</v>
      </c>
      <c r="AO1914" t="s">
        <v>118</v>
      </c>
      <c r="AP1914">
        <v>-87</v>
      </c>
      <c r="AQ1914">
        <v>-116</v>
      </c>
      <c r="AR1914">
        <v>0</v>
      </c>
      <c r="AZ1914">
        <v>4552</v>
      </c>
      <c r="BA1914">
        <v>1</v>
      </c>
      <c r="BB1914" t="str">
        <f t="shared" si="464"/>
        <v xml:space="preserve">N607SR  </v>
      </c>
      <c r="BC1914">
        <v>1</v>
      </c>
      <c r="BE1914">
        <v>0</v>
      </c>
      <c r="BF1914">
        <v>0</v>
      </c>
      <c r="BG1914">
        <v>0</v>
      </c>
      <c r="BH1914">
        <v>2575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 t="shared" si="498"/>
        <v>06:17:38.505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4</v>
      </c>
      <c r="CP1914" t="s">
        <v>119</v>
      </c>
      <c r="CQ1914">
        <v>177</v>
      </c>
      <c r="CR1914">
        <v>2</v>
      </c>
      <c r="CW1914">
        <v>1656764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 t="shared" ref="A1915:A1920" si="499">"08/29/2020 06:17:36.135"</f>
        <v>08/29/2020 06:17:36.135</v>
      </c>
      <c r="C1915" t="str">
        <f t="shared" si="462"/>
        <v>FFDFD3C0</v>
      </c>
      <c r="D1915" t="s">
        <v>939</v>
      </c>
      <c r="E1915">
        <v>10</v>
      </c>
      <c r="H1915">
        <v>79</v>
      </c>
      <c r="I1915" t="s">
        <v>940</v>
      </c>
      <c r="J1915" t="s">
        <v>130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ref="S1915:S1920" si="500">"06:17:39.398"</f>
        <v>06:17:39.398</v>
      </c>
      <c r="T1915" t="str">
        <f>"06:17:38.998"</f>
        <v>06:17:38.998</v>
      </c>
      <c r="U1915" t="str">
        <f t="shared" si="463"/>
        <v>A7E2E0</v>
      </c>
      <c r="V1915">
        <v>0</v>
      </c>
      <c r="W1915">
        <v>0</v>
      </c>
      <c r="X1915">
        <v>1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0</v>
      </c>
      <c r="AI1915" t="s">
        <v>1175</v>
      </c>
      <c r="AJ1915">
        <v>38.977432</v>
      </c>
      <c r="AK1915" t="s">
        <v>1176</v>
      </c>
      <c r="AL1915">
        <v>-87.592749999999995</v>
      </c>
      <c r="AM1915">
        <v>100</v>
      </c>
      <c r="AN1915">
        <v>2800</v>
      </c>
      <c r="AO1915" t="s">
        <v>118</v>
      </c>
      <c r="AP1915">
        <v>-87</v>
      </c>
      <c r="AQ1915">
        <v>-116</v>
      </c>
      <c r="AR1915">
        <v>0</v>
      </c>
      <c r="AZ1915">
        <v>4552</v>
      </c>
      <c r="BA1915">
        <v>1</v>
      </c>
      <c r="BB1915" t="str">
        <f t="shared" si="464"/>
        <v xml:space="preserve">N607SR  </v>
      </c>
      <c r="BC1915">
        <v>1</v>
      </c>
      <c r="BE1915">
        <v>0</v>
      </c>
      <c r="BF1915">
        <v>0</v>
      </c>
      <c r="BG1915">
        <v>0</v>
      </c>
      <c r="BH1915">
        <v>2575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 t="shared" ref="BW1915:BW1920" si="501">"06:17:39.402"</f>
        <v>06:17:39.402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465</v>
      </c>
      <c r="CR1915">
        <v>0</v>
      </c>
      <c r="CW1915">
        <v>4723314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 t="shared" si="499"/>
        <v>08/29/2020 06:17:36.135</v>
      </c>
      <c r="C1916" t="str">
        <f t="shared" si="462"/>
        <v>FFDFD3C0</v>
      </c>
      <c r="D1916" t="s">
        <v>121</v>
      </c>
      <c r="E1916">
        <v>13</v>
      </c>
      <c r="F1916">
        <v>1013</v>
      </c>
      <c r="G1916" t="s">
        <v>122</v>
      </c>
      <c r="J1916" t="s">
        <v>123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500"/>
        <v>06:17:39.398</v>
      </c>
      <c r="U1916" t="str">
        <f t="shared" si="463"/>
        <v>A7E2E0</v>
      </c>
      <c r="V1916">
        <v>0</v>
      </c>
      <c r="W1916">
        <v>0</v>
      </c>
      <c r="X1916">
        <v>1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0</v>
      </c>
      <c r="AI1916" t="s">
        <v>1175</v>
      </c>
      <c r="AJ1916">
        <v>38.977432</v>
      </c>
      <c r="AK1916" t="s">
        <v>1176</v>
      </c>
      <c r="AL1916">
        <v>-87.592749999999995</v>
      </c>
      <c r="AM1916">
        <v>100</v>
      </c>
      <c r="AN1916">
        <v>2800</v>
      </c>
      <c r="AO1916" t="s">
        <v>118</v>
      </c>
      <c r="AP1916">
        <v>-87</v>
      </c>
      <c r="AQ1916">
        <v>-116</v>
      </c>
      <c r="AR1916">
        <v>0</v>
      </c>
      <c r="AZ1916">
        <v>4552</v>
      </c>
      <c r="BA1916">
        <v>1</v>
      </c>
      <c r="BB1916" t="str">
        <f t="shared" si="464"/>
        <v xml:space="preserve">N607SR  </v>
      </c>
      <c r="BC1916">
        <v>1</v>
      </c>
      <c r="BE1916">
        <v>0</v>
      </c>
      <c r="BF1916">
        <v>0</v>
      </c>
      <c r="BG1916">
        <v>0</v>
      </c>
      <c r="BH1916">
        <v>2575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 t="shared" si="501"/>
        <v>06:17:39.402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2</v>
      </c>
      <c r="CP1916" t="s">
        <v>119</v>
      </c>
      <c r="CQ1916">
        <v>528</v>
      </c>
      <c r="CR1916">
        <v>1</v>
      </c>
      <c r="CW1916">
        <v>13099465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 t="shared" si="499"/>
        <v>08/29/2020 06:17:36.135</v>
      </c>
      <c r="C1917" t="str">
        <f t="shared" si="462"/>
        <v>FFDFD3C0</v>
      </c>
      <c r="D1917" t="s">
        <v>121</v>
      </c>
      <c r="E1917">
        <v>10</v>
      </c>
      <c r="F1917">
        <v>1010</v>
      </c>
      <c r="G1917" t="s">
        <v>114</v>
      </c>
      <c r="J1917" t="s">
        <v>123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500"/>
        <v>06:17:39.398</v>
      </c>
      <c r="U1917" t="str">
        <f t="shared" si="463"/>
        <v>A7E2E0</v>
      </c>
      <c r="V1917">
        <v>0</v>
      </c>
      <c r="W1917">
        <v>0</v>
      </c>
      <c r="X1917">
        <v>1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0</v>
      </c>
      <c r="AI1917" t="s">
        <v>1175</v>
      </c>
      <c r="AJ1917">
        <v>38.977432</v>
      </c>
      <c r="AK1917" t="s">
        <v>1176</v>
      </c>
      <c r="AL1917">
        <v>-87.592749999999995</v>
      </c>
      <c r="AM1917">
        <v>100</v>
      </c>
      <c r="AN1917">
        <v>2800</v>
      </c>
      <c r="AO1917" t="s">
        <v>118</v>
      </c>
      <c r="AP1917">
        <v>-87</v>
      </c>
      <c r="AQ1917">
        <v>-116</v>
      </c>
      <c r="AR1917">
        <v>0</v>
      </c>
      <c r="AZ1917">
        <v>4552</v>
      </c>
      <c r="BA1917">
        <v>1</v>
      </c>
      <c r="BB1917" t="str">
        <f t="shared" si="464"/>
        <v xml:space="preserve">N607SR  </v>
      </c>
      <c r="BC1917">
        <v>1</v>
      </c>
      <c r="BE1917">
        <v>0</v>
      </c>
      <c r="BF1917">
        <v>0</v>
      </c>
      <c r="BG1917">
        <v>0</v>
      </c>
      <c r="BH1917">
        <v>2575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 t="shared" si="501"/>
        <v>06:17:39.402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2</v>
      </c>
      <c r="CP1917" t="s">
        <v>119</v>
      </c>
      <c r="CQ1917">
        <v>528</v>
      </c>
      <c r="CR1917">
        <v>1</v>
      </c>
      <c r="CW1917">
        <v>13099465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 t="shared" si="499"/>
        <v>08/29/2020 06:17:36.135</v>
      </c>
      <c r="C1918" t="str">
        <f t="shared" si="462"/>
        <v>FFDFD3C0</v>
      </c>
      <c r="D1918" t="s">
        <v>128</v>
      </c>
      <c r="E1918">
        <v>5</v>
      </c>
      <c r="H1918">
        <v>241</v>
      </c>
      <c r="I1918" t="s">
        <v>129</v>
      </c>
      <c r="J1918" t="s">
        <v>130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500"/>
        <v>06:17:39.398</v>
      </c>
      <c r="U1918" t="str">
        <f t="shared" si="463"/>
        <v>A7E2E0</v>
      </c>
      <c r="V1918">
        <v>0</v>
      </c>
      <c r="W1918">
        <v>0</v>
      </c>
      <c r="X1918">
        <v>1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0</v>
      </c>
      <c r="AI1918" t="s">
        <v>1175</v>
      </c>
      <c r="AJ1918">
        <v>38.977432</v>
      </c>
      <c r="AK1918" t="s">
        <v>1176</v>
      </c>
      <c r="AL1918">
        <v>-87.592749999999995</v>
      </c>
      <c r="AM1918">
        <v>100</v>
      </c>
      <c r="AN1918">
        <v>2800</v>
      </c>
      <c r="AO1918" t="s">
        <v>118</v>
      </c>
      <c r="AP1918">
        <v>-87</v>
      </c>
      <c r="AQ1918">
        <v>-116</v>
      </c>
      <c r="AR1918">
        <v>0</v>
      </c>
      <c r="AZ1918">
        <v>4552</v>
      </c>
      <c r="BA1918">
        <v>1</v>
      </c>
      <c r="BB1918" t="str">
        <f t="shared" si="464"/>
        <v xml:space="preserve">N607SR  </v>
      </c>
      <c r="BC1918">
        <v>1</v>
      </c>
      <c r="BE1918">
        <v>0</v>
      </c>
      <c r="BF1918">
        <v>0</v>
      </c>
      <c r="BG1918">
        <v>0</v>
      </c>
      <c r="BH1918">
        <v>2575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 t="shared" si="501"/>
        <v>06:17:39.402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2</v>
      </c>
      <c r="CP1918" t="s">
        <v>119</v>
      </c>
      <c r="CQ1918">
        <v>528</v>
      </c>
      <c r="CR1918">
        <v>1</v>
      </c>
      <c r="CW1918">
        <v>13099465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 t="shared" si="499"/>
        <v>08/29/2020 06:17:36.135</v>
      </c>
      <c r="C1919" t="str">
        <f t="shared" si="462"/>
        <v>FFDFD3C0</v>
      </c>
      <c r="D1919" t="s">
        <v>121</v>
      </c>
      <c r="E1919">
        <v>11</v>
      </c>
      <c r="F1919">
        <v>1011</v>
      </c>
      <c r="G1919" t="s">
        <v>125</v>
      </c>
      <c r="J1919" t="s">
        <v>123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500"/>
        <v>06:17:39.398</v>
      </c>
      <c r="U1919" t="str">
        <f t="shared" si="463"/>
        <v>A7E2E0</v>
      </c>
      <c r="V1919">
        <v>0</v>
      </c>
      <c r="W1919">
        <v>0</v>
      </c>
      <c r="X1919">
        <v>1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0</v>
      </c>
      <c r="AI1919" t="s">
        <v>1175</v>
      </c>
      <c r="AJ1919">
        <v>38.977432</v>
      </c>
      <c r="AK1919" t="s">
        <v>1176</v>
      </c>
      <c r="AL1919">
        <v>-87.592749999999995</v>
      </c>
      <c r="AM1919">
        <v>100</v>
      </c>
      <c r="AN1919">
        <v>2800</v>
      </c>
      <c r="AO1919" t="s">
        <v>118</v>
      </c>
      <c r="AP1919">
        <v>-87</v>
      </c>
      <c r="AQ1919">
        <v>-116</v>
      </c>
      <c r="AR1919">
        <v>0</v>
      </c>
      <c r="AZ1919">
        <v>4552</v>
      </c>
      <c r="BA1919">
        <v>1</v>
      </c>
      <c r="BB1919" t="str">
        <f t="shared" si="464"/>
        <v xml:space="preserve">N607SR  </v>
      </c>
      <c r="BC1919">
        <v>1</v>
      </c>
      <c r="BE1919">
        <v>0</v>
      </c>
      <c r="BF1919">
        <v>0</v>
      </c>
      <c r="BG1919">
        <v>0</v>
      </c>
      <c r="BH1919">
        <v>2575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 t="shared" si="501"/>
        <v>06:17:39.402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2</v>
      </c>
      <c r="CP1919" t="s">
        <v>119</v>
      </c>
      <c r="CQ1919">
        <v>528</v>
      </c>
      <c r="CR1919">
        <v>1</v>
      </c>
      <c r="CW1919">
        <v>13099465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 t="shared" si="499"/>
        <v>08/29/2020 06:17:36.135</v>
      </c>
      <c r="C1920" t="str">
        <f t="shared" si="462"/>
        <v>FFDFD3C0</v>
      </c>
      <c r="D1920" t="s">
        <v>113</v>
      </c>
      <c r="E1920">
        <v>5</v>
      </c>
      <c r="H1920">
        <v>163</v>
      </c>
      <c r="I1920" t="s">
        <v>114</v>
      </c>
      <c r="J1920" t="s">
        <v>115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500"/>
        <v>06:17:39.398</v>
      </c>
      <c r="T1920" t="str">
        <f>"06:17:38.998"</f>
        <v>06:17:38.998</v>
      </c>
      <c r="U1920" t="str">
        <f t="shared" si="463"/>
        <v>A7E2E0</v>
      </c>
      <c r="V1920">
        <v>0</v>
      </c>
      <c r="W1920">
        <v>0</v>
      </c>
      <c r="X1920">
        <v>1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0</v>
      </c>
      <c r="AI1920" t="s">
        <v>1175</v>
      </c>
      <c r="AJ1920">
        <v>38.977432</v>
      </c>
      <c r="AK1920" t="s">
        <v>1176</v>
      </c>
      <c r="AL1920">
        <v>-87.592749999999995</v>
      </c>
      <c r="AM1920">
        <v>100</v>
      </c>
      <c r="AN1920">
        <v>2800</v>
      </c>
      <c r="AO1920" t="s">
        <v>118</v>
      </c>
      <c r="AP1920">
        <v>-87</v>
      </c>
      <c r="AQ1920">
        <v>-116</v>
      </c>
      <c r="AR1920">
        <v>0</v>
      </c>
      <c r="AZ1920">
        <v>4552</v>
      </c>
      <c r="BA1920">
        <v>1</v>
      </c>
      <c r="BB1920" t="str">
        <f t="shared" si="464"/>
        <v xml:space="preserve">N607SR  </v>
      </c>
      <c r="BC1920">
        <v>1</v>
      </c>
      <c r="BE1920">
        <v>0</v>
      </c>
      <c r="BF1920">
        <v>0</v>
      </c>
      <c r="BG1920">
        <v>0</v>
      </c>
      <c r="BH1920">
        <v>2575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 t="shared" si="501"/>
        <v>06:17:39.402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6</v>
      </c>
      <c r="CP1920" t="s">
        <v>119</v>
      </c>
      <c r="CQ1920">
        <v>465</v>
      </c>
      <c r="CR1920">
        <v>0</v>
      </c>
      <c r="CW1920">
        <v>4723314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 t="shared" ref="A1921:A1926" si="502">"08/29/2020 06:17:37.039"</f>
        <v>08/29/2020 06:17:37.039</v>
      </c>
      <c r="C1921" t="str">
        <f t="shared" si="462"/>
        <v>FFDFD3C0</v>
      </c>
      <c r="D1921" t="s">
        <v>939</v>
      </c>
      <c r="E1921">
        <v>10</v>
      </c>
      <c r="H1921">
        <v>79</v>
      </c>
      <c r="I1921" t="s">
        <v>940</v>
      </c>
      <c r="J1921" t="s">
        <v>130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ref="S1921:S1926" si="503">"06:17:40.297"</f>
        <v>06:17:40.297</v>
      </c>
      <c r="T1921" t="str">
        <f t="shared" ref="T1921:T1926" si="504">"06:17:39.897"</f>
        <v>06:17:39.897</v>
      </c>
      <c r="U1921" t="str">
        <f t="shared" si="463"/>
        <v>A7E2E0</v>
      </c>
      <c r="V1921">
        <v>0</v>
      </c>
      <c r="W1921">
        <v>0</v>
      </c>
      <c r="X1921">
        <v>1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0</v>
      </c>
      <c r="AI1921" t="s">
        <v>1177</v>
      </c>
      <c r="AJ1921">
        <v>38.976939000000002</v>
      </c>
      <c r="AK1921" t="s">
        <v>1178</v>
      </c>
      <c r="AL1921">
        <v>-87.593199999999996</v>
      </c>
      <c r="AM1921">
        <v>100</v>
      </c>
      <c r="AN1921">
        <v>2700</v>
      </c>
      <c r="AO1921" t="s">
        <v>118</v>
      </c>
      <c r="AP1921">
        <v>-87</v>
      </c>
      <c r="AQ1921">
        <v>-116</v>
      </c>
      <c r="AR1921">
        <v>0</v>
      </c>
      <c r="AZ1921">
        <v>4552</v>
      </c>
      <c r="BA1921">
        <v>1</v>
      </c>
      <c r="BB1921" t="str">
        <f t="shared" si="464"/>
        <v xml:space="preserve">N607SR  </v>
      </c>
      <c r="BC1921">
        <v>1</v>
      </c>
      <c r="BE1921">
        <v>0</v>
      </c>
      <c r="BF1921">
        <v>0</v>
      </c>
      <c r="BG1921">
        <v>0</v>
      </c>
      <c r="BH1921">
        <v>2475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 t="shared" ref="BW1921:BW1926" si="505">"06:17:40.301"</f>
        <v>06:17:40.301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465</v>
      </c>
      <c r="CR1921">
        <v>0</v>
      </c>
      <c r="CW1921">
        <v>4723340</v>
      </c>
      <c r="CY1921">
        <v>1</v>
      </c>
      <c r="CZ1921">
        <v>0</v>
      </c>
      <c r="DA1921">
        <v>0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 t="shared" si="502"/>
        <v>08/29/2020 06:17:37.039</v>
      </c>
      <c r="C1922" t="str">
        <f t="shared" ref="C1922:C1985" si="506">"FFDFD3C0"</f>
        <v>FFDFD3C0</v>
      </c>
      <c r="D1922" t="s">
        <v>113</v>
      </c>
      <c r="E1922">
        <v>5</v>
      </c>
      <c r="H1922">
        <v>163</v>
      </c>
      <c r="I1922" t="s">
        <v>114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503"/>
        <v>06:17:40.297</v>
      </c>
      <c r="T1922" t="str">
        <f t="shared" si="504"/>
        <v>06:17:39.897</v>
      </c>
      <c r="U1922" t="str">
        <f t="shared" ref="U1922:U1985" si="507">"A7E2E0"</f>
        <v>A7E2E0</v>
      </c>
      <c r="V1922">
        <v>0</v>
      </c>
      <c r="W1922">
        <v>0</v>
      </c>
      <c r="X1922">
        <v>1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0</v>
      </c>
      <c r="AI1922" t="s">
        <v>1177</v>
      </c>
      <c r="AJ1922">
        <v>38.976939000000002</v>
      </c>
      <c r="AK1922" t="s">
        <v>1178</v>
      </c>
      <c r="AL1922">
        <v>-87.593199999999996</v>
      </c>
      <c r="AM1922">
        <v>100</v>
      </c>
      <c r="AN1922">
        <v>2700</v>
      </c>
      <c r="AO1922" t="s">
        <v>118</v>
      </c>
      <c r="AP1922">
        <v>-87</v>
      </c>
      <c r="AQ1922">
        <v>-116</v>
      </c>
      <c r="AR1922">
        <v>0</v>
      </c>
      <c r="AZ1922">
        <v>4552</v>
      </c>
      <c r="BA1922">
        <v>1</v>
      </c>
      <c r="BB1922" t="str">
        <f t="shared" ref="BB1922:BB1985" si="508">"N607SR  "</f>
        <v xml:space="preserve">N607SR  </v>
      </c>
      <c r="BC1922">
        <v>1</v>
      </c>
      <c r="BE1922">
        <v>0</v>
      </c>
      <c r="BF1922">
        <v>0</v>
      </c>
      <c r="BG1922">
        <v>0</v>
      </c>
      <c r="BH1922">
        <v>2475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 t="shared" si="505"/>
        <v>06:17:40.301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6</v>
      </c>
      <c r="CP1922" t="s">
        <v>119</v>
      </c>
      <c r="CQ1922">
        <v>465</v>
      </c>
      <c r="CR1922">
        <v>0</v>
      </c>
      <c r="CW1922">
        <v>4723340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 t="shared" si="502"/>
        <v>08/29/2020 06:17:37.039</v>
      </c>
      <c r="C1923" t="str">
        <f t="shared" si="506"/>
        <v>FFDFD3C0</v>
      </c>
      <c r="D1923" t="s">
        <v>121</v>
      </c>
      <c r="E1923">
        <v>13</v>
      </c>
      <c r="F1923">
        <v>1013</v>
      </c>
      <c r="G1923" t="s">
        <v>122</v>
      </c>
      <c r="J1923" t="s">
        <v>123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503"/>
        <v>06:17:40.297</v>
      </c>
      <c r="T1923" t="str">
        <f t="shared" si="504"/>
        <v>06:17:39.897</v>
      </c>
      <c r="U1923" t="str">
        <f t="shared" si="507"/>
        <v>A7E2E0</v>
      </c>
      <c r="V1923">
        <v>0</v>
      </c>
      <c r="W1923">
        <v>0</v>
      </c>
      <c r="X1923">
        <v>1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0</v>
      </c>
      <c r="AI1923" t="s">
        <v>1177</v>
      </c>
      <c r="AJ1923">
        <v>38.976939000000002</v>
      </c>
      <c r="AK1923" t="s">
        <v>1178</v>
      </c>
      <c r="AL1923">
        <v>-87.593199999999996</v>
      </c>
      <c r="AM1923">
        <v>100</v>
      </c>
      <c r="AN1923">
        <v>2700</v>
      </c>
      <c r="AO1923" t="s">
        <v>118</v>
      </c>
      <c r="AP1923">
        <v>-87</v>
      </c>
      <c r="AQ1923">
        <v>-116</v>
      </c>
      <c r="AR1923">
        <v>0</v>
      </c>
      <c r="AZ1923">
        <v>4552</v>
      </c>
      <c r="BA1923">
        <v>1</v>
      </c>
      <c r="BB1923" t="str">
        <f t="shared" si="508"/>
        <v xml:space="preserve">N607SR  </v>
      </c>
      <c r="BC1923">
        <v>1</v>
      </c>
      <c r="BE1923">
        <v>0</v>
      </c>
      <c r="BF1923">
        <v>0</v>
      </c>
      <c r="BG1923">
        <v>0</v>
      </c>
      <c r="BH1923">
        <v>2475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 t="shared" si="505"/>
        <v>06:17:40.301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119</v>
      </c>
      <c r="CQ1923">
        <v>465</v>
      </c>
      <c r="CR1923">
        <v>0</v>
      </c>
      <c r="CW1923">
        <v>4723340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 t="shared" si="502"/>
        <v>08/29/2020 06:17:37.039</v>
      </c>
      <c r="C1924" t="str">
        <f t="shared" si="506"/>
        <v>FFDFD3C0</v>
      </c>
      <c r="D1924" t="s">
        <v>121</v>
      </c>
      <c r="E1924">
        <v>10</v>
      </c>
      <c r="F1924">
        <v>1010</v>
      </c>
      <c r="G1924" t="s">
        <v>114</v>
      </c>
      <c r="J1924" t="s">
        <v>123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503"/>
        <v>06:17:40.297</v>
      </c>
      <c r="T1924" t="str">
        <f t="shared" si="504"/>
        <v>06:17:39.897</v>
      </c>
      <c r="U1924" t="str">
        <f t="shared" si="507"/>
        <v>A7E2E0</v>
      </c>
      <c r="V1924">
        <v>0</v>
      </c>
      <c r="W1924">
        <v>0</v>
      </c>
      <c r="X1924">
        <v>1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0</v>
      </c>
      <c r="AI1924" t="s">
        <v>1177</v>
      </c>
      <c r="AJ1924">
        <v>38.976939000000002</v>
      </c>
      <c r="AK1924" t="s">
        <v>1178</v>
      </c>
      <c r="AL1924">
        <v>-87.593199999999996</v>
      </c>
      <c r="AM1924">
        <v>100</v>
      </c>
      <c r="AN1924">
        <v>2700</v>
      </c>
      <c r="AO1924" t="s">
        <v>118</v>
      </c>
      <c r="AP1924">
        <v>-87</v>
      </c>
      <c r="AQ1924">
        <v>-116</v>
      </c>
      <c r="AR1924">
        <v>0</v>
      </c>
      <c r="AZ1924">
        <v>4552</v>
      </c>
      <c r="BA1924">
        <v>1</v>
      </c>
      <c r="BB1924" t="str">
        <f t="shared" si="508"/>
        <v xml:space="preserve">N607SR  </v>
      </c>
      <c r="BC1924">
        <v>1</v>
      </c>
      <c r="BE1924">
        <v>0</v>
      </c>
      <c r="BF1924">
        <v>0</v>
      </c>
      <c r="BG1924">
        <v>0</v>
      </c>
      <c r="BH1924">
        <v>2475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 t="shared" si="505"/>
        <v>06:17:40.301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119</v>
      </c>
      <c r="CQ1924">
        <v>465</v>
      </c>
      <c r="CR1924">
        <v>0</v>
      </c>
      <c r="CW1924">
        <v>4723340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 t="shared" si="502"/>
        <v>08/29/2020 06:17:37.039</v>
      </c>
      <c r="C1925" t="str">
        <f t="shared" si="506"/>
        <v>FFDFD3C0</v>
      </c>
      <c r="D1925" t="s">
        <v>128</v>
      </c>
      <c r="E1925">
        <v>5</v>
      </c>
      <c r="H1925">
        <v>241</v>
      </c>
      <c r="I1925" t="s">
        <v>129</v>
      </c>
      <c r="J1925" t="s">
        <v>130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503"/>
        <v>06:17:40.297</v>
      </c>
      <c r="T1925" t="str">
        <f t="shared" si="504"/>
        <v>06:17:39.897</v>
      </c>
      <c r="U1925" t="str">
        <f t="shared" si="507"/>
        <v>A7E2E0</v>
      </c>
      <c r="V1925">
        <v>0</v>
      </c>
      <c r="W1925">
        <v>0</v>
      </c>
      <c r="X1925">
        <v>1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0</v>
      </c>
      <c r="AI1925" t="s">
        <v>1177</v>
      </c>
      <c r="AJ1925">
        <v>38.976939000000002</v>
      </c>
      <c r="AK1925" t="s">
        <v>1178</v>
      </c>
      <c r="AL1925">
        <v>-87.593199999999996</v>
      </c>
      <c r="AM1925">
        <v>100</v>
      </c>
      <c r="AN1925">
        <v>2700</v>
      </c>
      <c r="AO1925" t="s">
        <v>118</v>
      </c>
      <c r="AP1925">
        <v>-87</v>
      </c>
      <c r="AQ1925">
        <v>-116</v>
      </c>
      <c r="AR1925">
        <v>0</v>
      </c>
      <c r="AZ1925">
        <v>4552</v>
      </c>
      <c r="BA1925">
        <v>1</v>
      </c>
      <c r="BB1925" t="str">
        <f t="shared" si="508"/>
        <v xml:space="preserve">N607SR  </v>
      </c>
      <c r="BC1925">
        <v>1</v>
      </c>
      <c r="BE1925">
        <v>0</v>
      </c>
      <c r="BF1925">
        <v>0</v>
      </c>
      <c r="BG1925">
        <v>0</v>
      </c>
      <c r="BH1925">
        <v>2475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 t="shared" si="505"/>
        <v>06:17:40.301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6</v>
      </c>
      <c r="CP1925" t="s">
        <v>119</v>
      </c>
      <c r="CQ1925">
        <v>465</v>
      </c>
      <c r="CR1925">
        <v>0</v>
      </c>
      <c r="CW1925">
        <v>4723340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 t="shared" si="502"/>
        <v>08/29/2020 06:17:37.039</v>
      </c>
      <c r="C1926" t="str">
        <f t="shared" si="506"/>
        <v>FFDFD3C0</v>
      </c>
      <c r="D1926" t="s">
        <v>121</v>
      </c>
      <c r="E1926">
        <v>11</v>
      </c>
      <c r="F1926">
        <v>1011</v>
      </c>
      <c r="G1926" t="s">
        <v>125</v>
      </c>
      <c r="J1926" t="s">
        <v>123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503"/>
        <v>06:17:40.297</v>
      </c>
      <c r="T1926" t="str">
        <f t="shared" si="504"/>
        <v>06:17:39.897</v>
      </c>
      <c r="U1926" t="str">
        <f t="shared" si="507"/>
        <v>A7E2E0</v>
      </c>
      <c r="V1926">
        <v>0</v>
      </c>
      <c r="W1926">
        <v>0</v>
      </c>
      <c r="X1926">
        <v>1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0</v>
      </c>
      <c r="AI1926" t="s">
        <v>1177</v>
      </c>
      <c r="AJ1926">
        <v>38.976939000000002</v>
      </c>
      <c r="AK1926" t="s">
        <v>1178</v>
      </c>
      <c r="AL1926">
        <v>-87.593199999999996</v>
      </c>
      <c r="AM1926">
        <v>100</v>
      </c>
      <c r="AN1926">
        <v>2700</v>
      </c>
      <c r="AO1926" t="s">
        <v>118</v>
      </c>
      <c r="AP1926">
        <v>-87</v>
      </c>
      <c r="AQ1926">
        <v>-116</v>
      </c>
      <c r="AR1926">
        <v>0</v>
      </c>
      <c r="AZ1926">
        <v>4552</v>
      </c>
      <c r="BA1926">
        <v>1</v>
      </c>
      <c r="BB1926" t="str">
        <f t="shared" si="508"/>
        <v xml:space="preserve">N607SR  </v>
      </c>
      <c r="BC1926">
        <v>1</v>
      </c>
      <c r="BE1926">
        <v>0</v>
      </c>
      <c r="BF1926">
        <v>0</v>
      </c>
      <c r="BG1926">
        <v>0</v>
      </c>
      <c r="BH1926">
        <v>2575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 t="shared" si="505"/>
        <v>06:17:40.301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5</v>
      </c>
      <c r="CP1926" t="s">
        <v>119</v>
      </c>
      <c r="CQ1926">
        <v>177</v>
      </c>
      <c r="CR1926">
        <v>2</v>
      </c>
      <c r="CW1926">
        <v>1657051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 t="shared" ref="A1927:A1932" si="509">"08/29/2020 06:17:38.145"</f>
        <v>08/29/2020 06:17:38.145</v>
      </c>
      <c r="C1927" t="str">
        <f t="shared" si="506"/>
        <v>FFDFD3C0</v>
      </c>
      <c r="D1927" t="s">
        <v>939</v>
      </c>
      <c r="E1927">
        <v>10</v>
      </c>
      <c r="H1927">
        <v>79</v>
      </c>
      <c r="I1927" t="s">
        <v>940</v>
      </c>
      <c r="J1927" t="s">
        <v>130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ref="S1927:S1932" si="510">"06:17:41.375"</f>
        <v>06:17:41.375</v>
      </c>
      <c r="T1927" t="str">
        <f>"06:17:40.875"</f>
        <v>06:17:40.875</v>
      </c>
      <c r="U1927" t="str">
        <f t="shared" si="507"/>
        <v>A7E2E0</v>
      </c>
      <c r="V1927">
        <v>0</v>
      </c>
      <c r="W1927">
        <v>0</v>
      </c>
      <c r="X1927">
        <v>1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0</v>
      </c>
      <c r="AI1927" t="s">
        <v>1179</v>
      </c>
      <c r="AJ1927">
        <v>38.976337999999998</v>
      </c>
      <c r="AK1927" t="s">
        <v>1180</v>
      </c>
      <c r="AL1927">
        <v>-87.593757999999994</v>
      </c>
      <c r="AM1927">
        <v>100</v>
      </c>
      <c r="AN1927">
        <v>2800</v>
      </c>
      <c r="AO1927" t="s">
        <v>118</v>
      </c>
      <c r="AP1927">
        <v>-87</v>
      </c>
      <c r="AQ1927">
        <v>-116</v>
      </c>
      <c r="AR1927">
        <v>0</v>
      </c>
      <c r="AZ1927">
        <v>4552</v>
      </c>
      <c r="BA1927">
        <v>1</v>
      </c>
      <c r="BB1927" t="str">
        <f t="shared" si="508"/>
        <v xml:space="preserve">N607SR  </v>
      </c>
      <c r="BC1927">
        <v>1</v>
      </c>
      <c r="BE1927">
        <v>0</v>
      </c>
      <c r="BF1927">
        <v>0</v>
      </c>
      <c r="BG1927">
        <v>0</v>
      </c>
      <c r="BH1927">
        <v>2575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"06:17:41.378"</f>
        <v>06:17:41.378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6</v>
      </c>
      <c r="CP1927" t="s">
        <v>119</v>
      </c>
      <c r="CQ1927">
        <v>465</v>
      </c>
      <c r="CR1927">
        <v>0</v>
      </c>
      <c r="CW1927">
        <v>4723376</v>
      </c>
      <c r="CY1927">
        <v>1</v>
      </c>
      <c r="CZ1927">
        <v>0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 t="shared" si="509"/>
        <v>08/29/2020 06:17:38.145</v>
      </c>
      <c r="C1928" t="str">
        <f t="shared" si="506"/>
        <v>FFDFD3C0</v>
      </c>
      <c r="D1928" t="s">
        <v>121</v>
      </c>
      <c r="E1928">
        <v>11</v>
      </c>
      <c r="F1928">
        <v>1011</v>
      </c>
      <c r="G1928" t="s">
        <v>125</v>
      </c>
      <c r="J1928" t="s">
        <v>123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510"/>
        <v>06:17:41.375</v>
      </c>
      <c r="T1928" t="str">
        <f>"06:17:40.875"</f>
        <v>06:17:40.875</v>
      </c>
      <c r="U1928" t="str">
        <f t="shared" si="507"/>
        <v>A7E2E0</v>
      </c>
      <c r="V1928">
        <v>0</v>
      </c>
      <c r="W1928">
        <v>0</v>
      </c>
      <c r="X1928">
        <v>1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0</v>
      </c>
      <c r="AI1928" t="s">
        <v>1179</v>
      </c>
      <c r="AJ1928">
        <v>38.976337999999998</v>
      </c>
      <c r="AK1928" t="s">
        <v>1180</v>
      </c>
      <c r="AL1928">
        <v>-87.593757999999994</v>
      </c>
      <c r="AM1928">
        <v>100</v>
      </c>
      <c r="AN1928">
        <v>2800</v>
      </c>
      <c r="AO1928" t="s">
        <v>118</v>
      </c>
      <c r="AP1928">
        <v>-87</v>
      </c>
      <c r="AQ1928">
        <v>-116</v>
      </c>
      <c r="AR1928">
        <v>0</v>
      </c>
      <c r="AZ1928">
        <v>4552</v>
      </c>
      <c r="BA1928">
        <v>1</v>
      </c>
      <c r="BB1928" t="str">
        <f t="shared" si="508"/>
        <v xml:space="preserve">N607SR  </v>
      </c>
      <c r="BC1928">
        <v>1</v>
      </c>
      <c r="BE1928">
        <v>0</v>
      </c>
      <c r="BF1928">
        <v>0</v>
      </c>
      <c r="BG1928">
        <v>0</v>
      </c>
      <c r="BH1928">
        <v>2575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"06:17:41.378"</f>
        <v>06:17:41.378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4</v>
      </c>
      <c r="CP1928" t="s">
        <v>119</v>
      </c>
      <c r="CQ1928">
        <v>177</v>
      </c>
      <c r="CR1928">
        <v>2</v>
      </c>
      <c r="CW1928">
        <v>1657236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 t="shared" si="509"/>
        <v>08/29/2020 06:17:38.145</v>
      </c>
      <c r="C1929" t="str">
        <f t="shared" si="506"/>
        <v>FFDFD3C0</v>
      </c>
      <c r="D1929" t="s">
        <v>113</v>
      </c>
      <c r="E1929">
        <v>5</v>
      </c>
      <c r="H1929">
        <v>163</v>
      </c>
      <c r="I1929" t="s">
        <v>114</v>
      </c>
      <c r="J1929" t="s">
        <v>115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510"/>
        <v>06:17:41.375</v>
      </c>
      <c r="U1929" t="str">
        <f t="shared" si="507"/>
        <v>A7E2E0</v>
      </c>
      <c r="V1929">
        <v>0</v>
      </c>
      <c r="W1929">
        <v>0</v>
      </c>
      <c r="X1929">
        <v>1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0</v>
      </c>
      <c r="AI1929" t="s">
        <v>1179</v>
      </c>
      <c r="AJ1929">
        <v>38.976337999999998</v>
      </c>
      <c r="AK1929" t="s">
        <v>1180</v>
      </c>
      <c r="AL1929">
        <v>-87.593757999999994</v>
      </c>
      <c r="AM1929">
        <v>100</v>
      </c>
      <c r="AN1929">
        <v>2800</v>
      </c>
      <c r="AO1929" t="s">
        <v>118</v>
      </c>
      <c r="AP1929">
        <v>-87</v>
      </c>
      <c r="AQ1929">
        <v>-116</v>
      </c>
      <c r="AR1929">
        <v>0</v>
      </c>
      <c r="AZ1929">
        <v>4552</v>
      </c>
      <c r="BA1929">
        <v>1</v>
      </c>
      <c r="BB1929" t="str">
        <f t="shared" si="508"/>
        <v xml:space="preserve">N607SR  </v>
      </c>
      <c r="BC1929">
        <v>1</v>
      </c>
      <c r="BE1929">
        <v>0</v>
      </c>
      <c r="BF1929">
        <v>0</v>
      </c>
      <c r="BG1929">
        <v>0</v>
      </c>
      <c r="BH1929">
        <v>2575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"06:17:41.377"</f>
        <v>06:17:41.377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5</v>
      </c>
      <c r="CP1929" t="s">
        <v>119</v>
      </c>
      <c r="CQ1929">
        <v>517</v>
      </c>
      <c r="CR1929">
        <v>1</v>
      </c>
      <c r="CW1929">
        <v>2483747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 t="shared" si="509"/>
        <v>08/29/2020 06:17:38.145</v>
      </c>
      <c r="C1930" t="str">
        <f t="shared" si="506"/>
        <v>FFDFD3C0</v>
      </c>
      <c r="D1930" t="s">
        <v>121</v>
      </c>
      <c r="E1930">
        <v>13</v>
      </c>
      <c r="F1930">
        <v>1013</v>
      </c>
      <c r="G1930" t="s">
        <v>122</v>
      </c>
      <c r="J1930" t="s">
        <v>123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510"/>
        <v>06:17:41.375</v>
      </c>
      <c r="U1930" t="str">
        <f t="shared" si="507"/>
        <v>A7E2E0</v>
      </c>
      <c r="V1930">
        <v>0</v>
      </c>
      <c r="W1930">
        <v>0</v>
      </c>
      <c r="X1930">
        <v>1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0</v>
      </c>
      <c r="AI1930" t="s">
        <v>1179</v>
      </c>
      <c r="AJ1930">
        <v>38.976337999999998</v>
      </c>
      <c r="AK1930" t="s">
        <v>1180</v>
      </c>
      <c r="AL1930">
        <v>-87.593757999999994</v>
      </c>
      <c r="AM1930">
        <v>100</v>
      </c>
      <c r="AN1930">
        <v>2800</v>
      </c>
      <c r="AO1930" t="s">
        <v>118</v>
      </c>
      <c r="AP1930">
        <v>-87</v>
      </c>
      <c r="AQ1930">
        <v>-116</v>
      </c>
      <c r="AR1930">
        <v>0</v>
      </c>
      <c r="AZ1930">
        <v>4552</v>
      </c>
      <c r="BA1930">
        <v>1</v>
      </c>
      <c r="BB1930" t="str">
        <f t="shared" si="508"/>
        <v xml:space="preserve">N607SR  </v>
      </c>
      <c r="BC1930">
        <v>1</v>
      </c>
      <c r="BE1930">
        <v>0</v>
      </c>
      <c r="BF1930">
        <v>0</v>
      </c>
      <c r="BG1930">
        <v>0</v>
      </c>
      <c r="BH1930">
        <v>2575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"06:17:41.377"</f>
        <v>06:17:41.377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5</v>
      </c>
      <c r="CP1930" t="s">
        <v>119</v>
      </c>
      <c r="CQ1930">
        <v>517</v>
      </c>
      <c r="CR1930">
        <v>1</v>
      </c>
      <c r="CW1930">
        <v>2483747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 t="shared" si="509"/>
        <v>08/29/2020 06:17:38.145</v>
      </c>
      <c r="C1931" t="str">
        <f t="shared" si="506"/>
        <v>FFDFD3C0</v>
      </c>
      <c r="D1931" t="s">
        <v>121</v>
      </c>
      <c r="E1931">
        <v>10</v>
      </c>
      <c r="F1931">
        <v>1010</v>
      </c>
      <c r="G1931" t="s">
        <v>114</v>
      </c>
      <c r="J1931" t="s">
        <v>123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510"/>
        <v>06:17:41.375</v>
      </c>
      <c r="U1931" t="str">
        <f t="shared" si="507"/>
        <v>A7E2E0</v>
      </c>
      <c r="V1931">
        <v>0</v>
      </c>
      <c r="W1931">
        <v>0</v>
      </c>
      <c r="X1931">
        <v>1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0</v>
      </c>
      <c r="AI1931" t="s">
        <v>1179</v>
      </c>
      <c r="AJ1931">
        <v>38.976337999999998</v>
      </c>
      <c r="AK1931" t="s">
        <v>1180</v>
      </c>
      <c r="AL1931">
        <v>-87.593757999999994</v>
      </c>
      <c r="AM1931">
        <v>100</v>
      </c>
      <c r="AN1931">
        <v>2800</v>
      </c>
      <c r="AO1931" t="s">
        <v>118</v>
      </c>
      <c r="AP1931">
        <v>-87</v>
      </c>
      <c r="AQ1931">
        <v>-116</v>
      </c>
      <c r="AR1931">
        <v>0</v>
      </c>
      <c r="AZ1931">
        <v>4552</v>
      </c>
      <c r="BA1931">
        <v>1</v>
      </c>
      <c r="BB1931" t="str">
        <f t="shared" si="508"/>
        <v xml:space="preserve">N607SR  </v>
      </c>
      <c r="BC1931">
        <v>1</v>
      </c>
      <c r="BE1931">
        <v>0</v>
      </c>
      <c r="BF1931">
        <v>0</v>
      </c>
      <c r="BG1931">
        <v>0</v>
      </c>
      <c r="BH1931">
        <v>2575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"06:17:41.377"</f>
        <v>06:17:41.377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5</v>
      </c>
      <c r="CP1931" t="s">
        <v>119</v>
      </c>
      <c r="CQ1931">
        <v>517</v>
      </c>
      <c r="CR1931">
        <v>1</v>
      </c>
      <c r="CW1931">
        <v>2483747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 t="shared" si="509"/>
        <v>08/29/2020 06:17:38.145</v>
      </c>
      <c r="C1932" t="str">
        <f t="shared" si="506"/>
        <v>FFDFD3C0</v>
      </c>
      <c r="D1932" t="s">
        <v>128</v>
      </c>
      <c r="E1932">
        <v>5</v>
      </c>
      <c r="H1932">
        <v>241</v>
      </c>
      <c r="I1932" t="s">
        <v>129</v>
      </c>
      <c r="J1932" t="s">
        <v>130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510"/>
        <v>06:17:41.375</v>
      </c>
      <c r="U1932" t="str">
        <f t="shared" si="507"/>
        <v>A7E2E0</v>
      </c>
      <c r="V1932">
        <v>0</v>
      </c>
      <c r="W1932">
        <v>0</v>
      </c>
      <c r="X1932">
        <v>1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0</v>
      </c>
      <c r="AI1932" t="s">
        <v>1179</v>
      </c>
      <c r="AJ1932">
        <v>38.976337999999998</v>
      </c>
      <c r="AK1932" t="s">
        <v>1180</v>
      </c>
      <c r="AL1932">
        <v>-87.593757999999994</v>
      </c>
      <c r="AM1932">
        <v>100</v>
      </c>
      <c r="AN1932">
        <v>2800</v>
      </c>
      <c r="AO1932" t="s">
        <v>118</v>
      </c>
      <c r="AP1932">
        <v>-87</v>
      </c>
      <c r="AQ1932">
        <v>-116</v>
      </c>
      <c r="AR1932">
        <v>0</v>
      </c>
      <c r="AZ1932">
        <v>4552</v>
      </c>
      <c r="BA1932">
        <v>1</v>
      </c>
      <c r="BB1932" t="str">
        <f t="shared" si="508"/>
        <v xml:space="preserve">N607SR  </v>
      </c>
      <c r="BC1932">
        <v>1</v>
      </c>
      <c r="BE1932">
        <v>0</v>
      </c>
      <c r="BF1932">
        <v>0</v>
      </c>
      <c r="BG1932">
        <v>0</v>
      </c>
      <c r="BH1932">
        <v>2575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"06:17:41.377"</f>
        <v>06:17:41.377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5</v>
      </c>
      <c r="CP1932" t="s">
        <v>119</v>
      </c>
      <c r="CQ1932">
        <v>517</v>
      </c>
      <c r="CR1932">
        <v>1</v>
      </c>
      <c r="CW1932">
        <v>2483747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 t="shared" ref="A1933:A1938" si="511">"08/29/2020 06:17:39.170"</f>
        <v>08/29/2020 06:17:39.170</v>
      </c>
      <c r="C1933" t="str">
        <f t="shared" si="506"/>
        <v>FFDFD3C0</v>
      </c>
      <c r="D1933" t="s">
        <v>113</v>
      </c>
      <c r="E1933">
        <v>5</v>
      </c>
      <c r="H1933">
        <v>163</v>
      </c>
      <c r="I1933" t="s">
        <v>114</v>
      </c>
      <c r="J1933" t="s">
        <v>115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S1938" si="512">"06:17:42.422"</f>
        <v>06:17:42.422</v>
      </c>
      <c r="U1933" t="str">
        <f t="shared" si="507"/>
        <v>A7E2E0</v>
      </c>
      <c r="V1933">
        <v>0</v>
      </c>
      <c r="W1933">
        <v>0</v>
      </c>
      <c r="X1933">
        <v>1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0</v>
      </c>
      <c r="AI1933" t="s">
        <v>1181</v>
      </c>
      <c r="AJ1933">
        <v>38.975758999999996</v>
      </c>
      <c r="AK1933" t="s">
        <v>1182</v>
      </c>
      <c r="AL1933">
        <v>-87.594295000000002</v>
      </c>
      <c r="AM1933">
        <v>100</v>
      </c>
      <c r="AN1933">
        <v>2800</v>
      </c>
      <c r="AO1933" t="s">
        <v>118</v>
      </c>
      <c r="AP1933">
        <v>-87</v>
      </c>
      <c r="AQ1933">
        <v>-116</v>
      </c>
      <c r="AR1933">
        <v>0</v>
      </c>
      <c r="AZ1933">
        <v>4552</v>
      </c>
      <c r="BA1933">
        <v>1</v>
      </c>
      <c r="BB1933" t="str">
        <f t="shared" si="508"/>
        <v xml:space="preserve">N607SR  </v>
      </c>
      <c r="BC1933">
        <v>1</v>
      </c>
      <c r="BE1933">
        <v>0</v>
      </c>
      <c r="BF1933">
        <v>0</v>
      </c>
      <c r="BG1933">
        <v>0</v>
      </c>
      <c r="BH1933">
        <v>2575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 t="shared" ref="BW1933:BW1938" si="513">"06:17:42.424"</f>
        <v>06:17:42.424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6</v>
      </c>
      <c r="CP1933" t="s">
        <v>119</v>
      </c>
      <c r="CQ1933">
        <v>465</v>
      </c>
      <c r="CR1933">
        <v>0</v>
      </c>
      <c r="CW1933">
        <v>4723407</v>
      </c>
      <c r="CY1933">
        <v>1</v>
      </c>
      <c r="CZ1933">
        <v>0</v>
      </c>
      <c r="DA1933">
        <v>0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 t="shared" si="511"/>
        <v>08/29/2020 06:17:39.170</v>
      </c>
      <c r="C1934" t="str">
        <f t="shared" si="506"/>
        <v>FFDFD3C0</v>
      </c>
      <c r="D1934" t="s">
        <v>121</v>
      </c>
      <c r="E1934">
        <v>13</v>
      </c>
      <c r="F1934">
        <v>1013</v>
      </c>
      <c r="G1934" t="s">
        <v>122</v>
      </c>
      <c r="J1934" t="s">
        <v>123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512"/>
        <v>06:17:42.422</v>
      </c>
      <c r="U1934" t="str">
        <f t="shared" si="507"/>
        <v>A7E2E0</v>
      </c>
      <c r="V1934">
        <v>0</v>
      </c>
      <c r="W1934">
        <v>0</v>
      </c>
      <c r="X1934">
        <v>1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0</v>
      </c>
      <c r="AI1934" t="s">
        <v>1181</v>
      </c>
      <c r="AJ1934">
        <v>38.975758999999996</v>
      </c>
      <c r="AK1934" t="s">
        <v>1182</v>
      </c>
      <c r="AL1934">
        <v>-87.594295000000002</v>
      </c>
      <c r="AM1934">
        <v>100</v>
      </c>
      <c r="AN1934">
        <v>2800</v>
      </c>
      <c r="AO1934" t="s">
        <v>118</v>
      </c>
      <c r="AP1934">
        <v>-87</v>
      </c>
      <c r="AQ1934">
        <v>-116</v>
      </c>
      <c r="AR1934">
        <v>0</v>
      </c>
      <c r="AZ1934">
        <v>4552</v>
      </c>
      <c r="BA1934">
        <v>1</v>
      </c>
      <c r="BB1934" t="str">
        <f t="shared" si="508"/>
        <v xml:space="preserve">N607SR  </v>
      </c>
      <c r="BC1934">
        <v>1</v>
      </c>
      <c r="BE1934">
        <v>0</v>
      </c>
      <c r="BF1934">
        <v>0</v>
      </c>
      <c r="BG1934">
        <v>0</v>
      </c>
      <c r="BH1934">
        <v>2575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 t="shared" si="513"/>
        <v>06:17:42.424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6</v>
      </c>
      <c r="CP1934" t="s">
        <v>119</v>
      </c>
      <c r="CQ1934">
        <v>465</v>
      </c>
      <c r="CR1934">
        <v>0</v>
      </c>
      <c r="CW1934">
        <v>4723407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 t="shared" si="511"/>
        <v>08/29/2020 06:17:39.170</v>
      </c>
      <c r="C1935" t="str">
        <f t="shared" si="506"/>
        <v>FFDFD3C0</v>
      </c>
      <c r="D1935" t="s">
        <v>121</v>
      </c>
      <c r="E1935">
        <v>10</v>
      </c>
      <c r="F1935">
        <v>1010</v>
      </c>
      <c r="G1935" t="s">
        <v>114</v>
      </c>
      <c r="J1935" t="s">
        <v>123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512"/>
        <v>06:17:42.422</v>
      </c>
      <c r="U1935" t="str">
        <f t="shared" si="507"/>
        <v>A7E2E0</v>
      </c>
      <c r="V1935">
        <v>0</v>
      </c>
      <c r="W1935">
        <v>0</v>
      </c>
      <c r="X1935">
        <v>1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0</v>
      </c>
      <c r="AI1935" t="s">
        <v>1181</v>
      </c>
      <c r="AJ1935">
        <v>38.975758999999996</v>
      </c>
      <c r="AK1935" t="s">
        <v>1182</v>
      </c>
      <c r="AL1935">
        <v>-87.594295000000002</v>
      </c>
      <c r="AM1935">
        <v>100</v>
      </c>
      <c r="AN1935">
        <v>2800</v>
      </c>
      <c r="AO1935" t="s">
        <v>118</v>
      </c>
      <c r="AP1935">
        <v>-87</v>
      </c>
      <c r="AQ1935">
        <v>-116</v>
      </c>
      <c r="AR1935">
        <v>0</v>
      </c>
      <c r="AZ1935">
        <v>4552</v>
      </c>
      <c r="BA1935">
        <v>1</v>
      </c>
      <c r="BB1935" t="str">
        <f t="shared" si="508"/>
        <v xml:space="preserve">N607SR  </v>
      </c>
      <c r="BC1935">
        <v>1</v>
      </c>
      <c r="BE1935">
        <v>0</v>
      </c>
      <c r="BF1935">
        <v>0</v>
      </c>
      <c r="BG1935">
        <v>0</v>
      </c>
      <c r="BH1935">
        <v>2575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 t="shared" si="513"/>
        <v>06:17:42.424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6</v>
      </c>
      <c r="CP1935" t="s">
        <v>119</v>
      </c>
      <c r="CQ1935">
        <v>465</v>
      </c>
      <c r="CR1935">
        <v>0</v>
      </c>
      <c r="CW1935">
        <v>4723407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 t="shared" si="511"/>
        <v>08/29/2020 06:17:39.170</v>
      </c>
      <c r="C1936" t="str">
        <f t="shared" si="506"/>
        <v>FFDFD3C0</v>
      </c>
      <c r="D1936" t="s">
        <v>128</v>
      </c>
      <c r="E1936">
        <v>5</v>
      </c>
      <c r="H1936">
        <v>241</v>
      </c>
      <c r="I1936" t="s">
        <v>129</v>
      </c>
      <c r="J1936" t="s">
        <v>130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512"/>
        <v>06:17:42.422</v>
      </c>
      <c r="U1936" t="str">
        <f t="shared" si="507"/>
        <v>A7E2E0</v>
      </c>
      <c r="V1936">
        <v>0</v>
      </c>
      <c r="W1936">
        <v>0</v>
      </c>
      <c r="X1936">
        <v>1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0</v>
      </c>
      <c r="AI1936" t="s">
        <v>1181</v>
      </c>
      <c r="AJ1936">
        <v>38.975758999999996</v>
      </c>
      <c r="AK1936" t="s">
        <v>1182</v>
      </c>
      <c r="AL1936">
        <v>-87.594295000000002</v>
      </c>
      <c r="AM1936">
        <v>100</v>
      </c>
      <c r="AN1936">
        <v>2800</v>
      </c>
      <c r="AO1936" t="s">
        <v>118</v>
      </c>
      <c r="AP1936">
        <v>-87</v>
      </c>
      <c r="AQ1936">
        <v>-116</v>
      </c>
      <c r="AR1936">
        <v>0</v>
      </c>
      <c r="AZ1936">
        <v>4552</v>
      </c>
      <c r="BA1936">
        <v>1</v>
      </c>
      <c r="BB1936" t="str">
        <f t="shared" si="508"/>
        <v xml:space="preserve">N607SR  </v>
      </c>
      <c r="BC1936">
        <v>1</v>
      </c>
      <c r="BE1936">
        <v>0</v>
      </c>
      <c r="BF1936">
        <v>0</v>
      </c>
      <c r="BG1936">
        <v>0</v>
      </c>
      <c r="BH1936">
        <v>2575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 t="shared" si="513"/>
        <v>06:17:42.424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6</v>
      </c>
      <c r="CP1936" t="s">
        <v>119</v>
      </c>
      <c r="CQ1936">
        <v>465</v>
      </c>
      <c r="CR1936">
        <v>0</v>
      </c>
      <c r="CW1936">
        <v>4723407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 t="shared" si="511"/>
        <v>08/29/2020 06:17:39.170</v>
      </c>
      <c r="C1937" t="str">
        <f t="shared" si="506"/>
        <v>FFDFD3C0</v>
      </c>
      <c r="D1937" t="s">
        <v>121</v>
      </c>
      <c r="E1937">
        <v>11</v>
      </c>
      <c r="F1937">
        <v>1011</v>
      </c>
      <c r="G1937" t="s">
        <v>125</v>
      </c>
      <c r="J1937" t="s">
        <v>123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512"/>
        <v>06:17:42.422</v>
      </c>
      <c r="T1937" t="str">
        <f>"06:17:42.022"</f>
        <v>06:17:42.022</v>
      </c>
      <c r="U1937" t="str">
        <f t="shared" si="507"/>
        <v>A7E2E0</v>
      </c>
      <c r="V1937">
        <v>0</v>
      </c>
      <c r="W1937">
        <v>0</v>
      </c>
      <c r="X1937">
        <v>1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0</v>
      </c>
      <c r="AI1937" t="s">
        <v>1181</v>
      </c>
      <c r="AJ1937">
        <v>38.975758999999996</v>
      </c>
      <c r="AK1937" t="s">
        <v>1182</v>
      </c>
      <c r="AL1937">
        <v>-87.594295000000002</v>
      </c>
      <c r="AM1937">
        <v>100</v>
      </c>
      <c r="AN1937">
        <v>2800</v>
      </c>
      <c r="AO1937" t="s">
        <v>118</v>
      </c>
      <c r="AP1937">
        <v>-87</v>
      </c>
      <c r="AQ1937">
        <v>-116</v>
      </c>
      <c r="AR1937">
        <v>0</v>
      </c>
      <c r="AZ1937">
        <v>4552</v>
      </c>
      <c r="BA1937">
        <v>1</v>
      </c>
      <c r="BB1937" t="str">
        <f t="shared" si="508"/>
        <v xml:space="preserve">N607SR  </v>
      </c>
      <c r="BC1937">
        <v>1</v>
      </c>
      <c r="BE1937">
        <v>0</v>
      </c>
      <c r="BF1937">
        <v>0</v>
      </c>
      <c r="BG1937">
        <v>0</v>
      </c>
      <c r="BH1937">
        <v>2575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 t="shared" si="513"/>
        <v>06:17:42.424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4</v>
      </c>
      <c r="CP1937" t="s">
        <v>119</v>
      </c>
      <c r="CQ1937">
        <v>457</v>
      </c>
      <c r="CR1937">
        <v>0</v>
      </c>
      <c r="CW1937">
        <v>15518914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 t="shared" si="511"/>
        <v>08/29/2020 06:17:39.170</v>
      </c>
      <c r="C1938" t="str">
        <f t="shared" si="506"/>
        <v>FFDFD3C0</v>
      </c>
      <c r="D1938" t="s">
        <v>939</v>
      </c>
      <c r="E1938">
        <v>10</v>
      </c>
      <c r="H1938">
        <v>79</v>
      </c>
      <c r="I1938" t="s">
        <v>940</v>
      </c>
      <c r="J1938" t="s">
        <v>130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512"/>
        <v>06:17:42.422</v>
      </c>
      <c r="U1938" t="str">
        <f t="shared" si="507"/>
        <v>A7E2E0</v>
      </c>
      <c r="V1938">
        <v>0</v>
      </c>
      <c r="W1938">
        <v>0</v>
      </c>
      <c r="X1938">
        <v>1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0</v>
      </c>
      <c r="AI1938" t="s">
        <v>1181</v>
      </c>
      <c r="AJ1938">
        <v>38.975758999999996</v>
      </c>
      <c r="AK1938" t="s">
        <v>1182</v>
      </c>
      <c r="AL1938">
        <v>-87.594295000000002</v>
      </c>
      <c r="AM1938">
        <v>100</v>
      </c>
      <c r="AN1938">
        <v>2800</v>
      </c>
      <c r="AO1938" t="s">
        <v>118</v>
      </c>
      <c r="AP1938">
        <v>-87</v>
      </c>
      <c r="AQ1938">
        <v>-116</v>
      </c>
      <c r="AR1938">
        <v>0</v>
      </c>
      <c r="AZ1938">
        <v>4552</v>
      </c>
      <c r="BA1938">
        <v>1</v>
      </c>
      <c r="BB1938" t="str">
        <f t="shared" si="508"/>
        <v xml:space="preserve">N607SR  </v>
      </c>
      <c r="BC1938">
        <v>1</v>
      </c>
      <c r="BE1938">
        <v>0</v>
      </c>
      <c r="BF1938">
        <v>0</v>
      </c>
      <c r="BG1938">
        <v>0</v>
      </c>
      <c r="BH1938">
        <v>2575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 t="shared" si="513"/>
        <v>06:17:42.424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119</v>
      </c>
      <c r="CQ1938">
        <v>465</v>
      </c>
      <c r="CR1938">
        <v>0</v>
      </c>
      <c r="CW1938">
        <v>4723407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 t="shared" ref="A1939:A1944" si="514">"08/29/2020 06:17:40.201"</f>
        <v>08/29/2020 06:17:40.201</v>
      </c>
      <c r="C1939" t="str">
        <f t="shared" si="506"/>
        <v>FFDFD3C0</v>
      </c>
      <c r="D1939" t="s">
        <v>128</v>
      </c>
      <c r="E1939">
        <v>5</v>
      </c>
      <c r="H1939">
        <v>241</v>
      </c>
      <c r="I1939" t="s">
        <v>129</v>
      </c>
      <c r="J1939" t="s">
        <v>130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ref="S1939:S1944" si="515">"06:17:43.453"</f>
        <v>06:17:43.453</v>
      </c>
      <c r="T1939" t="str">
        <f t="shared" ref="T1939:T1944" si="516">"06:17:43.053"</f>
        <v>06:17:43.053</v>
      </c>
      <c r="U1939" t="str">
        <f t="shared" si="507"/>
        <v>A7E2E0</v>
      </c>
      <c r="V1939">
        <v>0</v>
      </c>
      <c r="W1939">
        <v>0</v>
      </c>
      <c r="X1939">
        <v>1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0</v>
      </c>
      <c r="AI1939" t="s">
        <v>1183</v>
      </c>
      <c r="AJ1939">
        <v>38.975200999999998</v>
      </c>
      <c r="AK1939" t="s">
        <v>1184</v>
      </c>
      <c r="AL1939">
        <v>-87.594852000000003</v>
      </c>
      <c r="AM1939">
        <v>100</v>
      </c>
      <c r="AN1939">
        <v>2800</v>
      </c>
      <c r="AO1939" t="s">
        <v>118</v>
      </c>
      <c r="AP1939">
        <v>-87</v>
      </c>
      <c r="AQ1939">
        <v>-116</v>
      </c>
      <c r="AR1939">
        <v>0</v>
      </c>
      <c r="AZ1939">
        <v>4552</v>
      </c>
      <c r="BA1939">
        <v>1</v>
      </c>
      <c r="BB1939" t="str">
        <f t="shared" si="508"/>
        <v xml:space="preserve">N607SR  </v>
      </c>
      <c r="BC1939">
        <v>1</v>
      </c>
      <c r="BE1939">
        <v>0</v>
      </c>
      <c r="BF1939">
        <v>0</v>
      </c>
      <c r="BG1939">
        <v>0</v>
      </c>
      <c r="BH1939">
        <v>2575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 t="shared" ref="BW1939:BW1944" si="517">"06:17:43.453"</f>
        <v>06:17:43.453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6</v>
      </c>
      <c r="CP1939" t="s">
        <v>119</v>
      </c>
      <c r="CQ1939">
        <v>465</v>
      </c>
      <c r="CR1939">
        <v>0</v>
      </c>
      <c r="CW1939">
        <v>4723436</v>
      </c>
      <c r="CY1939">
        <v>1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 t="shared" si="514"/>
        <v>08/29/2020 06:17:40.201</v>
      </c>
      <c r="C1940" t="str">
        <f t="shared" si="506"/>
        <v>FFDFD3C0</v>
      </c>
      <c r="D1940" t="s">
        <v>121</v>
      </c>
      <c r="E1940">
        <v>11</v>
      </c>
      <c r="F1940">
        <v>1011</v>
      </c>
      <c r="G1940" t="s">
        <v>125</v>
      </c>
      <c r="J1940" t="s">
        <v>123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515"/>
        <v>06:17:43.453</v>
      </c>
      <c r="T1940" t="str">
        <f t="shared" si="516"/>
        <v>06:17:43.053</v>
      </c>
      <c r="U1940" t="str">
        <f t="shared" si="507"/>
        <v>A7E2E0</v>
      </c>
      <c r="V1940">
        <v>0</v>
      </c>
      <c r="W1940">
        <v>0</v>
      </c>
      <c r="X1940">
        <v>1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0</v>
      </c>
      <c r="AI1940" t="s">
        <v>1183</v>
      </c>
      <c r="AJ1940">
        <v>38.975200999999998</v>
      </c>
      <c r="AK1940" t="s">
        <v>1184</v>
      </c>
      <c r="AL1940">
        <v>-87.594852000000003</v>
      </c>
      <c r="AM1940">
        <v>100</v>
      </c>
      <c r="AN1940">
        <v>2800</v>
      </c>
      <c r="AO1940" t="s">
        <v>118</v>
      </c>
      <c r="AP1940">
        <v>-87</v>
      </c>
      <c r="AQ1940">
        <v>-116</v>
      </c>
      <c r="AR1940">
        <v>0</v>
      </c>
      <c r="AZ1940">
        <v>4552</v>
      </c>
      <c r="BA1940">
        <v>1</v>
      </c>
      <c r="BB1940" t="str">
        <f t="shared" si="508"/>
        <v xml:space="preserve">N607SR  </v>
      </c>
      <c r="BC1940">
        <v>1</v>
      </c>
      <c r="BE1940">
        <v>0</v>
      </c>
      <c r="BF1940">
        <v>0</v>
      </c>
      <c r="BG1940">
        <v>0</v>
      </c>
      <c r="BH1940">
        <v>2575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 t="shared" si="517"/>
        <v>06:17:43.453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4</v>
      </c>
      <c r="CP1940" t="s">
        <v>119</v>
      </c>
      <c r="CQ1940">
        <v>177</v>
      </c>
      <c r="CR1940">
        <v>2</v>
      </c>
      <c r="CW1940">
        <v>1657558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 t="shared" si="514"/>
        <v>08/29/2020 06:17:40.201</v>
      </c>
      <c r="C1941" t="str">
        <f t="shared" si="506"/>
        <v>FFDFD3C0</v>
      </c>
      <c r="D1941" t="s">
        <v>939</v>
      </c>
      <c r="E1941">
        <v>10</v>
      </c>
      <c r="H1941">
        <v>79</v>
      </c>
      <c r="I1941" t="s">
        <v>940</v>
      </c>
      <c r="J1941" t="s">
        <v>130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515"/>
        <v>06:17:43.453</v>
      </c>
      <c r="T1941" t="str">
        <f t="shared" si="516"/>
        <v>06:17:43.053</v>
      </c>
      <c r="U1941" t="str">
        <f t="shared" si="507"/>
        <v>A7E2E0</v>
      </c>
      <c r="V1941">
        <v>0</v>
      </c>
      <c r="W1941">
        <v>0</v>
      </c>
      <c r="X1941">
        <v>1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0</v>
      </c>
      <c r="AI1941" t="s">
        <v>1183</v>
      </c>
      <c r="AJ1941">
        <v>38.975200999999998</v>
      </c>
      <c r="AK1941" t="s">
        <v>1184</v>
      </c>
      <c r="AL1941">
        <v>-87.594852000000003</v>
      </c>
      <c r="AM1941">
        <v>100</v>
      </c>
      <c r="AN1941">
        <v>2800</v>
      </c>
      <c r="AO1941" t="s">
        <v>118</v>
      </c>
      <c r="AP1941">
        <v>-87</v>
      </c>
      <c r="AQ1941">
        <v>-116</v>
      </c>
      <c r="AR1941">
        <v>0</v>
      </c>
      <c r="AZ1941">
        <v>4552</v>
      </c>
      <c r="BA1941">
        <v>1</v>
      </c>
      <c r="BB1941" t="str">
        <f t="shared" si="508"/>
        <v xml:space="preserve">N607SR  </v>
      </c>
      <c r="BC1941">
        <v>1</v>
      </c>
      <c r="BE1941">
        <v>0</v>
      </c>
      <c r="BF1941">
        <v>0</v>
      </c>
      <c r="BG1941">
        <v>0</v>
      </c>
      <c r="BH1941">
        <v>2575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 t="shared" si="517"/>
        <v>06:17:43.453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6</v>
      </c>
      <c r="CP1941" t="s">
        <v>119</v>
      </c>
      <c r="CQ1941">
        <v>465</v>
      </c>
      <c r="CR1941">
        <v>0</v>
      </c>
      <c r="CW1941">
        <v>4723436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 t="shared" si="514"/>
        <v>08/29/2020 06:17:40.201</v>
      </c>
      <c r="C1942" t="str">
        <f t="shared" si="506"/>
        <v>FFDFD3C0</v>
      </c>
      <c r="D1942" t="s">
        <v>113</v>
      </c>
      <c r="E1942">
        <v>5</v>
      </c>
      <c r="H1942">
        <v>163</v>
      </c>
      <c r="I1942" t="s">
        <v>114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515"/>
        <v>06:17:43.453</v>
      </c>
      <c r="T1942" t="str">
        <f t="shared" si="516"/>
        <v>06:17:43.053</v>
      </c>
      <c r="U1942" t="str">
        <f t="shared" si="507"/>
        <v>A7E2E0</v>
      </c>
      <c r="V1942">
        <v>0</v>
      </c>
      <c r="W1942">
        <v>0</v>
      </c>
      <c r="X1942">
        <v>1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0</v>
      </c>
      <c r="AI1942" t="s">
        <v>1183</v>
      </c>
      <c r="AJ1942">
        <v>38.975200999999998</v>
      </c>
      <c r="AK1942" t="s">
        <v>1184</v>
      </c>
      <c r="AL1942">
        <v>-87.594852000000003</v>
      </c>
      <c r="AM1942">
        <v>100</v>
      </c>
      <c r="AN1942">
        <v>2800</v>
      </c>
      <c r="AO1942" t="s">
        <v>118</v>
      </c>
      <c r="AP1942">
        <v>-87</v>
      </c>
      <c r="AQ1942">
        <v>-116</v>
      </c>
      <c r="AR1942">
        <v>0</v>
      </c>
      <c r="AZ1942">
        <v>4552</v>
      </c>
      <c r="BA1942">
        <v>1</v>
      </c>
      <c r="BB1942" t="str">
        <f t="shared" si="508"/>
        <v xml:space="preserve">N607SR  </v>
      </c>
      <c r="BC1942">
        <v>1</v>
      </c>
      <c r="BE1942">
        <v>0</v>
      </c>
      <c r="BF1942">
        <v>0</v>
      </c>
      <c r="BG1942">
        <v>0</v>
      </c>
      <c r="BH1942">
        <v>2575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 t="shared" si="517"/>
        <v>06:17:43.453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6</v>
      </c>
      <c r="CP1942" t="s">
        <v>119</v>
      </c>
      <c r="CQ1942">
        <v>465</v>
      </c>
      <c r="CR1942">
        <v>0</v>
      </c>
      <c r="CW1942">
        <v>4723436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 t="shared" si="514"/>
        <v>08/29/2020 06:17:40.201</v>
      </c>
      <c r="C1943" t="str">
        <f t="shared" si="506"/>
        <v>FFDFD3C0</v>
      </c>
      <c r="D1943" t="s">
        <v>121</v>
      </c>
      <c r="E1943">
        <v>10</v>
      </c>
      <c r="F1943">
        <v>1010</v>
      </c>
      <c r="G1943" t="s">
        <v>114</v>
      </c>
      <c r="J1943" t="s">
        <v>123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515"/>
        <v>06:17:43.453</v>
      </c>
      <c r="T1943" t="str">
        <f t="shared" si="516"/>
        <v>06:17:43.053</v>
      </c>
      <c r="U1943" t="str">
        <f t="shared" si="507"/>
        <v>A7E2E0</v>
      </c>
      <c r="V1943">
        <v>0</v>
      </c>
      <c r="W1943">
        <v>0</v>
      </c>
      <c r="X1943">
        <v>1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0</v>
      </c>
      <c r="AI1943" t="s">
        <v>1183</v>
      </c>
      <c r="AJ1943">
        <v>38.975200999999998</v>
      </c>
      <c r="AK1943" t="s">
        <v>1184</v>
      </c>
      <c r="AL1943">
        <v>-87.594852000000003</v>
      </c>
      <c r="AM1943">
        <v>100</v>
      </c>
      <c r="AN1943">
        <v>2800</v>
      </c>
      <c r="AO1943" t="s">
        <v>118</v>
      </c>
      <c r="AP1943">
        <v>-87</v>
      </c>
      <c r="AQ1943">
        <v>-116</v>
      </c>
      <c r="AR1943">
        <v>0</v>
      </c>
      <c r="AZ1943">
        <v>4552</v>
      </c>
      <c r="BA1943">
        <v>1</v>
      </c>
      <c r="BB1943" t="str">
        <f t="shared" si="508"/>
        <v xml:space="preserve">N607SR  </v>
      </c>
      <c r="BC1943">
        <v>1</v>
      </c>
      <c r="BE1943">
        <v>0</v>
      </c>
      <c r="BF1943">
        <v>0</v>
      </c>
      <c r="BG1943">
        <v>0</v>
      </c>
      <c r="BH1943">
        <v>2575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 t="shared" si="517"/>
        <v>06:17:43.453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6</v>
      </c>
      <c r="CP1943" t="s">
        <v>119</v>
      </c>
      <c r="CQ1943">
        <v>465</v>
      </c>
      <c r="CR1943">
        <v>0</v>
      </c>
      <c r="CW1943">
        <v>4723436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 t="shared" si="514"/>
        <v>08/29/2020 06:17:40.201</v>
      </c>
      <c r="C1944" t="str">
        <f t="shared" si="506"/>
        <v>FFDFD3C0</v>
      </c>
      <c r="D1944" t="s">
        <v>121</v>
      </c>
      <c r="E1944">
        <v>13</v>
      </c>
      <c r="F1944">
        <v>1013</v>
      </c>
      <c r="G1944" t="s">
        <v>122</v>
      </c>
      <c r="J1944" t="s">
        <v>123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515"/>
        <v>06:17:43.453</v>
      </c>
      <c r="T1944" t="str">
        <f t="shared" si="516"/>
        <v>06:17:43.053</v>
      </c>
      <c r="U1944" t="str">
        <f t="shared" si="507"/>
        <v>A7E2E0</v>
      </c>
      <c r="V1944">
        <v>0</v>
      </c>
      <c r="W1944">
        <v>0</v>
      </c>
      <c r="X1944">
        <v>1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0</v>
      </c>
      <c r="AI1944" t="s">
        <v>1183</v>
      </c>
      <c r="AJ1944">
        <v>38.975200999999998</v>
      </c>
      <c r="AK1944" t="s">
        <v>1184</v>
      </c>
      <c r="AL1944">
        <v>-87.594852000000003</v>
      </c>
      <c r="AM1944">
        <v>100</v>
      </c>
      <c r="AN1944">
        <v>2800</v>
      </c>
      <c r="AO1944" t="s">
        <v>118</v>
      </c>
      <c r="AP1944">
        <v>-87</v>
      </c>
      <c r="AQ1944">
        <v>-116</v>
      </c>
      <c r="AR1944">
        <v>0</v>
      </c>
      <c r="AZ1944">
        <v>4552</v>
      </c>
      <c r="BA1944">
        <v>1</v>
      </c>
      <c r="BB1944" t="str">
        <f t="shared" si="508"/>
        <v xml:space="preserve">N607SR  </v>
      </c>
      <c r="BC1944">
        <v>1</v>
      </c>
      <c r="BE1944">
        <v>0</v>
      </c>
      <c r="BF1944">
        <v>0</v>
      </c>
      <c r="BG1944">
        <v>0</v>
      </c>
      <c r="BH1944">
        <v>2575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 t="shared" si="517"/>
        <v>06:17:43.453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6</v>
      </c>
      <c r="CP1944" t="s">
        <v>119</v>
      </c>
      <c r="CQ1944">
        <v>465</v>
      </c>
      <c r="CR1944">
        <v>0</v>
      </c>
      <c r="CW1944">
        <v>4723436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 t="shared" ref="A1945:A1950" si="518">"08/29/2020 06:17:41.147"</f>
        <v>08/29/2020 06:17:41.147</v>
      </c>
      <c r="C1945" t="str">
        <f t="shared" si="506"/>
        <v>FFDFD3C0</v>
      </c>
      <c r="D1945" t="s">
        <v>113</v>
      </c>
      <c r="E1945">
        <v>5</v>
      </c>
      <c r="H1945">
        <v>163</v>
      </c>
      <c r="I1945" t="s">
        <v>114</v>
      </c>
      <c r="J1945" t="s">
        <v>115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ref="S1945:S1950" si="519">"06:17:44.359"</f>
        <v>06:17:44.359</v>
      </c>
      <c r="T1945" t="str">
        <f t="shared" ref="T1945:T1950" si="520">"06:17:43.959"</f>
        <v>06:17:43.959</v>
      </c>
      <c r="U1945" t="str">
        <f t="shared" si="507"/>
        <v>A7E2E0</v>
      </c>
      <c r="V1945">
        <v>0</v>
      </c>
      <c r="W1945">
        <v>0</v>
      </c>
      <c r="X1945">
        <v>1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0</v>
      </c>
      <c r="AI1945" t="s">
        <v>1185</v>
      </c>
      <c r="AJ1945">
        <v>38.974729000000004</v>
      </c>
      <c r="AK1945" t="s">
        <v>1186</v>
      </c>
      <c r="AL1945">
        <v>-87.595303000000001</v>
      </c>
      <c r="AM1945">
        <v>100</v>
      </c>
      <c r="AN1945">
        <v>2700</v>
      </c>
      <c r="AO1945" t="s">
        <v>118</v>
      </c>
      <c r="AP1945">
        <v>-86</v>
      </c>
      <c r="AQ1945">
        <v>-116</v>
      </c>
      <c r="AR1945">
        <v>-64</v>
      </c>
      <c r="AZ1945">
        <v>4552</v>
      </c>
      <c r="BA1945">
        <v>1</v>
      </c>
      <c r="BB1945" t="str">
        <f t="shared" si="508"/>
        <v xml:space="preserve">N607SR  </v>
      </c>
      <c r="BC1945">
        <v>1</v>
      </c>
      <c r="BE1945">
        <v>0</v>
      </c>
      <c r="BF1945">
        <v>0</v>
      </c>
      <c r="BG1945">
        <v>0</v>
      </c>
      <c r="BH1945">
        <v>2475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 t="shared" ref="BW1945:BW1950" si="521">"06:17:44.363"</f>
        <v>06:17:44.363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6</v>
      </c>
      <c r="CP1945" t="s">
        <v>119</v>
      </c>
      <c r="CQ1945">
        <v>465</v>
      </c>
      <c r="CR1945">
        <v>0</v>
      </c>
      <c r="CW1945">
        <v>4723463</v>
      </c>
      <c r="CY1945">
        <v>1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 t="shared" si="518"/>
        <v>08/29/2020 06:17:41.147</v>
      </c>
      <c r="C1946" t="str">
        <f t="shared" si="506"/>
        <v>FFDFD3C0</v>
      </c>
      <c r="D1946" t="s">
        <v>121</v>
      </c>
      <c r="E1946">
        <v>10</v>
      </c>
      <c r="F1946">
        <v>1010</v>
      </c>
      <c r="G1946" t="s">
        <v>114</v>
      </c>
      <c r="J1946" t="s">
        <v>123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519"/>
        <v>06:17:44.359</v>
      </c>
      <c r="T1946" t="str">
        <f t="shared" si="520"/>
        <v>06:17:43.959</v>
      </c>
      <c r="U1946" t="str">
        <f t="shared" si="507"/>
        <v>A7E2E0</v>
      </c>
      <c r="V1946">
        <v>0</v>
      </c>
      <c r="W1946">
        <v>0</v>
      </c>
      <c r="X1946">
        <v>1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0</v>
      </c>
      <c r="AI1946" t="s">
        <v>1185</v>
      </c>
      <c r="AJ1946">
        <v>38.974729000000004</v>
      </c>
      <c r="AK1946" t="s">
        <v>1186</v>
      </c>
      <c r="AL1946">
        <v>-87.595303000000001</v>
      </c>
      <c r="AM1946">
        <v>100</v>
      </c>
      <c r="AN1946">
        <v>2700</v>
      </c>
      <c r="AO1946" t="s">
        <v>118</v>
      </c>
      <c r="AP1946">
        <v>-86</v>
      </c>
      <c r="AQ1946">
        <v>-116</v>
      </c>
      <c r="AR1946">
        <v>-64</v>
      </c>
      <c r="AZ1946">
        <v>4552</v>
      </c>
      <c r="BA1946">
        <v>1</v>
      </c>
      <c r="BB1946" t="str">
        <f t="shared" si="508"/>
        <v xml:space="preserve">N607SR  </v>
      </c>
      <c r="BC1946">
        <v>1</v>
      </c>
      <c r="BE1946">
        <v>0</v>
      </c>
      <c r="BF1946">
        <v>0</v>
      </c>
      <c r="BG1946">
        <v>0</v>
      </c>
      <c r="BH1946">
        <v>2475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 t="shared" si="521"/>
        <v>06:17:44.363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6</v>
      </c>
      <c r="CP1946" t="s">
        <v>119</v>
      </c>
      <c r="CQ1946">
        <v>465</v>
      </c>
      <c r="CR1946">
        <v>0</v>
      </c>
      <c r="CW1946">
        <v>4723463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 t="shared" si="518"/>
        <v>08/29/2020 06:17:41.147</v>
      </c>
      <c r="C1947" t="str">
        <f t="shared" si="506"/>
        <v>FFDFD3C0</v>
      </c>
      <c r="D1947" t="s">
        <v>121</v>
      </c>
      <c r="E1947">
        <v>13</v>
      </c>
      <c r="F1947">
        <v>1013</v>
      </c>
      <c r="G1947" t="s">
        <v>122</v>
      </c>
      <c r="J1947" t="s">
        <v>123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519"/>
        <v>06:17:44.359</v>
      </c>
      <c r="T1947" t="str">
        <f t="shared" si="520"/>
        <v>06:17:43.959</v>
      </c>
      <c r="U1947" t="str">
        <f t="shared" si="507"/>
        <v>A7E2E0</v>
      </c>
      <c r="V1947">
        <v>0</v>
      </c>
      <c r="W1947">
        <v>0</v>
      </c>
      <c r="X1947">
        <v>1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0</v>
      </c>
      <c r="AI1947" t="s">
        <v>1185</v>
      </c>
      <c r="AJ1947">
        <v>38.974729000000004</v>
      </c>
      <c r="AK1947" t="s">
        <v>1186</v>
      </c>
      <c r="AL1947">
        <v>-87.595303000000001</v>
      </c>
      <c r="AM1947">
        <v>100</v>
      </c>
      <c r="AN1947">
        <v>2700</v>
      </c>
      <c r="AO1947" t="s">
        <v>118</v>
      </c>
      <c r="AP1947">
        <v>-86</v>
      </c>
      <c r="AQ1947">
        <v>-116</v>
      </c>
      <c r="AR1947">
        <v>-64</v>
      </c>
      <c r="AZ1947">
        <v>4552</v>
      </c>
      <c r="BA1947">
        <v>1</v>
      </c>
      <c r="BB1947" t="str">
        <f t="shared" si="508"/>
        <v xml:space="preserve">N607SR  </v>
      </c>
      <c r="BC1947">
        <v>1</v>
      </c>
      <c r="BE1947">
        <v>0</v>
      </c>
      <c r="BF1947">
        <v>0</v>
      </c>
      <c r="BG1947">
        <v>0</v>
      </c>
      <c r="BH1947">
        <v>2475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 t="shared" si="521"/>
        <v>06:17:44.363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6</v>
      </c>
      <c r="CP1947" t="s">
        <v>119</v>
      </c>
      <c r="CQ1947">
        <v>465</v>
      </c>
      <c r="CR1947">
        <v>0</v>
      </c>
      <c r="CW1947">
        <v>4723463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 t="shared" si="518"/>
        <v>08/29/2020 06:17:41.147</v>
      </c>
      <c r="C1948" t="str">
        <f t="shared" si="506"/>
        <v>FFDFD3C0</v>
      </c>
      <c r="D1948" t="s">
        <v>128</v>
      </c>
      <c r="E1948">
        <v>5</v>
      </c>
      <c r="H1948">
        <v>241</v>
      </c>
      <c r="I1948" t="s">
        <v>129</v>
      </c>
      <c r="J1948" t="s">
        <v>130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519"/>
        <v>06:17:44.359</v>
      </c>
      <c r="T1948" t="str">
        <f t="shared" si="520"/>
        <v>06:17:43.959</v>
      </c>
      <c r="U1948" t="str">
        <f t="shared" si="507"/>
        <v>A7E2E0</v>
      </c>
      <c r="V1948">
        <v>0</v>
      </c>
      <c r="W1948">
        <v>0</v>
      </c>
      <c r="X1948">
        <v>1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0</v>
      </c>
      <c r="AI1948" t="s">
        <v>1185</v>
      </c>
      <c r="AJ1948">
        <v>38.974729000000004</v>
      </c>
      <c r="AK1948" t="s">
        <v>1186</v>
      </c>
      <c r="AL1948">
        <v>-87.595303000000001</v>
      </c>
      <c r="AM1948">
        <v>100</v>
      </c>
      <c r="AN1948">
        <v>2700</v>
      </c>
      <c r="AO1948" t="s">
        <v>118</v>
      </c>
      <c r="AP1948">
        <v>-86</v>
      </c>
      <c r="AQ1948">
        <v>-116</v>
      </c>
      <c r="AR1948">
        <v>-64</v>
      </c>
      <c r="AZ1948">
        <v>4552</v>
      </c>
      <c r="BA1948">
        <v>1</v>
      </c>
      <c r="BB1948" t="str">
        <f t="shared" si="508"/>
        <v xml:space="preserve">N607SR  </v>
      </c>
      <c r="BC1948">
        <v>1</v>
      </c>
      <c r="BE1948">
        <v>0</v>
      </c>
      <c r="BF1948">
        <v>0</v>
      </c>
      <c r="BG1948">
        <v>0</v>
      </c>
      <c r="BH1948">
        <v>2475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 t="shared" si="521"/>
        <v>06:17:44.363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6</v>
      </c>
      <c r="CP1948" t="s">
        <v>119</v>
      </c>
      <c r="CQ1948">
        <v>465</v>
      </c>
      <c r="CR1948">
        <v>0</v>
      </c>
      <c r="CW1948">
        <v>4723463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 t="shared" si="518"/>
        <v>08/29/2020 06:17:41.147</v>
      </c>
      <c r="C1949" t="str">
        <f t="shared" si="506"/>
        <v>FFDFD3C0</v>
      </c>
      <c r="D1949" t="s">
        <v>939</v>
      </c>
      <c r="E1949">
        <v>10</v>
      </c>
      <c r="H1949">
        <v>79</v>
      </c>
      <c r="I1949" t="s">
        <v>940</v>
      </c>
      <c r="J1949" t="s">
        <v>130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519"/>
        <v>06:17:44.359</v>
      </c>
      <c r="T1949" t="str">
        <f t="shared" si="520"/>
        <v>06:17:43.959</v>
      </c>
      <c r="U1949" t="str">
        <f t="shared" si="507"/>
        <v>A7E2E0</v>
      </c>
      <c r="V1949">
        <v>0</v>
      </c>
      <c r="W1949">
        <v>0</v>
      </c>
      <c r="X1949">
        <v>1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0</v>
      </c>
      <c r="AI1949" t="s">
        <v>1185</v>
      </c>
      <c r="AJ1949">
        <v>38.974729000000004</v>
      </c>
      <c r="AK1949" t="s">
        <v>1186</v>
      </c>
      <c r="AL1949">
        <v>-87.595303000000001</v>
      </c>
      <c r="AM1949">
        <v>100</v>
      </c>
      <c r="AN1949">
        <v>2700</v>
      </c>
      <c r="AO1949" t="s">
        <v>118</v>
      </c>
      <c r="AP1949">
        <v>-86</v>
      </c>
      <c r="AQ1949">
        <v>-116</v>
      </c>
      <c r="AR1949">
        <v>-64</v>
      </c>
      <c r="AZ1949">
        <v>4552</v>
      </c>
      <c r="BA1949">
        <v>1</v>
      </c>
      <c r="BB1949" t="str">
        <f t="shared" si="508"/>
        <v xml:space="preserve">N607SR  </v>
      </c>
      <c r="BC1949">
        <v>1</v>
      </c>
      <c r="BE1949">
        <v>0</v>
      </c>
      <c r="BF1949">
        <v>0</v>
      </c>
      <c r="BG1949">
        <v>0</v>
      </c>
      <c r="BH1949">
        <v>2475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 t="shared" si="521"/>
        <v>06:17:44.363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6</v>
      </c>
      <c r="CP1949" t="s">
        <v>119</v>
      </c>
      <c r="CQ1949">
        <v>465</v>
      </c>
      <c r="CR1949">
        <v>0</v>
      </c>
      <c r="CW1949">
        <v>4723463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 t="shared" si="518"/>
        <v>08/29/2020 06:17:41.147</v>
      </c>
      <c r="C1950" t="str">
        <f t="shared" si="506"/>
        <v>FFDFD3C0</v>
      </c>
      <c r="D1950" t="s">
        <v>121</v>
      </c>
      <c r="E1950">
        <v>11</v>
      </c>
      <c r="F1950">
        <v>1011</v>
      </c>
      <c r="G1950" t="s">
        <v>125</v>
      </c>
      <c r="J1950" t="s">
        <v>123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519"/>
        <v>06:17:44.359</v>
      </c>
      <c r="T1950" t="str">
        <f t="shared" si="520"/>
        <v>06:17:43.959</v>
      </c>
      <c r="U1950" t="str">
        <f t="shared" si="507"/>
        <v>A7E2E0</v>
      </c>
      <c r="V1950">
        <v>0</v>
      </c>
      <c r="W1950">
        <v>0</v>
      </c>
      <c r="X1950">
        <v>1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0</v>
      </c>
      <c r="AI1950" t="s">
        <v>1185</v>
      </c>
      <c r="AJ1950">
        <v>38.974729000000004</v>
      </c>
      <c r="AK1950" t="s">
        <v>1186</v>
      </c>
      <c r="AL1950">
        <v>-87.595303000000001</v>
      </c>
      <c r="AM1950">
        <v>100</v>
      </c>
      <c r="AN1950">
        <v>2700</v>
      </c>
      <c r="AO1950" t="s">
        <v>118</v>
      </c>
      <c r="AP1950">
        <v>-86</v>
      </c>
      <c r="AQ1950">
        <v>-116</v>
      </c>
      <c r="AR1950">
        <v>-64</v>
      </c>
      <c r="AZ1950">
        <v>4552</v>
      </c>
      <c r="BA1950">
        <v>1</v>
      </c>
      <c r="BB1950" t="str">
        <f t="shared" si="508"/>
        <v xml:space="preserve">N607SR  </v>
      </c>
      <c r="BC1950">
        <v>1</v>
      </c>
      <c r="BE1950">
        <v>0</v>
      </c>
      <c r="BF1950">
        <v>0</v>
      </c>
      <c r="BG1950">
        <v>0</v>
      </c>
      <c r="BH1950">
        <v>2575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 t="shared" si="521"/>
        <v>06:17:44.363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5</v>
      </c>
      <c r="CP1950" t="s">
        <v>119</v>
      </c>
      <c r="CQ1950">
        <v>177</v>
      </c>
      <c r="CR1950">
        <v>2</v>
      </c>
      <c r="CW1950">
        <v>1657703</v>
      </c>
      <c r="CY1950">
        <v>1</v>
      </c>
      <c r="CZ1950">
        <v>0</v>
      </c>
      <c r="DA1950">
        <v>1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 t="shared" ref="A1951:A1956" si="522">"08/29/2020 06:17:42.023"</f>
        <v>08/29/2020 06:17:42.023</v>
      </c>
      <c r="C1951" t="str">
        <f t="shared" si="506"/>
        <v>FFDFD3C0</v>
      </c>
      <c r="D1951" t="s">
        <v>128</v>
      </c>
      <c r="E1951">
        <v>5</v>
      </c>
      <c r="H1951">
        <v>241</v>
      </c>
      <c r="I1951" t="s">
        <v>129</v>
      </c>
      <c r="J1951" t="s">
        <v>130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ref="S1951:S1956" si="523">"06:17:45.266"</f>
        <v>06:17:45.266</v>
      </c>
      <c r="U1951" t="str">
        <f t="shared" si="507"/>
        <v>A7E2E0</v>
      </c>
      <c r="V1951">
        <v>0</v>
      </c>
      <c r="W1951">
        <v>0</v>
      </c>
      <c r="X1951">
        <v>1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0</v>
      </c>
      <c r="AI1951" t="s">
        <v>1187</v>
      </c>
      <c r="AJ1951">
        <v>38.974235</v>
      </c>
      <c r="AK1951" t="s">
        <v>1188</v>
      </c>
      <c r="AL1951">
        <v>-87.595753999999999</v>
      </c>
      <c r="AM1951">
        <v>100</v>
      </c>
      <c r="AN1951">
        <v>2800</v>
      </c>
      <c r="AO1951" t="s">
        <v>118</v>
      </c>
      <c r="AP1951">
        <v>-86</v>
      </c>
      <c r="AQ1951">
        <v>-116</v>
      </c>
      <c r="AR1951">
        <v>-64</v>
      </c>
      <c r="AZ1951">
        <v>4552</v>
      </c>
      <c r="BA1951">
        <v>1</v>
      </c>
      <c r="BB1951" t="str">
        <f t="shared" si="508"/>
        <v xml:space="preserve">N607SR  </v>
      </c>
      <c r="BC1951">
        <v>1</v>
      </c>
      <c r="BE1951">
        <v>0</v>
      </c>
      <c r="BF1951">
        <v>0</v>
      </c>
      <c r="BG1951">
        <v>0</v>
      </c>
      <c r="BH1951">
        <v>2575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 t="shared" ref="BW1951:BW1956" si="524">"06:17:45.267"</f>
        <v>06:17:45.267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6</v>
      </c>
      <c r="CP1951" t="s">
        <v>119</v>
      </c>
      <c r="CQ1951">
        <v>465</v>
      </c>
      <c r="CR1951">
        <v>0</v>
      </c>
      <c r="CW1951">
        <v>4723485</v>
      </c>
      <c r="CY1951">
        <v>1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 t="shared" si="522"/>
        <v>08/29/2020 06:17:42.023</v>
      </c>
      <c r="C1952" t="str">
        <f t="shared" si="506"/>
        <v>FFDFD3C0</v>
      </c>
      <c r="D1952" t="s">
        <v>939</v>
      </c>
      <c r="E1952">
        <v>10</v>
      </c>
      <c r="H1952">
        <v>79</v>
      </c>
      <c r="I1952" t="s">
        <v>940</v>
      </c>
      <c r="J1952" t="s">
        <v>130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523"/>
        <v>06:17:45.266</v>
      </c>
      <c r="U1952" t="str">
        <f t="shared" si="507"/>
        <v>A7E2E0</v>
      </c>
      <c r="V1952">
        <v>0</v>
      </c>
      <c r="W1952">
        <v>0</v>
      </c>
      <c r="X1952">
        <v>1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0</v>
      </c>
      <c r="AI1952" t="s">
        <v>1187</v>
      </c>
      <c r="AJ1952">
        <v>38.974235</v>
      </c>
      <c r="AK1952" t="s">
        <v>1188</v>
      </c>
      <c r="AL1952">
        <v>-87.595753999999999</v>
      </c>
      <c r="AM1952">
        <v>100</v>
      </c>
      <c r="AN1952">
        <v>2800</v>
      </c>
      <c r="AO1952" t="s">
        <v>118</v>
      </c>
      <c r="AP1952">
        <v>-86</v>
      </c>
      <c r="AQ1952">
        <v>-116</v>
      </c>
      <c r="AR1952">
        <v>-64</v>
      </c>
      <c r="AZ1952">
        <v>4552</v>
      </c>
      <c r="BA1952">
        <v>1</v>
      </c>
      <c r="BB1952" t="str">
        <f t="shared" si="508"/>
        <v xml:space="preserve">N607SR  </v>
      </c>
      <c r="BC1952">
        <v>1</v>
      </c>
      <c r="BE1952">
        <v>0</v>
      </c>
      <c r="BF1952">
        <v>0</v>
      </c>
      <c r="BG1952">
        <v>0</v>
      </c>
      <c r="BH1952">
        <v>2575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 t="shared" si="524"/>
        <v>06:17:45.267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6</v>
      </c>
      <c r="CP1952" t="s">
        <v>119</v>
      </c>
      <c r="CQ1952">
        <v>465</v>
      </c>
      <c r="CR1952">
        <v>0</v>
      </c>
      <c r="CW1952">
        <v>4723485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 t="shared" si="522"/>
        <v>08/29/2020 06:17:42.023</v>
      </c>
      <c r="C1953" t="str">
        <f t="shared" si="506"/>
        <v>FFDFD3C0</v>
      </c>
      <c r="D1953" t="s">
        <v>121</v>
      </c>
      <c r="E1953">
        <v>11</v>
      </c>
      <c r="F1953">
        <v>1011</v>
      </c>
      <c r="G1953" t="s">
        <v>125</v>
      </c>
      <c r="J1953" t="s">
        <v>123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523"/>
        <v>06:17:45.266</v>
      </c>
      <c r="T1953" t="str">
        <f>"06:17:44.866"</f>
        <v>06:17:44.866</v>
      </c>
      <c r="U1953" t="str">
        <f t="shared" si="507"/>
        <v>A7E2E0</v>
      </c>
      <c r="V1953">
        <v>0</v>
      </c>
      <c r="W1953">
        <v>0</v>
      </c>
      <c r="X1953">
        <v>1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0</v>
      </c>
      <c r="AI1953" t="s">
        <v>1187</v>
      </c>
      <c r="AJ1953">
        <v>38.974235</v>
      </c>
      <c r="AK1953" t="s">
        <v>1188</v>
      </c>
      <c r="AL1953">
        <v>-87.595753999999999</v>
      </c>
      <c r="AM1953">
        <v>100</v>
      </c>
      <c r="AN1953">
        <v>2800</v>
      </c>
      <c r="AO1953" t="s">
        <v>118</v>
      </c>
      <c r="AP1953">
        <v>-86</v>
      </c>
      <c r="AQ1953">
        <v>-116</v>
      </c>
      <c r="AR1953">
        <v>-64</v>
      </c>
      <c r="AZ1953">
        <v>4552</v>
      </c>
      <c r="BA1953">
        <v>1</v>
      </c>
      <c r="BB1953" t="str">
        <f t="shared" si="508"/>
        <v xml:space="preserve">N607SR  </v>
      </c>
      <c r="BC1953">
        <v>1</v>
      </c>
      <c r="BE1953">
        <v>0</v>
      </c>
      <c r="BF1953">
        <v>0</v>
      </c>
      <c r="BG1953">
        <v>0</v>
      </c>
      <c r="BH1953">
        <v>2575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 t="shared" si="524"/>
        <v>06:17:45.267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4</v>
      </c>
      <c r="CP1953" t="s">
        <v>119</v>
      </c>
      <c r="CQ1953">
        <v>177</v>
      </c>
      <c r="CR1953">
        <v>2</v>
      </c>
      <c r="CW1953">
        <v>1657838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 t="shared" si="522"/>
        <v>08/29/2020 06:17:42.023</v>
      </c>
      <c r="C1954" t="str">
        <f t="shared" si="506"/>
        <v>FFDFD3C0</v>
      </c>
      <c r="D1954" t="s">
        <v>113</v>
      </c>
      <c r="E1954">
        <v>5</v>
      </c>
      <c r="H1954">
        <v>163</v>
      </c>
      <c r="I1954" t="s">
        <v>114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523"/>
        <v>06:17:45.266</v>
      </c>
      <c r="U1954" t="str">
        <f t="shared" si="507"/>
        <v>A7E2E0</v>
      </c>
      <c r="V1954">
        <v>0</v>
      </c>
      <c r="W1954">
        <v>0</v>
      </c>
      <c r="X1954">
        <v>1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0</v>
      </c>
      <c r="AI1954" t="s">
        <v>1187</v>
      </c>
      <c r="AJ1954">
        <v>38.974235</v>
      </c>
      <c r="AK1954" t="s">
        <v>1188</v>
      </c>
      <c r="AL1954">
        <v>-87.595753999999999</v>
      </c>
      <c r="AM1954">
        <v>100</v>
      </c>
      <c r="AN1954">
        <v>2800</v>
      </c>
      <c r="AO1954" t="s">
        <v>118</v>
      </c>
      <c r="AP1954">
        <v>-86</v>
      </c>
      <c r="AQ1954">
        <v>-116</v>
      </c>
      <c r="AR1954">
        <v>-64</v>
      </c>
      <c r="AZ1954">
        <v>4552</v>
      </c>
      <c r="BA1954">
        <v>1</v>
      </c>
      <c r="BB1954" t="str">
        <f t="shared" si="508"/>
        <v xml:space="preserve">N607SR  </v>
      </c>
      <c r="BC1954">
        <v>1</v>
      </c>
      <c r="BE1954">
        <v>0</v>
      </c>
      <c r="BF1954">
        <v>0</v>
      </c>
      <c r="BG1954">
        <v>0</v>
      </c>
      <c r="BH1954">
        <v>2575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 t="shared" si="524"/>
        <v>06:17:45.267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6</v>
      </c>
      <c r="CP1954" t="s">
        <v>119</v>
      </c>
      <c r="CQ1954">
        <v>465</v>
      </c>
      <c r="CR1954">
        <v>0</v>
      </c>
      <c r="CW1954">
        <v>4723485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 t="shared" si="522"/>
        <v>08/29/2020 06:17:42.023</v>
      </c>
      <c r="C1955" t="str">
        <f t="shared" si="506"/>
        <v>FFDFD3C0</v>
      </c>
      <c r="D1955" t="s">
        <v>121</v>
      </c>
      <c r="E1955">
        <v>10</v>
      </c>
      <c r="F1955">
        <v>1010</v>
      </c>
      <c r="G1955" t="s">
        <v>114</v>
      </c>
      <c r="J1955" t="s">
        <v>123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523"/>
        <v>06:17:45.266</v>
      </c>
      <c r="U1955" t="str">
        <f t="shared" si="507"/>
        <v>A7E2E0</v>
      </c>
      <c r="V1955">
        <v>0</v>
      </c>
      <c r="W1955">
        <v>0</v>
      </c>
      <c r="X1955">
        <v>1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0</v>
      </c>
      <c r="AI1955" t="s">
        <v>1187</v>
      </c>
      <c r="AJ1955">
        <v>38.974235</v>
      </c>
      <c r="AK1955" t="s">
        <v>1188</v>
      </c>
      <c r="AL1955">
        <v>-87.595753999999999</v>
      </c>
      <c r="AM1955">
        <v>100</v>
      </c>
      <c r="AN1955">
        <v>2800</v>
      </c>
      <c r="AO1955" t="s">
        <v>118</v>
      </c>
      <c r="AP1955">
        <v>-86</v>
      </c>
      <c r="AQ1955">
        <v>-116</v>
      </c>
      <c r="AR1955">
        <v>-64</v>
      </c>
      <c r="AZ1955">
        <v>4552</v>
      </c>
      <c r="BA1955">
        <v>1</v>
      </c>
      <c r="BB1955" t="str">
        <f t="shared" si="508"/>
        <v xml:space="preserve">N607SR  </v>
      </c>
      <c r="BC1955">
        <v>1</v>
      </c>
      <c r="BE1955">
        <v>0</v>
      </c>
      <c r="BF1955">
        <v>0</v>
      </c>
      <c r="BG1955">
        <v>0</v>
      </c>
      <c r="BH1955">
        <v>2575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 t="shared" si="524"/>
        <v>06:17:45.267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6</v>
      </c>
      <c r="CP1955" t="s">
        <v>119</v>
      </c>
      <c r="CQ1955">
        <v>465</v>
      </c>
      <c r="CR1955">
        <v>0</v>
      </c>
      <c r="CW1955">
        <v>4723485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 t="shared" si="522"/>
        <v>08/29/2020 06:17:42.023</v>
      </c>
      <c r="C1956" t="str">
        <f t="shared" si="506"/>
        <v>FFDFD3C0</v>
      </c>
      <c r="D1956" t="s">
        <v>121</v>
      </c>
      <c r="E1956">
        <v>13</v>
      </c>
      <c r="F1956">
        <v>1013</v>
      </c>
      <c r="G1956" t="s">
        <v>122</v>
      </c>
      <c r="J1956" t="s">
        <v>123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523"/>
        <v>06:17:45.266</v>
      </c>
      <c r="U1956" t="str">
        <f t="shared" si="507"/>
        <v>A7E2E0</v>
      </c>
      <c r="V1956">
        <v>0</v>
      </c>
      <c r="W1956">
        <v>0</v>
      </c>
      <c r="X1956">
        <v>1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0</v>
      </c>
      <c r="AI1956" t="s">
        <v>1187</v>
      </c>
      <c r="AJ1956">
        <v>38.974235</v>
      </c>
      <c r="AK1956" t="s">
        <v>1188</v>
      </c>
      <c r="AL1956">
        <v>-87.595753999999999</v>
      </c>
      <c r="AM1956">
        <v>100</v>
      </c>
      <c r="AN1956">
        <v>2800</v>
      </c>
      <c r="AO1956" t="s">
        <v>118</v>
      </c>
      <c r="AP1956">
        <v>-86</v>
      </c>
      <c r="AQ1956">
        <v>-116</v>
      </c>
      <c r="AR1956">
        <v>-64</v>
      </c>
      <c r="AZ1956">
        <v>4552</v>
      </c>
      <c r="BA1956">
        <v>1</v>
      </c>
      <c r="BB1956" t="str">
        <f t="shared" si="508"/>
        <v xml:space="preserve">N607SR  </v>
      </c>
      <c r="BC1956">
        <v>1</v>
      </c>
      <c r="BE1956">
        <v>0</v>
      </c>
      <c r="BF1956">
        <v>0</v>
      </c>
      <c r="BG1956">
        <v>0</v>
      </c>
      <c r="BH1956">
        <v>2575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 t="shared" si="524"/>
        <v>06:17:45.267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6</v>
      </c>
      <c r="CP1956" t="s">
        <v>119</v>
      </c>
      <c r="CQ1956">
        <v>465</v>
      </c>
      <c r="CR1956">
        <v>0</v>
      </c>
      <c r="CW1956">
        <v>4723485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 t="shared" ref="A1957:A1962" si="525">"08/29/2020 06:17:42.928"</f>
        <v>08/29/2020 06:17:42.928</v>
      </c>
      <c r="C1957" t="str">
        <f t="shared" si="506"/>
        <v>FFDFD3C0</v>
      </c>
      <c r="D1957" t="s">
        <v>939</v>
      </c>
      <c r="E1957">
        <v>10</v>
      </c>
      <c r="H1957">
        <v>79</v>
      </c>
      <c r="I1957" t="s">
        <v>940</v>
      </c>
      <c r="J1957" t="s">
        <v>130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ref="S1957:S1962" si="526">"06:17:46.148"</f>
        <v>06:17:46.148</v>
      </c>
      <c r="T1957" t="str">
        <f>"06:17:45.748"</f>
        <v>06:17:45.748</v>
      </c>
      <c r="U1957" t="str">
        <f t="shared" si="507"/>
        <v>A7E2E0</v>
      </c>
      <c r="V1957">
        <v>0</v>
      </c>
      <c r="W1957">
        <v>0</v>
      </c>
      <c r="X1957">
        <v>1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0</v>
      </c>
      <c r="AI1957" t="s">
        <v>1189</v>
      </c>
      <c r="AJ1957">
        <v>38.973762999999998</v>
      </c>
      <c r="AK1957" t="s">
        <v>1190</v>
      </c>
      <c r="AL1957">
        <v>-87.596204</v>
      </c>
      <c r="AM1957">
        <v>100</v>
      </c>
      <c r="AN1957">
        <v>2800</v>
      </c>
      <c r="AO1957" t="s">
        <v>118</v>
      </c>
      <c r="AP1957">
        <v>-86</v>
      </c>
      <c r="AQ1957">
        <v>-116</v>
      </c>
      <c r="AR1957">
        <v>-64</v>
      </c>
      <c r="AZ1957">
        <v>4552</v>
      </c>
      <c r="BA1957">
        <v>1</v>
      </c>
      <c r="BB1957" t="str">
        <f t="shared" si="508"/>
        <v xml:space="preserve">N607SR  </v>
      </c>
      <c r="BC1957">
        <v>1</v>
      </c>
      <c r="BE1957">
        <v>0</v>
      </c>
      <c r="BF1957">
        <v>0</v>
      </c>
      <c r="BG1957">
        <v>0</v>
      </c>
      <c r="BH1957">
        <v>2575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 t="shared" ref="BW1957:BW1962" si="527">"06:17:46.149"</f>
        <v>06:17:46.149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6</v>
      </c>
      <c r="CP1957" t="s">
        <v>119</v>
      </c>
      <c r="CQ1957">
        <v>465</v>
      </c>
      <c r="CR1957">
        <v>0</v>
      </c>
      <c r="CW1957">
        <v>4723509</v>
      </c>
      <c r="CY1957">
        <v>1</v>
      </c>
      <c r="CZ1957">
        <v>0</v>
      </c>
      <c r="DA1957">
        <v>0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 t="shared" si="525"/>
        <v>08/29/2020 06:17:42.928</v>
      </c>
      <c r="C1958" t="str">
        <f t="shared" si="506"/>
        <v>FFDFD3C0</v>
      </c>
      <c r="D1958" t="s">
        <v>121</v>
      </c>
      <c r="E1958">
        <v>13</v>
      </c>
      <c r="F1958">
        <v>1013</v>
      </c>
      <c r="G1958" t="s">
        <v>122</v>
      </c>
      <c r="J1958" t="s">
        <v>123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526"/>
        <v>06:17:46.148</v>
      </c>
      <c r="U1958" t="str">
        <f t="shared" si="507"/>
        <v>A7E2E0</v>
      </c>
      <c r="V1958">
        <v>0</v>
      </c>
      <c r="W1958">
        <v>0</v>
      </c>
      <c r="X1958">
        <v>1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0</v>
      </c>
      <c r="AI1958" t="s">
        <v>1189</v>
      </c>
      <c r="AJ1958">
        <v>38.973762999999998</v>
      </c>
      <c r="AK1958" t="s">
        <v>1190</v>
      </c>
      <c r="AL1958">
        <v>-87.596204</v>
      </c>
      <c r="AM1958">
        <v>100</v>
      </c>
      <c r="AN1958">
        <v>2800</v>
      </c>
      <c r="AO1958" t="s">
        <v>118</v>
      </c>
      <c r="AP1958">
        <v>-86</v>
      </c>
      <c r="AQ1958">
        <v>-115</v>
      </c>
      <c r="AR1958">
        <v>-64</v>
      </c>
      <c r="AZ1958">
        <v>4552</v>
      </c>
      <c r="BA1958">
        <v>1</v>
      </c>
      <c r="BB1958" t="str">
        <f t="shared" si="508"/>
        <v xml:space="preserve">N607SR  </v>
      </c>
      <c r="BC1958">
        <v>1</v>
      </c>
      <c r="BE1958">
        <v>0</v>
      </c>
      <c r="BF1958">
        <v>0</v>
      </c>
      <c r="BG1958">
        <v>0</v>
      </c>
      <c r="BH1958">
        <v>2575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 t="shared" si="527"/>
        <v>06:17:46.149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5</v>
      </c>
      <c r="CP1958" t="s">
        <v>119</v>
      </c>
      <c r="CQ1958">
        <v>517</v>
      </c>
      <c r="CR1958">
        <v>1</v>
      </c>
      <c r="CW1958">
        <v>2483884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 t="shared" si="525"/>
        <v>08/29/2020 06:17:42.928</v>
      </c>
      <c r="C1959" t="str">
        <f t="shared" si="506"/>
        <v>FFDFD3C0</v>
      </c>
      <c r="D1959" t="s">
        <v>128</v>
      </c>
      <c r="E1959">
        <v>5</v>
      </c>
      <c r="H1959">
        <v>241</v>
      </c>
      <c r="I1959" t="s">
        <v>129</v>
      </c>
      <c r="J1959" t="s">
        <v>130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526"/>
        <v>06:17:46.148</v>
      </c>
      <c r="U1959" t="str">
        <f t="shared" si="507"/>
        <v>A7E2E0</v>
      </c>
      <c r="V1959">
        <v>0</v>
      </c>
      <c r="W1959">
        <v>0</v>
      </c>
      <c r="X1959">
        <v>1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0</v>
      </c>
      <c r="AI1959" t="s">
        <v>1189</v>
      </c>
      <c r="AJ1959">
        <v>38.973762999999998</v>
      </c>
      <c r="AK1959" t="s">
        <v>1190</v>
      </c>
      <c r="AL1959">
        <v>-87.596204</v>
      </c>
      <c r="AM1959">
        <v>100</v>
      </c>
      <c r="AN1959">
        <v>2800</v>
      </c>
      <c r="AO1959" t="s">
        <v>118</v>
      </c>
      <c r="AP1959">
        <v>-86</v>
      </c>
      <c r="AQ1959">
        <v>-115</v>
      </c>
      <c r="AR1959">
        <v>-64</v>
      </c>
      <c r="AZ1959">
        <v>4552</v>
      </c>
      <c r="BA1959">
        <v>1</v>
      </c>
      <c r="BB1959" t="str">
        <f t="shared" si="508"/>
        <v xml:space="preserve">N607SR  </v>
      </c>
      <c r="BC1959">
        <v>1</v>
      </c>
      <c r="BE1959">
        <v>0</v>
      </c>
      <c r="BF1959">
        <v>0</v>
      </c>
      <c r="BG1959">
        <v>0</v>
      </c>
      <c r="BH1959">
        <v>2575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 t="shared" si="527"/>
        <v>06:17:46.149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5</v>
      </c>
      <c r="CP1959" t="s">
        <v>119</v>
      </c>
      <c r="CQ1959">
        <v>517</v>
      </c>
      <c r="CR1959">
        <v>1</v>
      </c>
      <c r="CW1959">
        <v>2483884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 t="shared" si="525"/>
        <v>08/29/2020 06:17:42.928</v>
      </c>
      <c r="C1960" t="str">
        <f t="shared" si="506"/>
        <v>FFDFD3C0</v>
      </c>
      <c r="D1960" t="s">
        <v>121</v>
      </c>
      <c r="E1960">
        <v>11</v>
      </c>
      <c r="F1960">
        <v>1011</v>
      </c>
      <c r="G1960" t="s">
        <v>125</v>
      </c>
      <c r="J1960" t="s">
        <v>123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526"/>
        <v>06:17:46.148</v>
      </c>
      <c r="T1960" t="str">
        <f>"06:17:45.748"</f>
        <v>06:17:45.748</v>
      </c>
      <c r="U1960" t="str">
        <f t="shared" si="507"/>
        <v>A7E2E0</v>
      </c>
      <c r="V1960">
        <v>0</v>
      </c>
      <c r="W1960">
        <v>0</v>
      </c>
      <c r="X1960">
        <v>1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0</v>
      </c>
      <c r="AI1960" t="s">
        <v>1189</v>
      </c>
      <c r="AJ1960">
        <v>38.973762999999998</v>
      </c>
      <c r="AK1960" t="s">
        <v>1190</v>
      </c>
      <c r="AL1960">
        <v>-87.596204</v>
      </c>
      <c r="AM1960">
        <v>100</v>
      </c>
      <c r="AN1960">
        <v>2800</v>
      </c>
      <c r="AO1960" t="s">
        <v>118</v>
      </c>
      <c r="AP1960">
        <v>-86</v>
      </c>
      <c r="AQ1960">
        <v>-116</v>
      </c>
      <c r="AR1960">
        <v>-64</v>
      </c>
      <c r="AZ1960">
        <v>4552</v>
      </c>
      <c r="BA1960">
        <v>1</v>
      </c>
      <c r="BB1960" t="str">
        <f t="shared" si="508"/>
        <v xml:space="preserve">N607SR  </v>
      </c>
      <c r="BC1960">
        <v>1</v>
      </c>
      <c r="BE1960">
        <v>0</v>
      </c>
      <c r="BF1960">
        <v>0</v>
      </c>
      <c r="BG1960">
        <v>0</v>
      </c>
      <c r="BH1960">
        <v>2575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 t="shared" si="527"/>
        <v>06:17:46.149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4</v>
      </c>
      <c r="CP1960" t="s">
        <v>119</v>
      </c>
      <c r="CQ1960">
        <v>457</v>
      </c>
      <c r="CR1960">
        <v>0</v>
      </c>
      <c r="CW1960">
        <v>15519004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 t="shared" si="525"/>
        <v>08/29/2020 06:17:42.928</v>
      </c>
      <c r="C1961" t="str">
        <f t="shared" si="506"/>
        <v>FFDFD3C0</v>
      </c>
      <c r="D1961" t="s">
        <v>113</v>
      </c>
      <c r="E1961">
        <v>5</v>
      </c>
      <c r="H1961">
        <v>163</v>
      </c>
      <c r="I1961" t="s">
        <v>114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526"/>
        <v>06:17:46.148</v>
      </c>
      <c r="U1961" t="str">
        <f t="shared" si="507"/>
        <v>A7E2E0</v>
      </c>
      <c r="V1961">
        <v>0</v>
      </c>
      <c r="W1961">
        <v>0</v>
      </c>
      <c r="X1961">
        <v>1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0</v>
      </c>
      <c r="AI1961" t="s">
        <v>1189</v>
      </c>
      <c r="AJ1961">
        <v>38.973762999999998</v>
      </c>
      <c r="AK1961" t="s">
        <v>1190</v>
      </c>
      <c r="AL1961">
        <v>-87.596204</v>
      </c>
      <c r="AM1961">
        <v>100</v>
      </c>
      <c r="AN1961">
        <v>2800</v>
      </c>
      <c r="AO1961" t="s">
        <v>118</v>
      </c>
      <c r="AP1961">
        <v>-86</v>
      </c>
      <c r="AQ1961">
        <v>-115</v>
      </c>
      <c r="AR1961">
        <v>-64</v>
      </c>
      <c r="AZ1961">
        <v>4552</v>
      </c>
      <c r="BA1961">
        <v>1</v>
      </c>
      <c r="BB1961" t="str">
        <f t="shared" si="508"/>
        <v xml:space="preserve">N607SR  </v>
      </c>
      <c r="BC1961">
        <v>1</v>
      </c>
      <c r="BE1961">
        <v>0</v>
      </c>
      <c r="BF1961">
        <v>0</v>
      </c>
      <c r="BG1961">
        <v>0</v>
      </c>
      <c r="BH1961">
        <v>2575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 t="shared" si="527"/>
        <v>06:17:46.149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5</v>
      </c>
      <c r="CP1961" t="s">
        <v>119</v>
      </c>
      <c r="CQ1961">
        <v>517</v>
      </c>
      <c r="CR1961">
        <v>1</v>
      </c>
      <c r="CW1961">
        <v>2483884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 t="shared" si="525"/>
        <v>08/29/2020 06:17:42.928</v>
      </c>
      <c r="C1962" t="str">
        <f t="shared" si="506"/>
        <v>FFDFD3C0</v>
      </c>
      <c r="D1962" t="s">
        <v>121</v>
      </c>
      <c r="E1962">
        <v>10</v>
      </c>
      <c r="F1962">
        <v>1010</v>
      </c>
      <c r="G1962" t="s">
        <v>114</v>
      </c>
      <c r="J1962" t="s">
        <v>123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526"/>
        <v>06:17:46.148</v>
      </c>
      <c r="U1962" t="str">
        <f t="shared" si="507"/>
        <v>A7E2E0</v>
      </c>
      <c r="V1962">
        <v>0</v>
      </c>
      <c r="W1962">
        <v>0</v>
      </c>
      <c r="X1962">
        <v>1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0</v>
      </c>
      <c r="AI1962" t="s">
        <v>1189</v>
      </c>
      <c r="AJ1962">
        <v>38.973762999999998</v>
      </c>
      <c r="AK1962" t="s">
        <v>1190</v>
      </c>
      <c r="AL1962">
        <v>-87.596204</v>
      </c>
      <c r="AM1962">
        <v>100</v>
      </c>
      <c r="AN1962">
        <v>2800</v>
      </c>
      <c r="AO1962" t="s">
        <v>118</v>
      </c>
      <c r="AP1962">
        <v>-86</v>
      </c>
      <c r="AQ1962">
        <v>-115</v>
      </c>
      <c r="AR1962">
        <v>-64</v>
      </c>
      <c r="AZ1962">
        <v>4552</v>
      </c>
      <c r="BA1962">
        <v>1</v>
      </c>
      <c r="BB1962" t="str">
        <f t="shared" si="508"/>
        <v xml:space="preserve">N607SR  </v>
      </c>
      <c r="BC1962">
        <v>1</v>
      </c>
      <c r="BE1962">
        <v>0</v>
      </c>
      <c r="BF1962">
        <v>0</v>
      </c>
      <c r="BG1962">
        <v>0</v>
      </c>
      <c r="BH1962">
        <v>2575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 t="shared" si="527"/>
        <v>06:17:46.149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5</v>
      </c>
      <c r="CP1962" t="s">
        <v>119</v>
      </c>
      <c r="CQ1962">
        <v>517</v>
      </c>
      <c r="CR1962">
        <v>1</v>
      </c>
      <c r="CW1962">
        <v>2483884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 t="shared" ref="A1963:A1968" si="528">"08/29/2020 06:17:43.929"</f>
        <v>08/29/2020 06:17:43.929</v>
      </c>
      <c r="C1963" t="str">
        <f t="shared" si="506"/>
        <v>FFDFD3C0</v>
      </c>
      <c r="D1963" t="s">
        <v>121</v>
      </c>
      <c r="E1963">
        <v>10</v>
      </c>
      <c r="F1963">
        <v>1010</v>
      </c>
      <c r="G1963" t="s">
        <v>114</v>
      </c>
      <c r="J1963" t="s">
        <v>123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ref="S1963:S1968" si="529">"06:17:47.172"</f>
        <v>06:17:47.172</v>
      </c>
      <c r="U1963" t="str">
        <f t="shared" si="507"/>
        <v>A7E2E0</v>
      </c>
      <c r="V1963">
        <v>0</v>
      </c>
      <c r="W1963">
        <v>0</v>
      </c>
      <c r="X1963">
        <v>1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0</v>
      </c>
      <c r="AI1963" t="s">
        <v>1191</v>
      </c>
      <c r="AJ1963">
        <v>38.973227000000001</v>
      </c>
      <c r="AK1963" t="s">
        <v>1192</v>
      </c>
      <c r="AL1963">
        <v>-87.596740999999994</v>
      </c>
      <c r="AM1963">
        <v>100</v>
      </c>
      <c r="AN1963">
        <v>2800</v>
      </c>
      <c r="AO1963" t="s">
        <v>118</v>
      </c>
      <c r="AP1963">
        <v>-86</v>
      </c>
      <c r="AQ1963">
        <v>-115</v>
      </c>
      <c r="AR1963">
        <v>0</v>
      </c>
      <c r="AZ1963">
        <v>4552</v>
      </c>
      <c r="BA1963">
        <v>1</v>
      </c>
      <c r="BB1963" t="str">
        <f t="shared" si="508"/>
        <v xml:space="preserve">N607SR  </v>
      </c>
      <c r="BC1963">
        <v>1</v>
      </c>
      <c r="BE1963">
        <v>0</v>
      </c>
      <c r="BF1963">
        <v>0</v>
      </c>
      <c r="BG1963">
        <v>0</v>
      </c>
      <c r="BH1963">
        <v>2575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 t="shared" ref="BW1963:BW1968" si="530">"06:17:47.178"</f>
        <v>06:17:47.178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6</v>
      </c>
      <c r="CP1963" t="s">
        <v>119</v>
      </c>
      <c r="CQ1963">
        <v>465</v>
      </c>
      <c r="CR1963">
        <v>0</v>
      </c>
      <c r="CW1963">
        <v>4723543</v>
      </c>
      <c r="CY1963">
        <v>1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 t="shared" si="528"/>
        <v>08/29/2020 06:17:43.929</v>
      </c>
      <c r="C1964" t="str">
        <f t="shared" si="506"/>
        <v>FFDFD3C0</v>
      </c>
      <c r="D1964" t="s">
        <v>113</v>
      </c>
      <c r="E1964">
        <v>5</v>
      </c>
      <c r="H1964">
        <v>163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529"/>
        <v>06:17:47.172</v>
      </c>
      <c r="U1964" t="str">
        <f t="shared" si="507"/>
        <v>A7E2E0</v>
      </c>
      <c r="V1964">
        <v>0</v>
      </c>
      <c r="W1964">
        <v>0</v>
      </c>
      <c r="X1964">
        <v>1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0</v>
      </c>
      <c r="AI1964" t="s">
        <v>1191</v>
      </c>
      <c r="AJ1964">
        <v>38.973227000000001</v>
      </c>
      <c r="AK1964" t="s">
        <v>1192</v>
      </c>
      <c r="AL1964">
        <v>-87.596740999999994</v>
      </c>
      <c r="AM1964">
        <v>100</v>
      </c>
      <c r="AN1964">
        <v>2800</v>
      </c>
      <c r="AO1964" t="s">
        <v>118</v>
      </c>
      <c r="AP1964">
        <v>-86</v>
      </c>
      <c r="AQ1964">
        <v>-115</v>
      </c>
      <c r="AR1964">
        <v>0</v>
      </c>
      <c r="AZ1964">
        <v>4552</v>
      </c>
      <c r="BA1964">
        <v>1</v>
      </c>
      <c r="BB1964" t="str">
        <f t="shared" si="508"/>
        <v xml:space="preserve">N607SR  </v>
      </c>
      <c r="BC1964">
        <v>1</v>
      </c>
      <c r="BE1964">
        <v>0</v>
      </c>
      <c r="BF1964">
        <v>0</v>
      </c>
      <c r="BG1964">
        <v>0</v>
      </c>
      <c r="BH1964">
        <v>2575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 t="shared" si="530"/>
        <v>06:17:47.178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119</v>
      </c>
      <c r="CQ1964">
        <v>465</v>
      </c>
      <c r="CR1964">
        <v>0</v>
      </c>
      <c r="CW1964">
        <v>4723543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 t="shared" si="528"/>
        <v>08/29/2020 06:17:43.929</v>
      </c>
      <c r="C1965" t="str">
        <f t="shared" si="506"/>
        <v>FFDFD3C0</v>
      </c>
      <c r="D1965" t="s">
        <v>939</v>
      </c>
      <c r="E1965">
        <v>10</v>
      </c>
      <c r="H1965">
        <v>79</v>
      </c>
      <c r="I1965" t="s">
        <v>940</v>
      </c>
      <c r="J1965" t="s">
        <v>130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529"/>
        <v>06:17:47.172</v>
      </c>
      <c r="U1965" t="str">
        <f t="shared" si="507"/>
        <v>A7E2E0</v>
      </c>
      <c r="V1965">
        <v>0</v>
      </c>
      <c r="W1965">
        <v>0</v>
      </c>
      <c r="X1965">
        <v>1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0</v>
      </c>
      <c r="AI1965" t="s">
        <v>1191</v>
      </c>
      <c r="AJ1965">
        <v>38.973227000000001</v>
      </c>
      <c r="AK1965" t="s">
        <v>1192</v>
      </c>
      <c r="AL1965">
        <v>-87.596740999999994</v>
      </c>
      <c r="AM1965">
        <v>100</v>
      </c>
      <c r="AN1965">
        <v>2800</v>
      </c>
      <c r="AO1965" t="s">
        <v>118</v>
      </c>
      <c r="AP1965">
        <v>-86</v>
      </c>
      <c r="AQ1965">
        <v>-115</v>
      </c>
      <c r="AR1965">
        <v>0</v>
      </c>
      <c r="AZ1965">
        <v>4552</v>
      </c>
      <c r="BA1965">
        <v>1</v>
      </c>
      <c r="BB1965" t="str">
        <f t="shared" si="508"/>
        <v xml:space="preserve">N607SR  </v>
      </c>
      <c r="BC1965">
        <v>1</v>
      </c>
      <c r="BE1965">
        <v>0</v>
      </c>
      <c r="BF1965">
        <v>0</v>
      </c>
      <c r="BG1965">
        <v>0</v>
      </c>
      <c r="BH1965">
        <v>2575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 t="shared" si="530"/>
        <v>06:17:47.178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6</v>
      </c>
      <c r="CP1965" t="s">
        <v>119</v>
      </c>
      <c r="CQ1965">
        <v>465</v>
      </c>
      <c r="CR1965">
        <v>0</v>
      </c>
      <c r="CW1965">
        <v>4723543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 t="shared" si="528"/>
        <v>08/29/2020 06:17:43.929</v>
      </c>
      <c r="C1966" t="str">
        <f t="shared" si="506"/>
        <v>FFDFD3C0</v>
      </c>
      <c r="D1966" t="s">
        <v>121</v>
      </c>
      <c r="E1966">
        <v>13</v>
      </c>
      <c r="F1966">
        <v>1013</v>
      </c>
      <c r="G1966" t="s">
        <v>122</v>
      </c>
      <c r="J1966" t="s">
        <v>123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529"/>
        <v>06:17:47.172</v>
      </c>
      <c r="U1966" t="str">
        <f t="shared" si="507"/>
        <v>A7E2E0</v>
      </c>
      <c r="V1966">
        <v>0</v>
      </c>
      <c r="W1966">
        <v>0</v>
      </c>
      <c r="X1966">
        <v>1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0</v>
      </c>
      <c r="AI1966" t="s">
        <v>1191</v>
      </c>
      <c r="AJ1966">
        <v>38.973227000000001</v>
      </c>
      <c r="AK1966" t="s">
        <v>1192</v>
      </c>
      <c r="AL1966">
        <v>-87.596740999999994</v>
      </c>
      <c r="AM1966">
        <v>100</v>
      </c>
      <c r="AN1966">
        <v>2800</v>
      </c>
      <c r="AO1966" t="s">
        <v>118</v>
      </c>
      <c r="AP1966">
        <v>-86</v>
      </c>
      <c r="AQ1966">
        <v>-115</v>
      </c>
      <c r="AR1966">
        <v>0</v>
      </c>
      <c r="AZ1966">
        <v>4552</v>
      </c>
      <c r="BA1966">
        <v>1</v>
      </c>
      <c r="BB1966" t="str">
        <f t="shared" si="508"/>
        <v xml:space="preserve">N607SR  </v>
      </c>
      <c r="BC1966">
        <v>1</v>
      </c>
      <c r="BE1966">
        <v>0</v>
      </c>
      <c r="BF1966">
        <v>0</v>
      </c>
      <c r="BG1966">
        <v>0</v>
      </c>
      <c r="BH1966">
        <v>2575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 t="shared" si="530"/>
        <v>06:17:47.178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465</v>
      </c>
      <c r="CR1966">
        <v>0</v>
      </c>
      <c r="CW1966">
        <v>4723543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 t="shared" si="528"/>
        <v>08/29/2020 06:17:43.929</v>
      </c>
      <c r="C1967" t="str">
        <f t="shared" si="506"/>
        <v>FFDFD3C0</v>
      </c>
      <c r="D1967" t="s">
        <v>128</v>
      </c>
      <c r="E1967">
        <v>5</v>
      </c>
      <c r="H1967">
        <v>241</v>
      </c>
      <c r="I1967" t="s">
        <v>129</v>
      </c>
      <c r="J1967" t="s">
        <v>130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529"/>
        <v>06:17:47.172</v>
      </c>
      <c r="U1967" t="str">
        <f t="shared" si="507"/>
        <v>A7E2E0</v>
      </c>
      <c r="V1967">
        <v>0</v>
      </c>
      <c r="W1967">
        <v>0</v>
      </c>
      <c r="X1967">
        <v>1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0</v>
      </c>
      <c r="AI1967" t="s">
        <v>1191</v>
      </c>
      <c r="AJ1967">
        <v>38.973227000000001</v>
      </c>
      <c r="AK1967" t="s">
        <v>1192</v>
      </c>
      <c r="AL1967">
        <v>-87.596740999999994</v>
      </c>
      <c r="AM1967">
        <v>100</v>
      </c>
      <c r="AN1967">
        <v>2800</v>
      </c>
      <c r="AO1967" t="s">
        <v>118</v>
      </c>
      <c r="AP1967">
        <v>-86</v>
      </c>
      <c r="AQ1967">
        <v>-115</v>
      </c>
      <c r="AR1967">
        <v>0</v>
      </c>
      <c r="AZ1967">
        <v>4552</v>
      </c>
      <c r="BA1967">
        <v>1</v>
      </c>
      <c r="BB1967" t="str">
        <f t="shared" si="508"/>
        <v xml:space="preserve">N607SR  </v>
      </c>
      <c r="BC1967">
        <v>1</v>
      </c>
      <c r="BE1967">
        <v>0</v>
      </c>
      <c r="BF1967">
        <v>0</v>
      </c>
      <c r="BG1967">
        <v>0</v>
      </c>
      <c r="BH1967">
        <v>2575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 t="shared" si="530"/>
        <v>06:17:47.178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465</v>
      </c>
      <c r="CR1967">
        <v>0</v>
      </c>
      <c r="CW1967">
        <v>4723543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 t="shared" si="528"/>
        <v>08/29/2020 06:17:43.929</v>
      </c>
      <c r="C1968" t="str">
        <f t="shared" si="506"/>
        <v>FFDFD3C0</v>
      </c>
      <c r="D1968" t="s">
        <v>121</v>
      </c>
      <c r="E1968">
        <v>11</v>
      </c>
      <c r="F1968">
        <v>1011</v>
      </c>
      <c r="G1968" t="s">
        <v>125</v>
      </c>
      <c r="J1968" t="s">
        <v>123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529"/>
        <v>06:17:47.172</v>
      </c>
      <c r="T1968" t="str">
        <f>"06:17:46.772"</f>
        <v>06:17:46.772</v>
      </c>
      <c r="U1968" t="str">
        <f t="shared" si="507"/>
        <v>A7E2E0</v>
      </c>
      <c r="V1968">
        <v>0</v>
      </c>
      <c r="W1968">
        <v>0</v>
      </c>
      <c r="X1968">
        <v>1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0</v>
      </c>
      <c r="AI1968" t="s">
        <v>1191</v>
      </c>
      <c r="AJ1968">
        <v>38.973227000000001</v>
      </c>
      <c r="AK1968" t="s">
        <v>1192</v>
      </c>
      <c r="AL1968">
        <v>-87.596740999999994</v>
      </c>
      <c r="AM1968">
        <v>100</v>
      </c>
      <c r="AN1968">
        <v>2800</v>
      </c>
      <c r="AO1968" t="s">
        <v>118</v>
      </c>
      <c r="AP1968">
        <v>-86</v>
      </c>
      <c r="AQ1968">
        <v>-115</v>
      </c>
      <c r="AR1968">
        <v>-64</v>
      </c>
      <c r="AZ1968">
        <v>4552</v>
      </c>
      <c r="BA1968">
        <v>1</v>
      </c>
      <c r="BB1968" t="str">
        <f t="shared" si="508"/>
        <v xml:space="preserve">N607SR  </v>
      </c>
      <c r="BC1968">
        <v>1</v>
      </c>
      <c r="BE1968">
        <v>0</v>
      </c>
      <c r="BF1968">
        <v>0</v>
      </c>
      <c r="BG1968">
        <v>0</v>
      </c>
      <c r="BH1968">
        <v>2575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 t="shared" si="530"/>
        <v>06:17:47.178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4</v>
      </c>
      <c r="CP1968" t="s">
        <v>119</v>
      </c>
      <c r="CQ1968">
        <v>177</v>
      </c>
      <c r="CR1968">
        <v>2</v>
      </c>
      <c r="CW1968">
        <v>1658162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 t="shared" ref="A1969:A1974" si="531">"08/29/2020 06:17:45.106"</f>
        <v>08/29/2020 06:17:45.106</v>
      </c>
      <c r="C1969" t="str">
        <f t="shared" si="506"/>
        <v>FFDFD3C0</v>
      </c>
      <c r="D1969" t="s">
        <v>121</v>
      </c>
      <c r="E1969">
        <v>13</v>
      </c>
      <c r="F1969">
        <v>1013</v>
      </c>
      <c r="G1969" t="s">
        <v>122</v>
      </c>
      <c r="J1969" t="s">
        <v>123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ref="S1969:S1974" si="532">"06:17:48.328"</f>
        <v>06:17:48.328</v>
      </c>
      <c r="T1969" t="str">
        <f t="shared" ref="T1969:T1974" si="533">"06:17:47.828"</f>
        <v>06:17:47.828</v>
      </c>
      <c r="U1969" t="str">
        <f t="shared" si="507"/>
        <v>A7E2E0</v>
      </c>
      <c r="V1969">
        <v>0</v>
      </c>
      <c r="W1969">
        <v>0</v>
      </c>
      <c r="X1969">
        <v>1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0</v>
      </c>
      <c r="AI1969" t="s">
        <v>1193</v>
      </c>
      <c r="AJ1969">
        <v>38.972583</v>
      </c>
      <c r="AK1969" t="s">
        <v>1194</v>
      </c>
      <c r="AL1969">
        <v>-87.597341999999998</v>
      </c>
      <c r="AM1969">
        <v>100</v>
      </c>
      <c r="AN1969">
        <v>2800</v>
      </c>
      <c r="AO1969" t="s">
        <v>118</v>
      </c>
      <c r="AP1969">
        <v>-86</v>
      </c>
      <c r="AQ1969">
        <v>-115</v>
      </c>
      <c r="AR1969">
        <v>0</v>
      </c>
      <c r="AZ1969">
        <v>4552</v>
      </c>
      <c r="BA1969">
        <v>1</v>
      </c>
      <c r="BB1969" t="str">
        <f t="shared" si="508"/>
        <v xml:space="preserve">N607SR  </v>
      </c>
      <c r="BC1969">
        <v>1</v>
      </c>
      <c r="BE1969">
        <v>0</v>
      </c>
      <c r="BF1969">
        <v>0</v>
      </c>
      <c r="BG1969">
        <v>0</v>
      </c>
      <c r="BH1969">
        <v>2575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 t="shared" ref="BW1969:BW1974" si="534">"06:17:48.334"</f>
        <v>06:17:48.334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465</v>
      </c>
      <c r="CR1969">
        <v>0</v>
      </c>
      <c r="CW1969">
        <v>4723575</v>
      </c>
      <c r="CY1969">
        <v>1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 t="shared" si="531"/>
        <v>08/29/2020 06:17:45.106</v>
      </c>
      <c r="C1970" t="str">
        <f t="shared" si="506"/>
        <v>FFDFD3C0</v>
      </c>
      <c r="D1970" t="s">
        <v>128</v>
      </c>
      <c r="E1970">
        <v>5</v>
      </c>
      <c r="H1970">
        <v>241</v>
      </c>
      <c r="I1970" t="s">
        <v>129</v>
      </c>
      <c r="J1970" t="s">
        <v>130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532"/>
        <v>06:17:48.328</v>
      </c>
      <c r="T1970" t="str">
        <f t="shared" si="533"/>
        <v>06:17:47.828</v>
      </c>
      <c r="U1970" t="str">
        <f t="shared" si="507"/>
        <v>A7E2E0</v>
      </c>
      <c r="V1970">
        <v>0</v>
      </c>
      <c r="W1970">
        <v>0</v>
      </c>
      <c r="X1970">
        <v>1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0</v>
      </c>
      <c r="AI1970" t="s">
        <v>1193</v>
      </c>
      <c r="AJ1970">
        <v>38.972583</v>
      </c>
      <c r="AK1970" t="s">
        <v>1194</v>
      </c>
      <c r="AL1970">
        <v>-87.597341999999998</v>
      </c>
      <c r="AM1970">
        <v>100</v>
      </c>
      <c r="AN1970">
        <v>2800</v>
      </c>
      <c r="AO1970" t="s">
        <v>118</v>
      </c>
      <c r="AP1970">
        <v>-86</v>
      </c>
      <c r="AQ1970">
        <v>-115</v>
      </c>
      <c r="AR1970">
        <v>0</v>
      </c>
      <c r="AZ1970">
        <v>4552</v>
      </c>
      <c r="BA1970">
        <v>1</v>
      </c>
      <c r="BB1970" t="str">
        <f t="shared" si="508"/>
        <v xml:space="preserve">N607SR  </v>
      </c>
      <c r="BC1970">
        <v>1</v>
      </c>
      <c r="BE1970">
        <v>0</v>
      </c>
      <c r="BF1970">
        <v>0</v>
      </c>
      <c r="BG1970">
        <v>0</v>
      </c>
      <c r="BH1970">
        <v>2575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 t="shared" si="534"/>
        <v>06:17:48.334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6</v>
      </c>
      <c r="CP1970" t="s">
        <v>119</v>
      </c>
      <c r="CQ1970">
        <v>465</v>
      </c>
      <c r="CR1970">
        <v>0</v>
      </c>
      <c r="CW1970">
        <v>4723575</v>
      </c>
      <c r="CY1970">
        <v>1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 t="shared" si="531"/>
        <v>08/29/2020 06:17:45.106</v>
      </c>
      <c r="C1971" t="str">
        <f t="shared" si="506"/>
        <v>FFDFD3C0</v>
      </c>
      <c r="D1971" t="s">
        <v>121</v>
      </c>
      <c r="E1971">
        <v>11</v>
      </c>
      <c r="F1971">
        <v>1011</v>
      </c>
      <c r="G1971" t="s">
        <v>125</v>
      </c>
      <c r="J1971" t="s">
        <v>123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532"/>
        <v>06:17:48.328</v>
      </c>
      <c r="T1971" t="str">
        <f t="shared" si="533"/>
        <v>06:17:47.828</v>
      </c>
      <c r="U1971" t="str">
        <f t="shared" si="507"/>
        <v>A7E2E0</v>
      </c>
      <c r="V1971">
        <v>0</v>
      </c>
      <c r="W1971">
        <v>0</v>
      </c>
      <c r="X1971">
        <v>1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0</v>
      </c>
      <c r="AI1971" t="s">
        <v>1193</v>
      </c>
      <c r="AJ1971">
        <v>38.972583</v>
      </c>
      <c r="AK1971" t="s">
        <v>1194</v>
      </c>
      <c r="AL1971">
        <v>-87.597341999999998</v>
      </c>
      <c r="AM1971">
        <v>100</v>
      </c>
      <c r="AN1971">
        <v>2800</v>
      </c>
      <c r="AO1971" t="s">
        <v>118</v>
      </c>
      <c r="AP1971">
        <v>-86</v>
      </c>
      <c r="AQ1971">
        <v>-115</v>
      </c>
      <c r="AR1971">
        <v>0</v>
      </c>
      <c r="AZ1971">
        <v>4552</v>
      </c>
      <c r="BA1971">
        <v>1</v>
      </c>
      <c r="BB1971" t="str">
        <f t="shared" si="508"/>
        <v xml:space="preserve">N607SR  </v>
      </c>
      <c r="BC1971">
        <v>1</v>
      </c>
      <c r="BE1971">
        <v>0</v>
      </c>
      <c r="BF1971">
        <v>0</v>
      </c>
      <c r="BG1971">
        <v>0</v>
      </c>
      <c r="BH1971">
        <v>2575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 t="shared" si="534"/>
        <v>06:17:48.334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4</v>
      </c>
      <c r="CP1971" t="s">
        <v>119</v>
      </c>
      <c r="CQ1971">
        <v>177</v>
      </c>
      <c r="CR1971">
        <v>2</v>
      </c>
      <c r="CW1971">
        <v>1658358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 t="shared" si="531"/>
        <v>08/29/2020 06:17:45.106</v>
      </c>
      <c r="C1972" t="str">
        <f t="shared" si="506"/>
        <v>FFDFD3C0</v>
      </c>
      <c r="D1972" t="s">
        <v>121</v>
      </c>
      <c r="E1972">
        <v>10</v>
      </c>
      <c r="F1972">
        <v>1010</v>
      </c>
      <c r="G1972" t="s">
        <v>114</v>
      </c>
      <c r="J1972" t="s">
        <v>123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532"/>
        <v>06:17:48.328</v>
      </c>
      <c r="T1972" t="str">
        <f t="shared" si="533"/>
        <v>06:17:47.828</v>
      </c>
      <c r="U1972" t="str">
        <f t="shared" si="507"/>
        <v>A7E2E0</v>
      </c>
      <c r="V1972">
        <v>0</v>
      </c>
      <c r="W1972">
        <v>0</v>
      </c>
      <c r="X1972">
        <v>1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0</v>
      </c>
      <c r="AI1972" t="s">
        <v>1193</v>
      </c>
      <c r="AJ1972">
        <v>38.972583</v>
      </c>
      <c r="AK1972" t="s">
        <v>1194</v>
      </c>
      <c r="AL1972">
        <v>-87.597341999999998</v>
      </c>
      <c r="AM1972">
        <v>100</v>
      </c>
      <c r="AN1972">
        <v>2800</v>
      </c>
      <c r="AO1972" t="s">
        <v>118</v>
      </c>
      <c r="AP1972">
        <v>-86</v>
      </c>
      <c r="AQ1972">
        <v>-115</v>
      </c>
      <c r="AR1972">
        <v>0</v>
      </c>
      <c r="AZ1972">
        <v>4552</v>
      </c>
      <c r="BA1972">
        <v>1</v>
      </c>
      <c r="BB1972" t="str">
        <f t="shared" si="508"/>
        <v xml:space="preserve">N607SR  </v>
      </c>
      <c r="BC1972">
        <v>1</v>
      </c>
      <c r="BE1972">
        <v>0</v>
      </c>
      <c r="BF1972">
        <v>0</v>
      </c>
      <c r="BG1972">
        <v>0</v>
      </c>
      <c r="BH1972">
        <v>2575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 t="shared" si="534"/>
        <v>06:17:48.334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6</v>
      </c>
      <c r="CP1972" t="s">
        <v>119</v>
      </c>
      <c r="CQ1972">
        <v>465</v>
      </c>
      <c r="CR1972">
        <v>0</v>
      </c>
      <c r="CW1972">
        <v>4723575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 t="shared" si="531"/>
        <v>08/29/2020 06:17:45.106</v>
      </c>
      <c r="C1973" t="str">
        <f t="shared" si="506"/>
        <v>FFDFD3C0</v>
      </c>
      <c r="D1973" t="s">
        <v>939</v>
      </c>
      <c r="E1973">
        <v>10</v>
      </c>
      <c r="H1973">
        <v>79</v>
      </c>
      <c r="I1973" t="s">
        <v>940</v>
      </c>
      <c r="J1973" t="s">
        <v>130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532"/>
        <v>06:17:48.328</v>
      </c>
      <c r="T1973" t="str">
        <f t="shared" si="533"/>
        <v>06:17:47.828</v>
      </c>
      <c r="U1973" t="str">
        <f t="shared" si="507"/>
        <v>A7E2E0</v>
      </c>
      <c r="V1973">
        <v>0</v>
      </c>
      <c r="W1973">
        <v>0</v>
      </c>
      <c r="X1973">
        <v>1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0</v>
      </c>
      <c r="AI1973" t="s">
        <v>1193</v>
      </c>
      <c r="AJ1973">
        <v>38.972583</v>
      </c>
      <c r="AK1973" t="s">
        <v>1194</v>
      </c>
      <c r="AL1973">
        <v>-87.597341999999998</v>
      </c>
      <c r="AM1973">
        <v>100</v>
      </c>
      <c r="AN1973">
        <v>2800</v>
      </c>
      <c r="AO1973" t="s">
        <v>118</v>
      </c>
      <c r="AP1973">
        <v>-86</v>
      </c>
      <c r="AQ1973">
        <v>-115</v>
      </c>
      <c r="AR1973">
        <v>0</v>
      </c>
      <c r="AZ1973">
        <v>4552</v>
      </c>
      <c r="BA1973">
        <v>1</v>
      </c>
      <c r="BB1973" t="str">
        <f t="shared" si="508"/>
        <v xml:space="preserve">N607SR  </v>
      </c>
      <c r="BC1973">
        <v>1</v>
      </c>
      <c r="BE1973">
        <v>0</v>
      </c>
      <c r="BF1973">
        <v>0</v>
      </c>
      <c r="BG1973">
        <v>0</v>
      </c>
      <c r="BH1973">
        <v>2575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 t="shared" si="534"/>
        <v>06:17:48.334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6</v>
      </c>
      <c r="CP1973" t="s">
        <v>119</v>
      </c>
      <c r="CQ1973">
        <v>465</v>
      </c>
      <c r="CR1973">
        <v>0</v>
      </c>
      <c r="CW1973">
        <v>4723575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 t="shared" si="531"/>
        <v>08/29/2020 06:17:45.106</v>
      </c>
      <c r="C1974" t="str">
        <f t="shared" si="506"/>
        <v>FFDFD3C0</v>
      </c>
      <c r="D1974" t="s">
        <v>113</v>
      </c>
      <c r="E1974">
        <v>5</v>
      </c>
      <c r="H1974">
        <v>163</v>
      </c>
      <c r="I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532"/>
        <v>06:17:48.328</v>
      </c>
      <c r="T1974" t="str">
        <f t="shared" si="533"/>
        <v>06:17:47.828</v>
      </c>
      <c r="U1974" t="str">
        <f t="shared" si="507"/>
        <v>A7E2E0</v>
      </c>
      <c r="V1974">
        <v>0</v>
      </c>
      <c r="W1974">
        <v>0</v>
      </c>
      <c r="X1974">
        <v>1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0</v>
      </c>
      <c r="AI1974" t="s">
        <v>1193</v>
      </c>
      <c r="AJ1974">
        <v>38.972583</v>
      </c>
      <c r="AK1974" t="s">
        <v>1194</v>
      </c>
      <c r="AL1974">
        <v>-87.597341999999998</v>
      </c>
      <c r="AM1974">
        <v>100</v>
      </c>
      <c r="AN1974">
        <v>2800</v>
      </c>
      <c r="AO1974" t="s">
        <v>118</v>
      </c>
      <c r="AP1974">
        <v>-86</v>
      </c>
      <c r="AQ1974">
        <v>-115</v>
      </c>
      <c r="AR1974">
        <v>0</v>
      </c>
      <c r="AZ1974">
        <v>4552</v>
      </c>
      <c r="BA1974">
        <v>1</v>
      </c>
      <c r="BB1974" t="str">
        <f t="shared" si="508"/>
        <v xml:space="preserve">N607SR  </v>
      </c>
      <c r="BC1974">
        <v>1</v>
      </c>
      <c r="BE1974">
        <v>0</v>
      </c>
      <c r="BF1974">
        <v>0</v>
      </c>
      <c r="BG1974">
        <v>0</v>
      </c>
      <c r="BH1974">
        <v>2575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 t="shared" si="534"/>
        <v>06:17:48.334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6</v>
      </c>
      <c r="CP1974" t="s">
        <v>119</v>
      </c>
      <c r="CQ1974">
        <v>465</v>
      </c>
      <c r="CR1974">
        <v>0</v>
      </c>
      <c r="CW1974">
        <v>4723575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 t="shared" ref="A1975:A1980" si="535">"08/29/2020 06:17:46.110"</f>
        <v>08/29/2020 06:17:46.110</v>
      </c>
      <c r="C1975" t="str">
        <f t="shared" si="506"/>
        <v>FFDFD3C0</v>
      </c>
      <c r="D1975" t="s">
        <v>113</v>
      </c>
      <c r="E1975">
        <v>5</v>
      </c>
      <c r="H1975">
        <v>163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ref="S1975:S1980" si="536">"06:17:49.328"</f>
        <v>06:17:49.328</v>
      </c>
      <c r="T1975" t="str">
        <f t="shared" ref="T1975:T1980" si="537">"06:17:48.828"</f>
        <v>06:17:48.828</v>
      </c>
      <c r="U1975" t="str">
        <f t="shared" si="507"/>
        <v>A7E2E0</v>
      </c>
      <c r="V1975">
        <v>0</v>
      </c>
      <c r="W1975">
        <v>0</v>
      </c>
      <c r="X1975">
        <v>1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0</v>
      </c>
      <c r="AI1975" t="s">
        <v>1195</v>
      </c>
      <c r="AJ1975">
        <v>38.972068</v>
      </c>
      <c r="AK1975" t="s">
        <v>1196</v>
      </c>
      <c r="AL1975">
        <v>-87.597877999999994</v>
      </c>
      <c r="AM1975">
        <v>100</v>
      </c>
      <c r="AN1975">
        <v>2800</v>
      </c>
      <c r="AO1975" t="s">
        <v>118</v>
      </c>
      <c r="AP1975">
        <v>-86</v>
      </c>
      <c r="AQ1975">
        <v>-115</v>
      </c>
      <c r="AR1975">
        <v>0</v>
      </c>
      <c r="AZ1975">
        <v>4552</v>
      </c>
      <c r="BA1975">
        <v>1</v>
      </c>
      <c r="BB1975" t="str">
        <f t="shared" si="508"/>
        <v xml:space="preserve">N607SR  </v>
      </c>
      <c r="BC1975">
        <v>1</v>
      </c>
      <c r="BE1975">
        <v>0</v>
      </c>
      <c r="BF1975">
        <v>0</v>
      </c>
      <c r="BG1975">
        <v>0</v>
      </c>
      <c r="BH1975">
        <v>2575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 t="shared" ref="BW1975:BW1980" si="538">"06:17:49.334"</f>
        <v>06:17:49.334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6</v>
      </c>
      <c r="CP1975" t="s">
        <v>119</v>
      </c>
      <c r="CQ1975">
        <v>465</v>
      </c>
      <c r="CR1975">
        <v>0</v>
      </c>
      <c r="CW1975">
        <v>4723608</v>
      </c>
      <c r="CY1975">
        <v>1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 t="shared" si="535"/>
        <v>08/29/2020 06:17:46.110</v>
      </c>
      <c r="C1976" t="str">
        <f t="shared" si="506"/>
        <v>FFDFD3C0</v>
      </c>
      <c r="D1976" t="s">
        <v>121</v>
      </c>
      <c r="E1976">
        <v>13</v>
      </c>
      <c r="F1976">
        <v>1013</v>
      </c>
      <c r="G1976" t="s">
        <v>122</v>
      </c>
      <c r="J1976" t="s">
        <v>123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536"/>
        <v>06:17:49.328</v>
      </c>
      <c r="T1976" t="str">
        <f t="shared" si="537"/>
        <v>06:17:48.828</v>
      </c>
      <c r="U1976" t="str">
        <f t="shared" si="507"/>
        <v>A7E2E0</v>
      </c>
      <c r="V1976">
        <v>0</v>
      </c>
      <c r="W1976">
        <v>0</v>
      </c>
      <c r="X1976">
        <v>1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0</v>
      </c>
      <c r="AI1976" t="s">
        <v>1195</v>
      </c>
      <c r="AJ1976">
        <v>38.972068</v>
      </c>
      <c r="AK1976" t="s">
        <v>1196</v>
      </c>
      <c r="AL1976">
        <v>-87.597877999999994</v>
      </c>
      <c r="AM1976">
        <v>100</v>
      </c>
      <c r="AN1976">
        <v>2800</v>
      </c>
      <c r="AO1976" t="s">
        <v>118</v>
      </c>
      <c r="AP1976">
        <v>-86</v>
      </c>
      <c r="AQ1976">
        <v>-115</v>
      </c>
      <c r="AR1976">
        <v>0</v>
      </c>
      <c r="AZ1976">
        <v>4552</v>
      </c>
      <c r="BA1976">
        <v>1</v>
      </c>
      <c r="BB1976" t="str">
        <f t="shared" si="508"/>
        <v xml:space="preserve">N607SR  </v>
      </c>
      <c r="BC1976">
        <v>1</v>
      </c>
      <c r="BE1976">
        <v>0</v>
      </c>
      <c r="BF1976">
        <v>0</v>
      </c>
      <c r="BG1976">
        <v>0</v>
      </c>
      <c r="BH1976">
        <v>2575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 t="shared" si="538"/>
        <v>06:17:49.334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6</v>
      </c>
      <c r="CP1976" t="s">
        <v>119</v>
      </c>
      <c r="CQ1976">
        <v>465</v>
      </c>
      <c r="CR1976">
        <v>0</v>
      </c>
      <c r="CW1976">
        <v>4723608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 t="shared" si="535"/>
        <v>08/29/2020 06:17:46.110</v>
      </c>
      <c r="C1977" t="str">
        <f t="shared" si="506"/>
        <v>FFDFD3C0</v>
      </c>
      <c r="D1977" t="s">
        <v>128</v>
      </c>
      <c r="E1977">
        <v>5</v>
      </c>
      <c r="H1977">
        <v>241</v>
      </c>
      <c r="I1977" t="s">
        <v>129</v>
      </c>
      <c r="J1977" t="s">
        <v>130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536"/>
        <v>06:17:49.328</v>
      </c>
      <c r="T1977" t="str">
        <f t="shared" si="537"/>
        <v>06:17:48.828</v>
      </c>
      <c r="U1977" t="str">
        <f t="shared" si="507"/>
        <v>A7E2E0</v>
      </c>
      <c r="V1977">
        <v>0</v>
      </c>
      <c r="W1977">
        <v>0</v>
      </c>
      <c r="X1977">
        <v>1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0</v>
      </c>
      <c r="AI1977" t="s">
        <v>1195</v>
      </c>
      <c r="AJ1977">
        <v>38.972068</v>
      </c>
      <c r="AK1977" t="s">
        <v>1196</v>
      </c>
      <c r="AL1977">
        <v>-87.597877999999994</v>
      </c>
      <c r="AM1977">
        <v>100</v>
      </c>
      <c r="AN1977">
        <v>2800</v>
      </c>
      <c r="AO1977" t="s">
        <v>118</v>
      </c>
      <c r="AP1977">
        <v>-86</v>
      </c>
      <c r="AQ1977">
        <v>-115</v>
      </c>
      <c r="AR1977">
        <v>0</v>
      </c>
      <c r="AZ1977">
        <v>4552</v>
      </c>
      <c r="BA1977">
        <v>1</v>
      </c>
      <c r="BB1977" t="str">
        <f t="shared" si="508"/>
        <v xml:space="preserve">N607SR  </v>
      </c>
      <c r="BC1977">
        <v>1</v>
      </c>
      <c r="BE1977">
        <v>0</v>
      </c>
      <c r="BF1977">
        <v>0</v>
      </c>
      <c r="BG1977">
        <v>0</v>
      </c>
      <c r="BH1977">
        <v>2575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 t="shared" si="538"/>
        <v>06:17:49.334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6</v>
      </c>
      <c r="CP1977" t="s">
        <v>119</v>
      </c>
      <c r="CQ1977">
        <v>465</v>
      </c>
      <c r="CR1977">
        <v>0</v>
      </c>
      <c r="CW1977">
        <v>4723608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 t="shared" si="535"/>
        <v>08/29/2020 06:17:46.110</v>
      </c>
      <c r="C1978" t="str">
        <f t="shared" si="506"/>
        <v>FFDFD3C0</v>
      </c>
      <c r="D1978" t="s">
        <v>121</v>
      </c>
      <c r="E1978">
        <v>11</v>
      </c>
      <c r="F1978">
        <v>1011</v>
      </c>
      <c r="G1978" t="s">
        <v>125</v>
      </c>
      <c r="J1978" t="s">
        <v>123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536"/>
        <v>06:17:49.328</v>
      </c>
      <c r="T1978" t="str">
        <f t="shared" si="537"/>
        <v>06:17:48.828</v>
      </c>
      <c r="U1978" t="str">
        <f t="shared" si="507"/>
        <v>A7E2E0</v>
      </c>
      <c r="V1978">
        <v>0</v>
      </c>
      <c r="W1978">
        <v>0</v>
      </c>
      <c r="X1978">
        <v>1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0</v>
      </c>
      <c r="AI1978" t="s">
        <v>1195</v>
      </c>
      <c r="AJ1978">
        <v>38.972068</v>
      </c>
      <c r="AK1978" t="s">
        <v>1196</v>
      </c>
      <c r="AL1978">
        <v>-87.597877999999994</v>
      </c>
      <c r="AM1978">
        <v>100</v>
      </c>
      <c r="AN1978">
        <v>2800</v>
      </c>
      <c r="AO1978" t="s">
        <v>118</v>
      </c>
      <c r="AP1978">
        <v>-86</v>
      </c>
      <c r="AQ1978">
        <v>-115</v>
      </c>
      <c r="AR1978">
        <v>0</v>
      </c>
      <c r="AZ1978">
        <v>4552</v>
      </c>
      <c r="BA1978">
        <v>1</v>
      </c>
      <c r="BB1978" t="str">
        <f t="shared" si="508"/>
        <v xml:space="preserve">N607SR  </v>
      </c>
      <c r="BC1978">
        <v>1</v>
      </c>
      <c r="BE1978">
        <v>0</v>
      </c>
      <c r="BF1978">
        <v>0</v>
      </c>
      <c r="BG1978">
        <v>0</v>
      </c>
      <c r="BH1978">
        <v>2575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 t="shared" si="538"/>
        <v>06:17:49.334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4</v>
      </c>
      <c r="CP1978" t="s">
        <v>119</v>
      </c>
      <c r="CQ1978">
        <v>177</v>
      </c>
      <c r="CR1978">
        <v>2</v>
      </c>
      <c r="CW1978">
        <v>1658524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 t="shared" si="535"/>
        <v>08/29/2020 06:17:46.110</v>
      </c>
      <c r="C1979" t="str">
        <f t="shared" si="506"/>
        <v>FFDFD3C0</v>
      </c>
      <c r="D1979" t="s">
        <v>939</v>
      </c>
      <c r="E1979">
        <v>10</v>
      </c>
      <c r="H1979">
        <v>79</v>
      </c>
      <c r="I1979" t="s">
        <v>940</v>
      </c>
      <c r="J1979" t="s">
        <v>130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536"/>
        <v>06:17:49.328</v>
      </c>
      <c r="T1979" t="str">
        <f t="shared" si="537"/>
        <v>06:17:48.828</v>
      </c>
      <c r="U1979" t="str">
        <f t="shared" si="507"/>
        <v>A7E2E0</v>
      </c>
      <c r="V1979">
        <v>0</v>
      </c>
      <c r="W1979">
        <v>0</v>
      </c>
      <c r="X1979">
        <v>1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0</v>
      </c>
      <c r="AI1979" t="s">
        <v>1195</v>
      </c>
      <c r="AJ1979">
        <v>38.972068</v>
      </c>
      <c r="AK1979" t="s">
        <v>1196</v>
      </c>
      <c r="AL1979">
        <v>-87.597877999999994</v>
      </c>
      <c r="AM1979">
        <v>100</v>
      </c>
      <c r="AN1979">
        <v>2800</v>
      </c>
      <c r="AO1979" t="s">
        <v>118</v>
      </c>
      <c r="AP1979">
        <v>-86</v>
      </c>
      <c r="AQ1979">
        <v>-115</v>
      </c>
      <c r="AR1979">
        <v>0</v>
      </c>
      <c r="AZ1979">
        <v>4552</v>
      </c>
      <c r="BA1979">
        <v>1</v>
      </c>
      <c r="BB1979" t="str">
        <f t="shared" si="508"/>
        <v xml:space="preserve">N607SR  </v>
      </c>
      <c r="BC1979">
        <v>1</v>
      </c>
      <c r="BE1979">
        <v>0</v>
      </c>
      <c r="BF1979">
        <v>0</v>
      </c>
      <c r="BG1979">
        <v>0</v>
      </c>
      <c r="BH1979">
        <v>2575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 t="shared" si="538"/>
        <v>06:17:49.334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465</v>
      </c>
      <c r="CR1979">
        <v>0</v>
      </c>
      <c r="CW1979">
        <v>4723608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 t="shared" si="535"/>
        <v>08/29/2020 06:17:46.110</v>
      </c>
      <c r="C1980" t="str">
        <f t="shared" si="506"/>
        <v>FFDFD3C0</v>
      </c>
      <c r="D1980" t="s">
        <v>121</v>
      </c>
      <c r="E1980">
        <v>10</v>
      </c>
      <c r="F1980">
        <v>1010</v>
      </c>
      <c r="G1980" t="s">
        <v>114</v>
      </c>
      <c r="J1980" t="s">
        <v>123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536"/>
        <v>06:17:49.328</v>
      </c>
      <c r="T1980" t="str">
        <f t="shared" si="537"/>
        <v>06:17:48.828</v>
      </c>
      <c r="U1980" t="str">
        <f t="shared" si="507"/>
        <v>A7E2E0</v>
      </c>
      <c r="V1980">
        <v>0</v>
      </c>
      <c r="W1980">
        <v>0</v>
      </c>
      <c r="X1980">
        <v>1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0</v>
      </c>
      <c r="AI1980" t="s">
        <v>1195</v>
      </c>
      <c r="AJ1980">
        <v>38.972068</v>
      </c>
      <c r="AK1980" t="s">
        <v>1196</v>
      </c>
      <c r="AL1980">
        <v>-87.597877999999994</v>
      </c>
      <c r="AM1980">
        <v>100</v>
      </c>
      <c r="AN1980">
        <v>2800</v>
      </c>
      <c r="AO1980" t="s">
        <v>118</v>
      </c>
      <c r="AP1980">
        <v>-86</v>
      </c>
      <c r="AQ1980">
        <v>-115</v>
      </c>
      <c r="AR1980">
        <v>0</v>
      </c>
      <c r="AZ1980">
        <v>4552</v>
      </c>
      <c r="BA1980">
        <v>1</v>
      </c>
      <c r="BB1980" t="str">
        <f t="shared" si="508"/>
        <v xml:space="preserve">N607SR  </v>
      </c>
      <c r="BC1980">
        <v>1</v>
      </c>
      <c r="BE1980">
        <v>0</v>
      </c>
      <c r="BF1980">
        <v>0</v>
      </c>
      <c r="BG1980">
        <v>0</v>
      </c>
      <c r="BH1980">
        <v>2575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 t="shared" si="538"/>
        <v>06:17:49.334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465</v>
      </c>
      <c r="CR1980">
        <v>0</v>
      </c>
      <c r="CW1980">
        <v>4723608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 t="shared" ref="A1981:A1986" si="539">"08/29/2020 06:17:47.108"</f>
        <v>08/29/2020 06:17:47.108</v>
      </c>
      <c r="C1981" t="str">
        <f t="shared" si="506"/>
        <v>FFDFD3C0</v>
      </c>
      <c r="D1981" t="s">
        <v>939</v>
      </c>
      <c r="E1981">
        <v>10</v>
      </c>
      <c r="H1981">
        <v>79</v>
      </c>
      <c r="I1981" t="s">
        <v>940</v>
      </c>
      <c r="J1981" t="s">
        <v>130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ref="S1981:S1986" si="540">"06:17:50.344"</f>
        <v>06:17:50.344</v>
      </c>
      <c r="T1981" t="str">
        <f t="shared" ref="T1981:T1986" si="541">"06:17:49.944"</f>
        <v>06:17:49.944</v>
      </c>
      <c r="U1981" t="str">
        <f t="shared" si="507"/>
        <v>A7E2E0</v>
      </c>
      <c r="V1981">
        <v>0</v>
      </c>
      <c r="W1981">
        <v>0</v>
      </c>
      <c r="X1981">
        <v>1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0</v>
      </c>
      <c r="AI1981" t="s">
        <v>1197</v>
      </c>
      <c r="AJ1981">
        <v>38.971530999999999</v>
      </c>
      <c r="AK1981" t="s">
        <v>1198</v>
      </c>
      <c r="AL1981">
        <v>-87.598349999999996</v>
      </c>
      <c r="AM1981">
        <v>100</v>
      </c>
      <c r="AN1981">
        <v>2800</v>
      </c>
      <c r="AO1981" t="s">
        <v>118</v>
      </c>
      <c r="AP1981">
        <v>-86</v>
      </c>
      <c r="AQ1981">
        <v>-115</v>
      </c>
      <c r="AR1981">
        <v>64</v>
      </c>
      <c r="AZ1981">
        <v>4552</v>
      </c>
      <c r="BA1981">
        <v>1</v>
      </c>
      <c r="BB1981" t="str">
        <f t="shared" si="508"/>
        <v xml:space="preserve">N607SR  </v>
      </c>
      <c r="BC1981">
        <v>1</v>
      </c>
      <c r="BE1981">
        <v>0</v>
      </c>
      <c r="BF1981">
        <v>0</v>
      </c>
      <c r="BG1981">
        <v>0</v>
      </c>
      <c r="BH1981">
        <v>2575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 t="shared" ref="BW1981:BW1986" si="542">"06:17:50.351"</f>
        <v>06:17:50.351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6</v>
      </c>
      <c r="CP1981" t="s">
        <v>119</v>
      </c>
      <c r="CQ1981">
        <v>465</v>
      </c>
      <c r="CR1981">
        <v>0</v>
      </c>
      <c r="CW1981">
        <v>4723645</v>
      </c>
      <c r="CY1981">
        <v>1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 t="shared" si="539"/>
        <v>08/29/2020 06:17:47.108</v>
      </c>
      <c r="C1982" t="str">
        <f t="shared" si="506"/>
        <v>FFDFD3C0</v>
      </c>
      <c r="D1982" t="s">
        <v>121</v>
      </c>
      <c r="E1982">
        <v>11</v>
      </c>
      <c r="F1982">
        <v>1011</v>
      </c>
      <c r="G1982" t="s">
        <v>125</v>
      </c>
      <c r="J1982" t="s">
        <v>123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540"/>
        <v>06:17:50.344</v>
      </c>
      <c r="T1982" t="str">
        <f t="shared" si="541"/>
        <v>06:17:49.944</v>
      </c>
      <c r="U1982" t="str">
        <f t="shared" si="507"/>
        <v>A7E2E0</v>
      </c>
      <c r="V1982">
        <v>0</v>
      </c>
      <c r="W1982">
        <v>0</v>
      </c>
      <c r="X1982">
        <v>1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0</v>
      </c>
      <c r="AI1982" t="s">
        <v>1197</v>
      </c>
      <c r="AJ1982">
        <v>38.971530999999999</v>
      </c>
      <c r="AK1982" t="s">
        <v>1198</v>
      </c>
      <c r="AL1982">
        <v>-87.598349999999996</v>
      </c>
      <c r="AM1982">
        <v>100</v>
      </c>
      <c r="AN1982">
        <v>2800</v>
      </c>
      <c r="AO1982" t="s">
        <v>118</v>
      </c>
      <c r="AP1982">
        <v>-86</v>
      </c>
      <c r="AQ1982">
        <v>-115</v>
      </c>
      <c r="AR1982">
        <v>64</v>
      </c>
      <c r="AZ1982">
        <v>4552</v>
      </c>
      <c r="BA1982">
        <v>1</v>
      </c>
      <c r="BB1982" t="str">
        <f t="shared" si="508"/>
        <v xml:space="preserve">N607SR  </v>
      </c>
      <c r="BC1982">
        <v>1</v>
      </c>
      <c r="BE1982">
        <v>0</v>
      </c>
      <c r="BF1982">
        <v>0</v>
      </c>
      <c r="BG1982">
        <v>0</v>
      </c>
      <c r="BH1982">
        <v>2575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 t="shared" si="542"/>
        <v>06:17:50.351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4</v>
      </c>
      <c r="CP1982" t="s">
        <v>119</v>
      </c>
      <c r="CQ1982">
        <v>177</v>
      </c>
      <c r="CR1982">
        <v>2</v>
      </c>
      <c r="CW1982">
        <v>1658695</v>
      </c>
      <c r="CY1982">
        <v>1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 t="shared" si="539"/>
        <v>08/29/2020 06:17:47.108</v>
      </c>
      <c r="C1983" t="str">
        <f t="shared" si="506"/>
        <v>FFDFD3C0</v>
      </c>
      <c r="D1983" t="s">
        <v>121</v>
      </c>
      <c r="E1983">
        <v>10</v>
      </c>
      <c r="F1983">
        <v>1010</v>
      </c>
      <c r="G1983" t="s">
        <v>114</v>
      </c>
      <c r="J1983" t="s">
        <v>123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540"/>
        <v>06:17:50.344</v>
      </c>
      <c r="T1983" t="str">
        <f t="shared" si="541"/>
        <v>06:17:49.944</v>
      </c>
      <c r="U1983" t="str">
        <f t="shared" si="507"/>
        <v>A7E2E0</v>
      </c>
      <c r="V1983">
        <v>0</v>
      </c>
      <c r="W1983">
        <v>0</v>
      </c>
      <c r="X1983">
        <v>1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0</v>
      </c>
      <c r="AI1983" t="s">
        <v>1197</v>
      </c>
      <c r="AJ1983">
        <v>38.971530999999999</v>
      </c>
      <c r="AK1983" t="s">
        <v>1198</v>
      </c>
      <c r="AL1983">
        <v>-87.598349999999996</v>
      </c>
      <c r="AM1983">
        <v>100</v>
      </c>
      <c r="AN1983">
        <v>2800</v>
      </c>
      <c r="AO1983" t="s">
        <v>118</v>
      </c>
      <c r="AP1983">
        <v>-86</v>
      </c>
      <c r="AQ1983">
        <v>-115</v>
      </c>
      <c r="AR1983">
        <v>64</v>
      </c>
      <c r="AZ1983">
        <v>4552</v>
      </c>
      <c r="BA1983">
        <v>1</v>
      </c>
      <c r="BB1983" t="str">
        <f t="shared" si="508"/>
        <v xml:space="preserve">N607SR  </v>
      </c>
      <c r="BC1983">
        <v>1</v>
      </c>
      <c r="BE1983">
        <v>0</v>
      </c>
      <c r="BF1983">
        <v>0</v>
      </c>
      <c r="BG1983">
        <v>0</v>
      </c>
      <c r="BH1983">
        <v>2575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 t="shared" si="542"/>
        <v>06:17:50.351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6</v>
      </c>
      <c r="CP1983" t="s">
        <v>119</v>
      </c>
      <c r="CQ1983">
        <v>465</v>
      </c>
      <c r="CR1983">
        <v>0</v>
      </c>
      <c r="CW1983">
        <v>4723645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 t="shared" si="539"/>
        <v>08/29/2020 06:17:47.108</v>
      </c>
      <c r="C1984" t="str">
        <f t="shared" si="506"/>
        <v>FFDFD3C0</v>
      </c>
      <c r="D1984" t="s">
        <v>113</v>
      </c>
      <c r="E1984">
        <v>5</v>
      </c>
      <c r="H1984">
        <v>163</v>
      </c>
      <c r="I1984" t="s">
        <v>114</v>
      </c>
      <c r="J1984" t="s">
        <v>115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540"/>
        <v>06:17:50.344</v>
      </c>
      <c r="T1984" t="str">
        <f t="shared" si="541"/>
        <v>06:17:49.944</v>
      </c>
      <c r="U1984" t="str">
        <f t="shared" si="507"/>
        <v>A7E2E0</v>
      </c>
      <c r="V1984">
        <v>0</v>
      </c>
      <c r="W1984">
        <v>0</v>
      </c>
      <c r="X1984">
        <v>1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0</v>
      </c>
      <c r="AI1984" t="s">
        <v>1197</v>
      </c>
      <c r="AJ1984">
        <v>38.971530999999999</v>
      </c>
      <c r="AK1984" t="s">
        <v>1198</v>
      </c>
      <c r="AL1984">
        <v>-87.598349999999996</v>
      </c>
      <c r="AM1984">
        <v>100</v>
      </c>
      <c r="AN1984">
        <v>2800</v>
      </c>
      <c r="AO1984" t="s">
        <v>118</v>
      </c>
      <c r="AP1984">
        <v>-86</v>
      </c>
      <c r="AQ1984">
        <v>-115</v>
      </c>
      <c r="AR1984">
        <v>64</v>
      </c>
      <c r="AZ1984">
        <v>4552</v>
      </c>
      <c r="BA1984">
        <v>1</v>
      </c>
      <c r="BB1984" t="str">
        <f t="shared" si="508"/>
        <v xml:space="preserve">N607SR  </v>
      </c>
      <c r="BC1984">
        <v>1</v>
      </c>
      <c r="BE1984">
        <v>0</v>
      </c>
      <c r="BF1984">
        <v>0</v>
      </c>
      <c r="BG1984">
        <v>0</v>
      </c>
      <c r="BH1984">
        <v>2575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 t="shared" si="542"/>
        <v>06:17:50.351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6</v>
      </c>
      <c r="CP1984" t="s">
        <v>119</v>
      </c>
      <c r="CQ1984">
        <v>465</v>
      </c>
      <c r="CR1984">
        <v>0</v>
      </c>
      <c r="CW1984">
        <v>4723645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 t="shared" si="539"/>
        <v>08/29/2020 06:17:47.108</v>
      </c>
      <c r="C1985" t="str">
        <f t="shared" si="506"/>
        <v>FFDFD3C0</v>
      </c>
      <c r="D1985" t="s">
        <v>121</v>
      </c>
      <c r="E1985">
        <v>13</v>
      </c>
      <c r="F1985">
        <v>1013</v>
      </c>
      <c r="G1985" t="s">
        <v>122</v>
      </c>
      <c r="J1985" t="s">
        <v>123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540"/>
        <v>06:17:50.344</v>
      </c>
      <c r="T1985" t="str">
        <f t="shared" si="541"/>
        <v>06:17:49.944</v>
      </c>
      <c r="U1985" t="str">
        <f t="shared" si="507"/>
        <v>A7E2E0</v>
      </c>
      <c r="V1985">
        <v>0</v>
      </c>
      <c r="W1985">
        <v>0</v>
      </c>
      <c r="X1985">
        <v>1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0</v>
      </c>
      <c r="AI1985" t="s">
        <v>1197</v>
      </c>
      <c r="AJ1985">
        <v>38.971530999999999</v>
      </c>
      <c r="AK1985" t="s">
        <v>1198</v>
      </c>
      <c r="AL1985">
        <v>-87.598349999999996</v>
      </c>
      <c r="AM1985">
        <v>100</v>
      </c>
      <c r="AN1985">
        <v>2800</v>
      </c>
      <c r="AO1985" t="s">
        <v>118</v>
      </c>
      <c r="AP1985">
        <v>-86</v>
      </c>
      <c r="AQ1985">
        <v>-115</v>
      </c>
      <c r="AR1985">
        <v>64</v>
      </c>
      <c r="AZ1985">
        <v>4552</v>
      </c>
      <c r="BA1985">
        <v>1</v>
      </c>
      <c r="BB1985" t="str">
        <f t="shared" si="508"/>
        <v xml:space="preserve">N607SR  </v>
      </c>
      <c r="BC1985">
        <v>1</v>
      </c>
      <c r="BE1985">
        <v>0</v>
      </c>
      <c r="BF1985">
        <v>0</v>
      </c>
      <c r="BG1985">
        <v>0</v>
      </c>
      <c r="BH1985">
        <v>2575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 t="shared" si="542"/>
        <v>06:17:50.351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6</v>
      </c>
      <c r="CP1985" t="s">
        <v>119</v>
      </c>
      <c r="CQ1985">
        <v>465</v>
      </c>
      <c r="CR1985">
        <v>0</v>
      </c>
      <c r="CW1985">
        <v>4723645</v>
      </c>
      <c r="CY1985">
        <v>1</v>
      </c>
      <c r="CZ1985">
        <v>0</v>
      </c>
      <c r="DA1985">
        <v>1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 t="shared" si="539"/>
        <v>08/29/2020 06:17:47.108</v>
      </c>
      <c r="C1986" t="str">
        <f t="shared" ref="C1986:C2049" si="543">"FFDFD3C0"</f>
        <v>FFDFD3C0</v>
      </c>
      <c r="D1986" t="s">
        <v>128</v>
      </c>
      <c r="E1986">
        <v>5</v>
      </c>
      <c r="H1986">
        <v>241</v>
      </c>
      <c r="I1986" t="s">
        <v>129</v>
      </c>
      <c r="J1986" t="s">
        <v>130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540"/>
        <v>06:17:50.344</v>
      </c>
      <c r="T1986" t="str">
        <f t="shared" si="541"/>
        <v>06:17:49.944</v>
      </c>
      <c r="U1986" t="str">
        <f t="shared" ref="U1986:U2049" si="544">"A7E2E0"</f>
        <v>A7E2E0</v>
      </c>
      <c r="V1986">
        <v>0</v>
      </c>
      <c r="W1986">
        <v>0</v>
      </c>
      <c r="X1986">
        <v>1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0</v>
      </c>
      <c r="AI1986" t="s">
        <v>1197</v>
      </c>
      <c r="AJ1986">
        <v>38.971530999999999</v>
      </c>
      <c r="AK1986" t="s">
        <v>1198</v>
      </c>
      <c r="AL1986">
        <v>-87.598349999999996</v>
      </c>
      <c r="AM1986">
        <v>100</v>
      </c>
      <c r="AN1986">
        <v>2800</v>
      </c>
      <c r="AO1986" t="s">
        <v>118</v>
      </c>
      <c r="AP1986">
        <v>-86</v>
      </c>
      <c r="AQ1986">
        <v>-115</v>
      </c>
      <c r="AR1986">
        <v>64</v>
      </c>
      <c r="AZ1986">
        <v>4552</v>
      </c>
      <c r="BA1986">
        <v>1</v>
      </c>
      <c r="BB1986" t="str">
        <f t="shared" ref="BB1986:BB2049" si="545">"N607SR  "</f>
        <v xml:space="preserve">N607SR  </v>
      </c>
      <c r="BC1986">
        <v>1</v>
      </c>
      <c r="BE1986">
        <v>0</v>
      </c>
      <c r="BF1986">
        <v>0</v>
      </c>
      <c r="BG1986">
        <v>0</v>
      </c>
      <c r="BH1986">
        <v>2575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 t="shared" si="542"/>
        <v>06:17:50.351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6</v>
      </c>
      <c r="CP1986" t="s">
        <v>119</v>
      </c>
      <c r="CQ1986">
        <v>465</v>
      </c>
      <c r="CR1986">
        <v>0</v>
      </c>
      <c r="CW1986">
        <v>4723645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"08/29/2020 06:17:48.126"</f>
        <v>08/29/2020 06:17:48.126</v>
      </c>
      <c r="C1987" t="str">
        <f t="shared" si="543"/>
        <v>FFDFD3C0</v>
      </c>
      <c r="D1987" t="s">
        <v>121</v>
      </c>
      <c r="E1987">
        <v>10</v>
      </c>
      <c r="F1987">
        <v>1010</v>
      </c>
      <c r="G1987" t="s">
        <v>114</v>
      </c>
      <c r="J1987" t="s">
        <v>123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"06:17:51.359"</f>
        <v>06:17:51.359</v>
      </c>
      <c r="T1987" t="str">
        <f>"06:17:50.859"</f>
        <v>06:17:50.859</v>
      </c>
      <c r="U1987" t="str">
        <f t="shared" si="544"/>
        <v>A7E2E0</v>
      </c>
      <c r="V1987">
        <v>0</v>
      </c>
      <c r="W1987">
        <v>0</v>
      </c>
      <c r="X1987">
        <v>1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0</v>
      </c>
      <c r="AI1987" t="s">
        <v>1199</v>
      </c>
      <c r="AJ1987">
        <v>38.970973000000001</v>
      </c>
      <c r="AK1987" t="s">
        <v>1200</v>
      </c>
      <c r="AL1987">
        <v>-87.598885999999993</v>
      </c>
      <c r="AM1987">
        <v>100</v>
      </c>
      <c r="AN1987">
        <v>2800</v>
      </c>
      <c r="AO1987" t="s">
        <v>118</v>
      </c>
      <c r="AP1987">
        <v>-86</v>
      </c>
      <c r="AQ1987">
        <v>-115</v>
      </c>
      <c r="AR1987">
        <v>64</v>
      </c>
      <c r="AZ1987">
        <v>4552</v>
      </c>
      <c r="BA1987">
        <v>1</v>
      </c>
      <c r="BB1987" t="str">
        <f t="shared" si="545"/>
        <v xml:space="preserve">N607SR  </v>
      </c>
      <c r="BC1987">
        <v>1</v>
      </c>
      <c r="BE1987">
        <v>0</v>
      </c>
      <c r="BF1987">
        <v>0</v>
      </c>
      <c r="BG1987">
        <v>0</v>
      </c>
      <c r="BH1987">
        <v>2575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"06:17:51.364"</f>
        <v>06:17:51.364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5</v>
      </c>
      <c r="CP1987" t="s">
        <v>119</v>
      </c>
      <c r="CQ1987">
        <v>517</v>
      </c>
      <c r="CR1987">
        <v>1</v>
      </c>
      <c r="CW1987">
        <v>2484015</v>
      </c>
      <c r="CY1987">
        <v>1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"08/29/2020 06:17:48.126"</f>
        <v>08/29/2020 06:17:48.126</v>
      </c>
      <c r="C1988" t="str">
        <f t="shared" si="543"/>
        <v>FFDFD3C0</v>
      </c>
      <c r="D1988" t="s">
        <v>121</v>
      </c>
      <c r="E1988">
        <v>11</v>
      </c>
      <c r="F1988">
        <v>1011</v>
      </c>
      <c r="G1988" t="s">
        <v>125</v>
      </c>
      <c r="J1988" t="s">
        <v>123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"06:17:51.359"</f>
        <v>06:17:51.359</v>
      </c>
      <c r="T1988" t="str">
        <f>"06:17:50.859"</f>
        <v>06:17:50.859</v>
      </c>
      <c r="U1988" t="str">
        <f t="shared" si="544"/>
        <v>A7E2E0</v>
      </c>
      <c r="V1988">
        <v>0</v>
      </c>
      <c r="W1988">
        <v>0</v>
      </c>
      <c r="X1988">
        <v>1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0</v>
      </c>
      <c r="AI1988" t="s">
        <v>1199</v>
      </c>
      <c r="AJ1988">
        <v>38.970973000000001</v>
      </c>
      <c r="AK1988" t="s">
        <v>1200</v>
      </c>
      <c r="AL1988">
        <v>-87.598885999999993</v>
      </c>
      <c r="AM1988">
        <v>100</v>
      </c>
      <c r="AN1988">
        <v>2800</v>
      </c>
      <c r="AO1988" t="s">
        <v>118</v>
      </c>
      <c r="AP1988">
        <v>-86</v>
      </c>
      <c r="AQ1988">
        <v>-115</v>
      </c>
      <c r="AR1988">
        <v>64</v>
      </c>
      <c r="AZ1988">
        <v>4552</v>
      </c>
      <c r="BA1988">
        <v>1</v>
      </c>
      <c r="BB1988" t="str">
        <f t="shared" si="545"/>
        <v xml:space="preserve">N607SR  </v>
      </c>
      <c r="BC1988">
        <v>1</v>
      </c>
      <c r="BE1988">
        <v>0</v>
      </c>
      <c r="BF1988">
        <v>0</v>
      </c>
      <c r="BG1988">
        <v>0</v>
      </c>
      <c r="BH1988">
        <v>2575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"06:17:51.364"</f>
        <v>06:17:51.364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4</v>
      </c>
      <c r="CP1988" t="s">
        <v>119</v>
      </c>
      <c r="CQ1988">
        <v>177</v>
      </c>
      <c r="CR1988">
        <v>2</v>
      </c>
      <c r="CW1988">
        <v>1658849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"08/29/2020 06:17:48.126"</f>
        <v>08/29/2020 06:17:48.126</v>
      </c>
      <c r="C1989" t="str">
        <f t="shared" si="543"/>
        <v>FFDFD3C0</v>
      </c>
      <c r="D1989" t="s">
        <v>113</v>
      </c>
      <c r="E1989">
        <v>5</v>
      </c>
      <c r="H1989">
        <v>163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"06:17:51.359"</f>
        <v>06:17:51.359</v>
      </c>
      <c r="T1989" t="str">
        <f>"06:17:50.859"</f>
        <v>06:17:50.859</v>
      </c>
      <c r="U1989" t="str">
        <f t="shared" si="544"/>
        <v>A7E2E0</v>
      </c>
      <c r="V1989">
        <v>0</v>
      </c>
      <c r="W1989">
        <v>0</v>
      </c>
      <c r="X1989">
        <v>1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0</v>
      </c>
      <c r="AI1989" t="s">
        <v>1199</v>
      </c>
      <c r="AJ1989">
        <v>38.970973000000001</v>
      </c>
      <c r="AK1989" t="s">
        <v>1200</v>
      </c>
      <c r="AL1989">
        <v>-87.598885999999993</v>
      </c>
      <c r="AM1989">
        <v>100</v>
      </c>
      <c r="AN1989">
        <v>2800</v>
      </c>
      <c r="AO1989" t="s">
        <v>118</v>
      </c>
      <c r="AP1989">
        <v>-86</v>
      </c>
      <c r="AQ1989">
        <v>-115</v>
      </c>
      <c r="AR1989">
        <v>64</v>
      </c>
      <c r="AZ1989">
        <v>4552</v>
      </c>
      <c r="BA1989">
        <v>1</v>
      </c>
      <c r="BB1989" t="str">
        <f t="shared" si="545"/>
        <v xml:space="preserve">N607SR  </v>
      </c>
      <c r="BC1989">
        <v>1</v>
      </c>
      <c r="BE1989">
        <v>0</v>
      </c>
      <c r="BF1989">
        <v>0</v>
      </c>
      <c r="BG1989">
        <v>0</v>
      </c>
      <c r="BH1989">
        <v>2575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"06:17:51.364"</f>
        <v>06:17:51.364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5</v>
      </c>
      <c r="CP1989" t="s">
        <v>119</v>
      </c>
      <c r="CQ1989">
        <v>517</v>
      </c>
      <c r="CR1989">
        <v>1</v>
      </c>
      <c r="CW1989">
        <v>2484015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"08/29/2020 06:17:48.126"</f>
        <v>08/29/2020 06:17:48.126</v>
      </c>
      <c r="C1990" t="str">
        <f t="shared" si="543"/>
        <v>FFDFD3C0</v>
      </c>
      <c r="D1990" t="s">
        <v>121</v>
      </c>
      <c r="E1990">
        <v>13</v>
      </c>
      <c r="F1990">
        <v>1013</v>
      </c>
      <c r="G1990" t="s">
        <v>122</v>
      </c>
      <c r="J1990" t="s">
        <v>123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"06:17:51.359"</f>
        <v>06:17:51.359</v>
      </c>
      <c r="T1990" t="str">
        <f>"06:17:50.859"</f>
        <v>06:17:50.859</v>
      </c>
      <c r="U1990" t="str">
        <f t="shared" si="544"/>
        <v>A7E2E0</v>
      </c>
      <c r="V1990">
        <v>0</v>
      </c>
      <c r="W1990">
        <v>0</v>
      </c>
      <c r="X1990">
        <v>1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0</v>
      </c>
      <c r="AI1990" t="s">
        <v>1199</v>
      </c>
      <c r="AJ1990">
        <v>38.970973000000001</v>
      </c>
      <c r="AK1990" t="s">
        <v>1200</v>
      </c>
      <c r="AL1990">
        <v>-87.598885999999993</v>
      </c>
      <c r="AM1990">
        <v>100</v>
      </c>
      <c r="AN1990">
        <v>2800</v>
      </c>
      <c r="AO1990" t="s">
        <v>118</v>
      </c>
      <c r="AP1990">
        <v>-86</v>
      </c>
      <c r="AQ1990">
        <v>-115</v>
      </c>
      <c r="AR1990">
        <v>64</v>
      </c>
      <c r="AZ1990">
        <v>4552</v>
      </c>
      <c r="BA1990">
        <v>1</v>
      </c>
      <c r="BB1990" t="str">
        <f t="shared" si="545"/>
        <v xml:space="preserve">N607SR  </v>
      </c>
      <c r="BC1990">
        <v>1</v>
      </c>
      <c r="BE1990">
        <v>0</v>
      </c>
      <c r="BF1990">
        <v>0</v>
      </c>
      <c r="BG1990">
        <v>0</v>
      </c>
      <c r="BH1990">
        <v>2575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"06:17:51.364"</f>
        <v>06:17:51.364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5</v>
      </c>
      <c r="CP1990" t="s">
        <v>119</v>
      </c>
      <c r="CQ1990">
        <v>517</v>
      </c>
      <c r="CR1990">
        <v>1</v>
      </c>
      <c r="CW1990">
        <v>2484015</v>
      </c>
      <c r="CY1990">
        <v>1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"08/29/2020 06:17:48.126"</f>
        <v>08/29/2020 06:17:48.126</v>
      </c>
      <c r="C1991" t="str">
        <f t="shared" si="543"/>
        <v>FFDFD3C0</v>
      </c>
      <c r="D1991" t="s">
        <v>128</v>
      </c>
      <c r="E1991">
        <v>5</v>
      </c>
      <c r="H1991">
        <v>241</v>
      </c>
      <c r="I1991" t="s">
        <v>129</v>
      </c>
      <c r="J1991" t="s">
        <v>130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"06:17:51.359"</f>
        <v>06:17:51.359</v>
      </c>
      <c r="T1991" t="str">
        <f>"06:17:50.859"</f>
        <v>06:17:50.859</v>
      </c>
      <c r="U1991" t="str">
        <f t="shared" si="544"/>
        <v>A7E2E0</v>
      </c>
      <c r="V1991">
        <v>0</v>
      </c>
      <c r="W1991">
        <v>0</v>
      </c>
      <c r="X1991">
        <v>1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0</v>
      </c>
      <c r="AI1991" t="s">
        <v>1199</v>
      </c>
      <c r="AJ1991">
        <v>38.970973000000001</v>
      </c>
      <c r="AK1991" t="s">
        <v>1200</v>
      </c>
      <c r="AL1991">
        <v>-87.598885999999993</v>
      </c>
      <c r="AM1991">
        <v>100</v>
      </c>
      <c r="AN1991">
        <v>2800</v>
      </c>
      <c r="AO1991" t="s">
        <v>118</v>
      </c>
      <c r="AP1991">
        <v>-86</v>
      </c>
      <c r="AQ1991">
        <v>-115</v>
      </c>
      <c r="AR1991">
        <v>64</v>
      </c>
      <c r="AZ1991">
        <v>4552</v>
      </c>
      <c r="BA1991">
        <v>1</v>
      </c>
      <c r="BB1991" t="str">
        <f t="shared" si="545"/>
        <v xml:space="preserve">N607SR  </v>
      </c>
      <c r="BC1991">
        <v>1</v>
      </c>
      <c r="BE1991">
        <v>0</v>
      </c>
      <c r="BF1991">
        <v>0</v>
      </c>
      <c r="BG1991">
        <v>0</v>
      </c>
      <c r="BH1991">
        <v>2575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"06:17:51.364"</f>
        <v>06:17:51.364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5</v>
      </c>
      <c r="CP1991" t="s">
        <v>119</v>
      </c>
      <c r="CQ1991">
        <v>517</v>
      </c>
      <c r="CR1991">
        <v>1</v>
      </c>
      <c r="CW1991">
        <v>2484015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 t="shared" ref="A1992:A1997" si="546">"08/29/2020 06:17:49.189"</f>
        <v>08/29/2020 06:17:49.189</v>
      </c>
      <c r="C1992" t="str">
        <f t="shared" si="543"/>
        <v>FFDFD3C0</v>
      </c>
      <c r="D1992" t="s">
        <v>121</v>
      </c>
      <c r="E1992">
        <v>10</v>
      </c>
      <c r="F1992">
        <v>1010</v>
      </c>
      <c r="G1992" t="s">
        <v>114</v>
      </c>
      <c r="J1992" t="s">
        <v>123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ref="S1992:S1997" si="547">"06:17:52.406"</f>
        <v>06:17:52.406</v>
      </c>
      <c r="T1992" t="str">
        <f t="shared" ref="T1992:T1997" si="548">"06:17:51.906"</f>
        <v>06:17:51.906</v>
      </c>
      <c r="U1992" t="str">
        <f t="shared" si="544"/>
        <v>A7E2E0</v>
      </c>
      <c r="V1992">
        <v>0</v>
      </c>
      <c r="W1992">
        <v>0</v>
      </c>
      <c r="X1992">
        <v>1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0</v>
      </c>
      <c r="AI1992" t="s">
        <v>1201</v>
      </c>
      <c r="AJ1992">
        <v>38.970416</v>
      </c>
      <c r="AK1992" t="s">
        <v>1202</v>
      </c>
      <c r="AL1992">
        <v>-87.599423000000002</v>
      </c>
      <c r="AM1992">
        <v>100</v>
      </c>
      <c r="AN1992">
        <v>2800</v>
      </c>
      <c r="AO1992" t="s">
        <v>118</v>
      </c>
      <c r="AP1992">
        <v>-86</v>
      </c>
      <c r="AQ1992">
        <v>-114</v>
      </c>
      <c r="AR1992">
        <v>64</v>
      </c>
      <c r="AZ1992">
        <v>4552</v>
      </c>
      <c r="BA1992">
        <v>1</v>
      </c>
      <c r="BB1992" t="str">
        <f t="shared" si="545"/>
        <v xml:space="preserve">N607SR  </v>
      </c>
      <c r="BC1992">
        <v>1</v>
      </c>
      <c r="BE1992">
        <v>0</v>
      </c>
      <c r="BF1992">
        <v>0</v>
      </c>
      <c r="BG1992">
        <v>0</v>
      </c>
      <c r="BH1992">
        <v>2575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"06:17:52.412"</f>
        <v>06:17:52.412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6</v>
      </c>
      <c r="CP1992" t="s">
        <v>119</v>
      </c>
      <c r="CQ1992">
        <v>465</v>
      </c>
      <c r="CR1992">
        <v>0</v>
      </c>
      <c r="CW1992">
        <v>4723709</v>
      </c>
      <c r="CY1992">
        <v>1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 t="shared" si="546"/>
        <v>08/29/2020 06:17:49.189</v>
      </c>
      <c r="C1993" t="str">
        <f t="shared" si="543"/>
        <v>FFDFD3C0</v>
      </c>
      <c r="D1993" t="s">
        <v>113</v>
      </c>
      <c r="E1993">
        <v>5</v>
      </c>
      <c r="H1993">
        <v>163</v>
      </c>
      <c r="I1993" t="s">
        <v>114</v>
      </c>
      <c r="J1993" t="s">
        <v>115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547"/>
        <v>06:17:52.406</v>
      </c>
      <c r="T1993" t="str">
        <f t="shared" si="548"/>
        <v>06:17:51.906</v>
      </c>
      <c r="U1993" t="str">
        <f t="shared" si="544"/>
        <v>A7E2E0</v>
      </c>
      <c r="V1993">
        <v>0</v>
      </c>
      <c r="W1993">
        <v>0</v>
      </c>
      <c r="X1993">
        <v>1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0</v>
      </c>
      <c r="AI1993" t="s">
        <v>1201</v>
      </c>
      <c r="AJ1993">
        <v>38.970416</v>
      </c>
      <c r="AK1993" t="s">
        <v>1202</v>
      </c>
      <c r="AL1993">
        <v>-87.599423000000002</v>
      </c>
      <c r="AM1993">
        <v>100</v>
      </c>
      <c r="AN1993">
        <v>2800</v>
      </c>
      <c r="AO1993" t="s">
        <v>118</v>
      </c>
      <c r="AP1993">
        <v>-86</v>
      </c>
      <c r="AQ1993">
        <v>-114</v>
      </c>
      <c r="AR1993">
        <v>64</v>
      </c>
      <c r="AZ1993">
        <v>4552</v>
      </c>
      <c r="BA1993">
        <v>1</v>
      </c>
      <c r="BB1993" t="str">
        <f t="shared" si="545"/>
        <v xml:space="preserve">N607SR  </v>
      </c>
      <c r="BC1993">
        <v>1</v>
      </c>
      <c r="BE1993">
        <v>0</v>
      </c>
      <c r="BF1993">
        <v>0</v>
      </c>
      <c r="BG1993">
        <v>0</v>
      </c>
      <c r="BH1993">
        <v>2575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"06:17:52.412"</f>
        <v>06:17:52.412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6</v>
      </c>
      <c r="CP1993" t="s">
        <v>119</v>
      </c>
      <c r="CQ1993">
        <v>465</v>
      </c>
      <c r="CR1993">
        <v>0</v>
      </c>
      <c r="CW1993">
        <v>4723709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 t="shared" si="546"/>
        <v>08/29/2020 06:17:49.189</v>
      </c>
      <c r="C1994" t="str">
        <f t="shared" si="543"/>
        <v>FFDFD3C0</v>
      </c>
      <c r="D1994" t="s">
        <v>121</v>
      </c>
      <c r="E1994">
        <v>13</v>
      </c>
      <c r="F1994">
        <v>1013</v>
      </c>
      <c r="G1994" t="s">
        <v>122</v>
      </c>
      <c r="J1994" t="s">
        <v>123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547"/>
        <v>06:17:52.406</v>
      </c>
      <c r="T1994" t="str">
        <f t="shared" si="548"/>
        <v>06:17:51.906</v>
      </c>
      <c r="U1994" t="str">
        <f t="shared" si="544"/>
        <v>A7E2E0</v>
      </c>
      <c r="V1994">
        <v>0</v>
      </c>
      <c r="W1994">
        <v>0</v>
      </c>
      <c r="X1994">
        <v>1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0</v>
      </c>
      <c r="AI1994" t="s">
        <v>1201</v>
      </c>
      <c r="AJ1994">
        <v>38.970416</v>
      </c>
      <c r="AK1994" t="s">
        <v>1202</v>
      </c>
      <c r="AL1994">
        <v>-87.599423000000002</v>
      </c>
      <c r="AM1994">
        <v>100</v>
      </c>
      <c r="AN1994">
        <v>2800</v>
      </c>
      <c r="AO1994" t="s">
        <v>118</v>
      </c>
      <c r="AP1994">
        <v>-86</v>
      </c>
      <c r="AQ1994">
        <v>-114</v>
      </c>
      <c r="AR1994">
        <v>64</v>
      </c>
      <c r="AZ1994">
        <v>4552</v>
      </c>
      <c r="BA1994">
        <v>1</v>
      </c>
      <c r="BB1994" t="str">
        <f t="shared" si="545"/>
        <v xml:space="preserve">N607SR  </v>
      </c>
      <c r="BC1994">
        <v>1</v>
      </c>
      <c r="BE1994">
        <v>0</v>
      </c>
      <c r="BF1994">
        <v>0</v>
      </c>
      <c r="BG1994">
        <v>0</v>
      </c>
      <c r="BH1994">
        <v>2575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"06:17:52.412"</f>
        <v>06:17:52.412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6</v>
      </c>
      <c r="CP1994" t="s">
        <v>119</v>
      </c>
      <c r="CQ1994">
        <v>465</v>
      </c>
      <c r="CR1994">
        <v>0</v>
      </c>
      <c r="CW1994">
        <v>4723709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 t="shared" si="546"/>
        <v>08/29/2020 06:17:49.189</v>
      </c>
      <c r="C1995" t="str">
        <f t="shared" si="543"/>
        <v>FFDFD3C0</v>
      </c>
      <c r="D1995" t="s">
        <v>128</v>
      </c>
      <c r="E1995">
        <v>5</v>
      </c>
      <c r="H1995">
        <v>241</v>
      </c>
      <c r="I1995" t="s">
        <v>129</v>
      </c>
      <c r="J1995" t="s">
        <v>130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547"/>
        <v>06:17:52.406</v>
      </c>
      <c r="T1995" t="str">
        <f t="shared" si="548"/>
        <v>06:17:51.906</v>
      </c>
      <c r="U1995" t="str">
        <f t="shared" si="544"/>
        <v>A7E2E0</v>
      </c>
      <c r="V1995">
        <v>0</v>
      </c>
      <c r="W1995">
        <v>0</v>
      </c>
      <c r="X1995">
        <v>1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0</v>
      </c>
      <c r="AI1995" t="s">
        <v>1201</v>
      </c>
      <c r="AJ1995">
        <v>38.970416</v>
      </c>
      <c r="AK1995" t="s">
        <v>1202</v>
      </c>
      <c r="AL1995">
        <v>-87.599423000000002</v>
      </c>
      <c r="AM1995">
        <v>100</v>
      </c>
      <c r="AN1995">
        <v>2800</v>
      </c>
      <c r="AO1995" t="s">
        <v>118</v>
      </c>
      <c r="AP1995">
        <v>-86</v>
      </c>
      <c r="AQ1995">
        <v>-114</v>
      </c>
      <c r="AR1995">
        <v>64</v>
      </c>
      <c r="AZ1995">
        <v>4552</v>
      </c>
      <c r="BA1995">
        <v>1</v>
      </c>
      <c r="BB1995" t="str">
        <f t="shared" si="545"/>
        <v xml:space="preserve">N607SR  </v>
      </c>
      <c r="BC1995">
        <v>1</v>
      </c>
      <c r="BE1995">
        <v>0</v>
      </c>
      <c r="BF1995">
        <v>0</v>
      </c>
      <c r="BG1995">
        <v>0</v>
      </c>
      <c r="BH1995">
        <v>2575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>"06:17:52.412"</f>
        <v>06:17:52.412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6</v>
      </c>
      <c r="CP1995" t="s">
        <v>119</v>
      </c>
      <c r="CQ1995">
        <v>465</v>
      </c>
      <c r="CR1995">
        <v>0</v>
      </c>
      <c r="CW1995">
        <v>4723709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 t="shared" si="546"/>
        <v>08/29/2020 06:17:49.189</v>
      </c>
      <c r="C1996" t="str">
        <f t="shared" si="543"/>
        <v>FFDFD3C0</v>
      </c>
      <c r="D1996" t="s">
        <v>939</v>
      </c>
      <c r="E1996">
        <v>10</v>
      </c>
      <c r="H1996">
        <v>79</v>
      </c>
      <c r="I1996" t="s">
        <v>940</v>
      </c>
      <c r="J1996" t="s">
        <v>130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547"/>
        <v>06:17:52.406</v>
      </c>
      <c r="T1996" t="str">
        <f t="shared" si="548"/>
        <v>06:17:51.906</v>
      </c>
      <c r="U1996" t="str">
        <f t="shared" si="544"/>
        <v>A7E2E0</v>
      </c>
      <c r="V1996">
        <v>0</v>
      </c>
      <c r="W1996">
        <v>0</v>
      </c>
      <c r="X1996">
        <v>1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0</v>
      </c>
      <c r="AI1996" t="s">
        <v>1201</v>
      </c>
      <c r="AJ1996">
        <v>38.970416</v>
      </c>
      <c r="AK1996" t="s">
        <v>1202</v>
      </c>
      <c r="AL1996">
        <v>-87.599423000000002</v>
      </c>
      <c r="AM1996">
        <v>100</v>
      </c>
      <c r="AN1996">
        <v>2800</v>
      </c>
      <c r="AO1996" t="s">
        <v>118</v>
      </c>
      <c r="AP1996">
        <v>-86</v>
      </c>
      <c r="AQ1996">
        <v>-114</v>
      </c>
      <c r="AR1996">
        <v>64</v>
      </c>
      <c r="AZ1996">
        <v>4552</v>
      </c>
      <c r="BA1996">
        <v>1</v>
      </c>
      <c r="BB1996" t="str">
        <f t="shared" si="545"/>
        <v xml:space="preserve">N607SR  </v>
      </c>
      <c r="BC1996">
        <v>1</v>
      </c>
      <c r="BE1996">
        <v>0</v>
      </c>
      <c r="BF1996">
        <v>0</v>
      </c>
      <c r="BG1996">
        <v>0</v>
      </c>
      <c r="BH1996">
        <v>2575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>"06:17:52.412"</f>
        <v>06:17:52.412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6</v>
      </c>
      <c r="CP1996" t="s">
        <v>119</v>
      </c>
      <c r="CQ1996">
        <v>465</v>
      </c>
      <c r="CR1996">
        <v>0</v>
      </c>
      <c r="CW1996">
        <v>4723709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 t="shared" si="546"/>
        <v>08/29/2020 06:17:49.189</v>
      </c>
      <c r="C1997" t="str">
        <f t="shared" si="543"/>
        <v>FFDFD3C0</v>
      </c>
      <c r="D1997" t="s">
        <v>121</v>
      </c>
      <c r="E1997">
        <v>11</v>
      </c>
      <c r="F1997">
        <v>1011</v>
      </c>
      <c r="G1997" t="s">
        <v>125</v>
      </c>
      <c r="J1997" t="s">
        <v>123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547"/>
        <v>06:17:52.406</v>
      </c>
      <c r="T1997" t="str">
        <f t="shared" si="548"/>
        <v>06:17:51.906</v>
      </c>
      <c r="U1997" t="str">
        <f t="shared" si="544"/>
        <v>A7E2E0</v>
      </c>
      <c r="V1997">
        <v>0</v>
      </c>
      <c r="W1997">
        <v>0</v>
      </c>
      <c r="X1997">
        <v>1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0</v>
      </c>
      <c r="AI1997" t="s">
        <v>1201</v>
      </c>
      <c r="AJ1997">
        <v>38.970416</v>
      </c>
      <c r="AK1997" t="s">
        <v>1202</v>
      </c>
      <c r="AL1997">
        <v>-87.599423000000002</v>
      </c>
      <c r="AM1997">
        <v>100</v>
      </c>
      <c r="AN1997">
        <v>2800</v>
      </c>
      <c r="AO1997" t="s">
        <v>118</v>
      </c>
      <c r="AP1997">
        <v>-86</v>
      </c>
      <c r="AQ1997">
        <v>-114</v>
      </c>
      <c r="AR1997">
        <v>64</v>
      </c>
      <c r="AZ1997">
        <v>4552</v>
      </c>
      <c r="BA1997">
        <v>1</v>
      </c>
      <c r="BB1997" t="str">
        <f t="shared" si="545"/>
        <v xml:space="preserve">N607SR  </v>
      </c>
      <c r="BC1997">
        <v>1</v>
      </c>
      <c r="BE1997">
        <v>0</v>
      </c>
      <c r="BF1997">
        <v>0</v>
      </c>
      <c r="BG1997">
        <v>0</v>
      </c>
      <c r="BH1997">
        <v>2575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>"06:17:52.413"</f>
        <v>06:17:52.413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4</v>
      </c>
      <c r="CP1997" t="s">
        <v>119</v>
      </c>
      <c r="CQ1997">
        <v>177</v>
      </c>
      <c r="CR1997">
        <v>2</v>
      </c>
      <c r="CW1997">
        <v>1659025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 t="shared" ref="A1998:A2003" si="549">"08/29/2020 06:17:50.379"</f>
        <v>08/29/2020 06:17:50.379</v>
      </c>
      <c r="C1998" t="str">
        <f t="shared" si="543"/>
        <v>FFDFD3C0</v>
      </c>
      <c r="D1998" t="s">
        <v>939</v>
      </c>
      <c r="E1998">
        <v>10</v>
      </c>
      <c r="H1998">
        <v>79</v>
      </c>
      <c r="I1998" t="s">
        <v>940</v>
      </c>
      <c r="J1998" t="s">
        <v>130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ref="S1998:S2003" si="550">"06:17:53.563"</f>
        <v>06:17:53.563</v>
      </c>
      <c r="T1998" t="str">
        <f>"06:17:53.063"</f>
        <v>06:17:53.063</v>
      </c>
      <c r="U1998" t="str">
        <f t="shared" si="544"/>
        <v>A7E2E0</v>
      </c>
      <c r="V1998">
        <v>0</v>
      </c>
      <c r="W1998">
        <v>0</v>
      </c>
      <c r="X1998">
        <v>1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0</v>
      </c>
      <c r="AI1998" t="s">
        <v>1203</v>
      </c>
      <c r="AJ1998">
        <v>38.969836000000001</v>
      </c>
      <c r="AK1998" t="s">
        <v>1204</v>
      </c>
      <c r="AL1998">
        <v>-87.599958999999998</v>
      </c>
      <c r="AM1998">
        <v>100</v>
      </c>
      <c r="AN1998">
        <v>2800</v>
      </c>
      <c r="AO1998" t="s">
        <v>118</v>
      </c>
      <c r="AP1998">
        <v>-86</v>
      </c>
      <c r="AQ1998">
        <v>-114</v>
      </c>
      <c r="AR1998">
        <v>64</v>
      </c>
      <c r="AZ1998">
        <v>4552</v>
      </c>
      <c r="BA1998">
        <v>1</v>
      </c>
      <c r="BB1998" t="str">
        <f t="shared" si="545"/>
        <v xml:space="preserve">N607SR  </v>
      </c>
      <c r="BC1998">
        <v>1</v>
      </c>
      <c r="BE1998">
        <v>0</v>
      </c>
      <c r="BF1998">
        <v>0</v>
      </c>
      <c r="BG1998">
        <v>0</v>
      </c>
      <c r="BH1998">
        <v>2675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 t="shared" ref="BW1998:BW2003" si="551">"06:17:53.568"</f>
        <v>06:17:53.568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6</v>
      </c>
      <c r="CP1998" t="s">
        <v>119</v>
      </c>
      <c r="CQ1998">
        <v>465</v>
      </c>
      <c r="CR1998">
        <v>0</v>
      </c>
      <c r="CW1998">
        <v>4723743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 t="shared" si="549"/>
        <v>08/29/2020 06:17:50.379</v>
      </c>
      <c r="C1999" t="str">
        <f t="shared" si="543"/>
        <v>FFDFD3C0</v>
      </c>
      <c r="D1999" t="s">
        <v>121</v>
      </c>
      <c r="E1999">
        <v>11</v>
      </c>
      <c r="F1999">
        <v>1011</v>
      </c>
      <c r="G1999" t="s">
        <v>125</v>
      </c>
      <c r="J1999" t="s">
        <v>123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550"/>
        <v>06:17:53.563</v>
      </c>
      <c r="T1999" t="str">
        <f>"06:17:53.063"</f>
        <v>06:17:53.063</v>
      </c>
      <c r="U1999" t="str">
        <f t="shared" si="544"/>
        <v>A7E2E0</v>
      </c>
      <c r="V1999">
        <v>0</v>
      </c>
      <c r="W1999">
        <v>0</v>
      </c>
      <c r="X1999">
        <v>1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0</v>
      </c>
      <c r="AI1999" t="s">
        <v>1203</v>
      </c>
      <c r="AJ1999">
        <v>38.969836000000001</v>
      </c>
      <c r="AK1999" t="s">
        <v>1204</v>
      </c>
      <c r="AL1999">
        <v>-87.599958999999998</v>
      </c>
      <c r="AM1999">
        <v>100</v>
      </c>
      <c r="AN1999">
        <v>2800</v>
      </c>
      <c r="AO1999" t="s">
        <v>118</v>
      </c>
      <c r="AP1999">
        <v>-86</v>
      </c>
      <c r="AQ1999">
        <v>-114</v>
      </c>
      <c r="AR1999">
        <v>64</v>
      </c>
      <c r="AZ1999">
        <v>4552</v>
      </c>
      <c r="BA1999">
        <v>1</v>
      </c>
      <c r="BB1999" t="str">
        <f t="shared" si="545"/>
        <v xml:space="preserve">N607SR  </v>
      </c>
      <c r="BC1999">
        <v>1</v>
      </c>
      <c r="BE1999">
        <v>0</v>
      </c>
      <c r="BF1999">
        <v>0</v>
      </c>
      <c r="BG1999">
        <v>0</v>
      </c>
      <c r="BH1999">
        <v>2575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 t="shared" si="551"/>
        <v>06:17:53.568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3</v>
      </c>
      <c r="CP1999" t="s">
        <v>119</v>
      </c>
      <c r="CQ1999">
        <v>177</v>
      </c>
      <c r="CR1999">
        <v>2</v>
      </c>
      <c r="CW1999">
        <v>1659240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 t="shared" si="549"/>
        <v>08/29/2020 06:17:50.379</v>
      </c>
      <c r="C2000" t="str">
        <f t="shared" si="543"/>
        <v>FFDFD3C0</v>
      </c>
      <c r="D2000" t="s">
        <v>121</v>
      </c>
      <c r="E2000">
        <v>10</v>
      </c>
      <c r="F2000">
        <v>1010</v>
      </c>
      <c r="G2000" t="s">
        <v>114</v>
      </c>
      <c r="J2000" t="s">
        <v>123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550"/>
        <v>06:17:53.563</v>
      </c>
      <c r="U2000" t="str">
        <f t="shared" si="544"/>
        <v>A7E2E0</v>
      </c>
      <c r="V2000">
        <v>0</v>
      </c>
      <c r="W2000">
        <v>0</v>
      </c>
      <c r="X2000">
        <v>1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0</v>
      </c>
      <c r="AI2000" t="s">
        <v>1203</v>
      </c>
      <c r="AJ2000">
        <v>38.969836000000001</v>
      </c>
      <c r="AK2000" t="s">
        <v>1204</v>
      </c>
      <c r="AL2000">
        <v>-87.599958999999998</v>
      </c>
      <c r="AM2000">
        <v>100</v>
      </c>
      <c r="AN2000">
        <v>2800</v>
      </c>
      <c r="AO2000" t="s">
        <v>118</v>
      </c>
      <c r="AP2000">
        <v>-85</v>
      </c>
      <c r="AQ2000">
        <v>-114</v>
      </c>
      <c r="AR2000">
        <v>64</v>
      </c>
      <c r="AZ2000">
        <v>4552</v>
      </c>
      <c r="BA2000">
        <v>1</v>
      </c>
      <c r="BB2000" t="str">
        <f t="shared" si="545"/>
        <v xml:space="preserve">N607SR  </v>
      </c>
      <c r="BC2000">
        <v>1</v>
      </c>
      <c r="BE2000">
        <v>0</v>
      </c>
      <c r="BF2000">
        <v>0</v>
      </c>
      <c r="BG2000">
        <v>0</v>
      </c>
      <c r="BH2000">
        <v>2575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 t="shared" si="551"/>
        <v>06:17:53.568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5</v>
      </c>
      <c r="CP2000" t="s">
        <v>119</v>
      </c>
      <c r="CQ2000">
        <v>517</v>
      </c>
      <c r="CR2000">
        <v>1</v>
      </c>
      <c r="CW2000">
        <v>2484080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 t="shared" si="549"/>
        <v>08/29/2020 06:17:50.379</v>
      </c>
      <c r="C2001" t="str">
        <f t="shared" si="543"/>
        <v>FFDFD3C0</v>
      </c>
      <c r="D2001" t="s">
        <v>113</v>
      </c>
      <c r="E2001">
        <v>5</v>
      </c>
      <c r="H2001">
        <v>163</v>
      </c>
      <c r="I2001" t="s">
        <v>114</v>
      </c>
      <c r="J2001" t="s">
        <v>115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550"/>
        <v>06:17:53.563</v>
      </c>
      <c r="U2001" t="str">
        <f t="shared" si="544"/>
        <v>A7E2E0</v>
      </c>
      <c r="V2001">
        <v>0</v>
      </c>
      <c r="W2001">
        <v>0</v>
      </c>
      <c r="X2001">
        <v>1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0</v>
      </c>
      <c r="AI2001" t="s">
        <v>1203</v>
      </c>
      <c r="AJ2001">
        <v>38.969836000000001</v>
      </c>
      <c r="AK2001" t="s">
        <v>1204</v>
      </c>
      <c r="AL2001">
        <v>-87.599958999999998</v>
      </c>
      <c r="AM2001">
        <v>100</v>
      </c>
      <c r="AN2001">
        <v>2800</v>
      </c>
      <c r="AO2001" t="s">
        <v>118</v>
      </c>
      <c r="AP2001">
        <v>-85</v>
      </c>
      <c r="AQ2001">
        <v>-114</v>
      </c>
      <c r="AR2001">
        <v>64</v>
      </c>
      <c r="AZ2001">
        <v>4552</v>
      </c>
      <c r="BA2001">
        <v>1</v>
      </c>
      <c r="BB2001" t="str">
        <f t="shared" si="545"/>
        <v xml:space="preserve">N607SR  </v>
      </c>
      <c r="BC2001">
        <v>1</v>
      </c>
      <c r="BE2001">
        <v>0</v>
      </c>
      <c r="BF2001">
        <v>0</v>
      </c>
      <c r="BG2001">
        <v>0</v>
      </c>
      <c r="BH2001">
        <v>2575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 t="shared" si="551"/>
        <v>06:17:53.568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5</v>
      </c>
      <c r="CP2001" t="s">
        <v>119</v>
      </c>
      <c r="CQ2001">
        <v>517</v>
      </c>
      <c r="CR2001">
        <v>1</v>
      </c>
      <c r="CW2001">
        <v>2484080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si="549"/>
        <v>08/29/2020 06:17:50.379</v>
      </c>
      <c r="C2002" t="str">
        <f t="shared" si="543"/>
        <v>FFDFD3C0</v>
      </c>
      <c r="D2002" t="s">
        <v>121</v>
      </c>
      <c r="E2002">
        <v>13</v>
      </c>
      <c r="F2002">
        <v>1013</v>
      </c>
      <c r="G2002" t="s">
        <v>122</v>
      </c>
      <c r="J2002" t="s">
        <v>123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550"/>
        <v>06:17:53.563</v>
      </c>
      <c r="U2002" t="str">
        <f t="shared" si="544"/>
        <v>A7E2E0</v>
      </c>
      <c r="V2002">
        <v>0</v>
      </c>
      <c r="W2002">
        <v>0</v>
      </c>
      <c r="X2002">
        <v>1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0</v>
      </c>
      <c r="AI2002" t="s">
        <v>1203</v>
      </c>
      <c r="AJ2002">
        <v>38.969836000000001</v>
      </c>
      <c r="AK2002" t="s">
        <v>1204</v>
      </c>
      <c r="AL2002">
        <v>-87.599958999999998</v>
      </c>
      <c r="AM2002">
        <v>100</v>
      </c>
      <c r="AN2002">
        <v>2800</v>
      </c>
      <c r="AO2002" t="s">
        <v>118</v>
      </c>
      <c r="AP2002">
        <v>-85</v>
      </c>
      <c r="AQ2002">
        <v>-114</v>
      </c>
      <c r="AR2002">
        <v>64</v>
      </c>
      <c r="AZ2002">
        <v>4552</v>
      </c>
      <c r="BA2002">
        <v>1</v>
      </c>
      <c r="BB2002" t="str">
        <f t="shared" si="545"/>
        <v xml:space="preserve">N607SR  </v>
      </c>
      <c r="BC2002">
        <v>1</v>
      </c>
      <c r="BE2002">
        <v>0</v>
      </c>
      <c r="BF2002">
        <v>0</v>
      </c>
      <c r="BG2002">
        <v>0</v>
      </c>
      <c r="BH2002">
        <v>2575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 t="shared" si="551"/>
        <v>06:17:53.568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5</v>
      </c>
      <c r="CP2002" t="s">
        <v>119</v>
      </c>
      <c r="CQ2002">
        <v>517</v>
      </c>
      <c r="CR2002">
        <v>1</v>
      </c>
      <c r="CW2002">
        <v>2484080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si="549"/>
        <v>08/29/2020 06:17:50.379</v>
      </c>
      <c r="C2003" t="str">
        <f t="shared" si="543"/>
        <v>FFDFD3C0</v>
      </c>
      <c r="D2003" t="s">
        <v>128</v>
      </c>
      <c r="E2003">
        <v>5</v>
      </c>
      <c r="H2003">
        <v>241</v>
      </c>
      <c r="I2003" t="s">
        <v>129</v>
      </c>
      <c r="J2003" t="s">
        <v>130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550"/>
        <v>06:17:53.563</v>
      </c>
      <c r="U2003" t="str">
        <f t="shared" si="544"/>
        <v>A7E2E0</v>
      </c>
      <c r="V2003">
        <v>0</v>
      </c>
      <c r="W2003">
        <v>0</v>
      </c>
      <c r="X2003">
        <v>1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0</v>
      </c>
      <c r="AI2003" t="s">
        <v>1203</v>
      </c>
      <c r="AJ2003">
        <v>38.969836000000001</v>
      </c>
      <c r="AK2003" t="s">
        <v>1204</v>
      </c>
      <c r="AL2003">
        <v>-87.599958999999998</v>
      </c>
      <c r="AM2003">
        <v>100</v>
      </c>
      <c r="AN2003">
        <v>2800</v>
      </c>
      <c r="AO2003" t="s">
        <v>118</v>
      </c>
      <c r="AP2003">
        <v>-85</v>
      </c>
      <c r="AQ2003">
        <v>-114</v>
      </c>
      <c r="AR2003">
        <v>64</v>
      </c>
      <c r="AZ2003">
        <v>4552</v>
      </c>
      <c r="BA2003">
        <v>1</v>
      </c>
      <c r="BB2003" t="str">
        <f t="shared" si="545"/>
        <v xml:space="preserve">N607SR  </v>
      </c>
      <c r="BC2003">
        <v>1</v>
      </c>
      <c r="BE2003">
        <v>0</v>
      </c>
      <c r="BF2003">
        <v>0</v>
      </c>
      <c r="BG2003">
        <v>0</v>
      </c>
      <c r="BH2003">
        <v>2575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 t="shared" si="551"/>
        <v>06:17:53.568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5</v>
      </c>
      <c r="CP2003" t="s">
        <v>119</v>
      </c>
      <c r="CQ2003">
        <v>517</v>
      </c>
      <c r="CR2003">
        <v>1</v>
      </c>
      <c r="CW2003">
        <v>2484080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 t="shared" ref="A2004:A2009" si="552">"08/29/2020 06:17:51.234"</f>
        <v>08/29/2020 06:17:51.234</v>
      </c>
      <c r="C2004" t="str">
        <f t="shared" si="543"/>
        <v>FFDFD3C0</v>
      </c>
      <c r="D2004" t="s">
        <v>939</v>
      </c>
      <c r="E2004">
        <v>10</v>
      </c>
      <c r="H2004">
        <v>79</v>
      </c>
      <c r="I2004" t="s">
        <v>940</v>
      </c>
      <c r="J2004" t="s">
        <v>130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ref="S2004:S2009" si="553">"06:17:54.453"</f>
        <v>06:17:54.453</v>
      </c>
      <c r="T2004" t="str">
        <f>"06:17:54.053"</f>
        <v>06:17:54.053</v>
      </c>
      <c r="U2004" t="str">
        <f t="shared" si="544"/>
        <v>A7E2E0</v>
      </c>
      <c r="V2004">
        <v>0</v>
      </c>
      <c r="W2004">
        <v>0</v>
      </c>
      <c r="X2004">
        <v>1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0</v>
      </c>
      <c r="AI2004" t="s">
        <v>1205</v>
      </c>
      <c r="AJ2004">
        <v>38.969343000000002</v>
      </c>
      <c r="AK2004" t="s">
        <v>1206</v>
      </c>
      <c r="AL2004">
        <v>-87.600474000000006</v>
      </c>
      <c r="AM2004">
        <v>100</v>
      </c>
      <c r="AN2004">
        <v>2800</v>
      </c>
      <c r="AO2004" t="s">
        <v>118</v>
      </c>
      <c r="AP2004">
        <v>-85</v>
      </c>
      <c r="AQ2004">
        <v>-114</v>
      </c>
      <c r="AR2004">
        <v>64</v>
      </c>
      <c r="AZ2004">
        <v>4552</v>
      </c>
      <c r="BA2004">
        <v>1</v>
      </c>
      <c r="BB2004" t="str">
        <f t="shared" si="545"/>
        <v xml:space="preserve">N607SR  </v>
      </c>
      <c r="BC2004">
        <v>1</v>
      </c>
      <c r="BE2004">
        <v>0</v>
      </c>
      <c r="BF2004">
        <v>0</v>
      </c>
      <c r="BG2004">
        <v>0</v>
      </c>
      <c r="BH2004">
        <v>2575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 t="shared" ref="BW2004:BW2009" si="554">"06:17:54.454"</f>
        <v>06:17:54.454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6</v>
      </c>
      <c r="CP2004" t="s">
        <v>119</v>
      </c>
      <c r="CQ2004">
        <v>465</v>
      </c>
      <c r="CR2004">
        <v>0</v>
      </c>
      <c r="CW2004">
        <v>4723772</v>
      </c>
      <c r="CY2004">
        <v>1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 t="shared" si="552"/>
        <v>08/29/2020 06:17:51.234</v>
      </c>
      <c r="C2005" t="str">
        <f t="shared" si="543"/>
        <v>FFDFD3C0</v>
      </c>
      <c r="D2005" t="s">
        <v>121</v>
      </c>
      <c r="E2005">
        <v>13</v>
      </c>
      <c r="F2005">
        <v>1013</v>
      </c>
      <c r="G2005" t="s">
        <v>122</v>
      </c>
      <c r="J2005" t="s">
        <v>123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553"/>
        <v>06:17:54.453</v>
      </c>
      <c r="U2005" t="str">
        <f t="shared" si="544"/>
        <v>A7E2E0</v>
      </c>
      <c r="V2005">
        <v>0</v>
      </c>
      <c r="W2005">
        <v>0</v>
      </c>
      <c r="X2005">
        <v>1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0</v>
      </c>
      <c r="AI2005" t="s">
        <v>1205</v>
      </c>
      <c r="AJ2005">
        <v>38.969343000000002</v>
      </c>
      <c r="AK2005" t="s">
        <v>1206</v>
      </c>
      <c r="AL2005">
        <v>-87.600474000000006</v>
      </c>
      <c r="AM2005">
        <v>100</v>
      </c>
      <c r="AN2005">
        <v>2800</v>
      </c>
      <c r="AO2005" t="s">
        <v>118</v>
      </c>
      <c r="AP2005">
        <v>-85</v>
      </c>
      <c r="AQ2005">
        <v>-114</v>
      </c>
      <c r="AR2005">
        <v>64</v>
      </c>
      <c r="AZ2005">
        <v>4552</v>
      </c>
      <c r="BA2005">
        <v>1</v>
      </c>
      <c r="BB2005" t="str">
        <f t="shared" si="545"/>
        <v xml:space="preserve">N607SR  </v>
      </c>
      <c r="BC2005">
        <v>1</v>
      </c>
      <c r="BE2005">
        <v>0</v>
      </c>
      <c r="BF2005">
        <v>0</v>
      </c>
      <c r="BG2005">
        <v>0</v>
      </c>
      <c r="BH2005">
        <v>2575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 t="shared" si="554"/>
        <v>06:17:54.454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5</v>
      </c>
      <c r="CP2005" t="s">
        <v>119</v>
      </c>
      <c r="CQ2005">
        <v>517</v>
      </c>
      <c r="CR2005">
        <v>1</v>
      </c>
      <c r="CW2005">
        <v>2484103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 t="shared" si="552"/>
        <v>08/29/2020 06:17:51.234</v>
      </c>
      <c r="C2006" t="str">
        <f t="shared" si="543"/>
        <v>FFDFD3C0</v>
      </c>
      <c r="D2006" t="s">
        <v>128</v>
      </c>
      <c r="E2006">
        <v>5</v>
      </c>
      <c r="H2006">
        <v>241</v>
      </c>
      <c r="I2006" t="s">
        <v>129</v>
      </c>
      <c r="J2006" t="s">
        <v>130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553"/>
        <v>06:17:54.453</v>
      </c>
      <c r="U2006" t="str">
        <f t="shared" si="544"/>
        <v>A7E2E0</v>
      </c>
      <c r="V2006">
        <v>0</v>
      </c>
      <c r="W2006">
        <v>0</v>
      </c>
      <c r="X2006">
        <v>1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0</v>
      </c>
      <c r="AI2006" t="s">
        <v>1205</v>
      </c>
      <c r="AJ2006">
        <v>38.969343000000002</v>
      </c>
      <c r="AK2006" t="s">
        <v>1206</v>
      </c>
      <c r="AL2006">
        <v>-87.600474000000006</v>
      </c>
      <c r="AM2006">
        <v>100</v>
      </c>
      <c r="AN2006">
        <v>2800</v>
      </c>
      <c r="AO2006" t="s">
        <v>118</v>
      </c>
      <c r="AP2006">
        <v>-85</v>
      </c>
      <c r="AQ2006">
        <v>-114</v>
      </c>
      <c r="AR2006">
        <v>64</v>
      </c>
      <c r="AZ2006">
        <v>4552</v>
      </c>
      <c r="BA2006">
        <v>1</v>
      </c>
      <c r="BB2006" t="str">
        <f t="shared" si="545"/>
        <v xml:space="preserve">N607SR  </v>
      </c>
      <c r="BC2006">
        <v>1</v>
      </c>
      <c r="BE2006">
        <v>0</v>
      </c>
      <c r="BF2006">
        <v>0</v>
      </c>
      <c r="BG2006">
        <v>0</v>
      </c>
      <c r="BH2006">
        <v>2575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 t="shared" si="554"/>
        <v>06:17:54.454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5</v>
      </c>
      <c r="CP2006" t="s">
        <v>119</v>
      </c>
      <c r="CQ2006">
        <v>517</v>
      </c>
      <c r="CR2006">
        <v>1</v>
      </c>
      <c r="CW2006">
        <v>2484103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 t="shared" si="552"/>
        <v>08/29/2020 06:17:51.234</v>
      </c>
      <c r="C2007" t="str">
        <f t="shared" si="543"/>
        <v>FFDFD3C0</v>
      </c>
      <c r="D2007" t="s">
        <v>121</v>
      </c>
      <c r="E2007">
        <v>11</v>
      </c>
      <c r="F2007">
        <v>1011</v>
      </c>
      <c r="G2007" t="s">
        <v>125</v>
      </c>
      <c r="J2007" t="s">
        <v>123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553"/>
        <v>06:17:54.453</v>
      </c>
      <c r="T2007" t="str">
        <f>"06:17:54.053"</f>
        <v>06:17:54.053</v>
      </c>
      <c r="U2007" t="str">
        <f t="shared" si="544"/>
        <v>A7E2E0</v>
      </c>
      <c r="V2007">
        <v>0</v>
      </c>
      <c r="W2007">
        <v>0</v>
      </c>
      <c r="X2007">
        <v>1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0</v>
      </c>
      <c r="AI2007" t="s">
        <v>1205</v>
      </c>
      <c r="AJ2007">
        <v>38.969343000000002</v>
      </c>
      <c r="AK2007" t="s">
        <v>1206</v>
      </c>
      <c r="AL2007">
        <v>-87.600474000000006</v>
      </c>
      <c r="AM2007">
        <v>100</v>
      </c>
      <c r="AN2007">
        <v>2800</v>
      </c>
      <c r="AO2007" t="s">
        <v>118</v>
      </c>
      <c r="AP2007">
        <v>-85</v>
      </c>
      <c r="AQ2007">
        <v>-114</v>
      </c>
      <c r="AR2007">
        <v>64</v>
      </c>
      <c r="AZ2007">
        <v>4552</v>
      </c>
      <c r="BA2007">
        <v>1</v>
      </c>
      <c r="BB2007" t="str">
        <f t="shared" si="545"/>
        <v xml:space="preserve">N607SR  </v>
      </c>
      <c r="BC2007">
        <v>1</v>
      </c>
      <c r="BE2007">
        <v>0</v>
      </c>
      <c r="BF2007">
        <v>0</v>
      </c>
      <c r="BG2007">
        <v>0</v>
      </c>
      <c r="BH2007">
        <v>2575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 t="shared" si="554"/>
        <v>06:17:54.454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3</v>
      </c>
      <c r="CP2007" t="s">
        <v>119</v>
      </c>
      <c r="CQ2007">
        <v>177</v>
      </c>
      <c r="CR2007">
        <v>2</v>
      </c>
      <c r="CW2007">
        <v>1659370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 t="shared" si="552"/>
        <v>08/29/2020 06:17:51.234</v>
      </c>
      <c r="C2008" t="str">
        <f t="shared" si="543"/>
        <v>FFDFD3C0</v>
      </c>
      <c r="D2008" t="s">
        <v>121</v>
      </c>
      <c r="E2008">
        <v>10</v>
      </c>
      <c r="F2008">
        <v>1010</v>
      </c>
      <c r="G2008" t="s">
        <v>114</v>
      </c>
      <c r="J2008" t="s">
        <v>123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553"/>
        <v>06:17:54.453</v>
      </c>
      <c r="U2008" t="str">
        <f t="shared" si="544"/>
        <v>A7E2E0</v>
      </c>
      <c r="V2008">
        <v>0</v>
      </c>
      <c r="W2008">
        <v>0</v>
      </c>
      <c r="X2008">
        <v>1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0</v>
      </c>
      <c r="AI2008" t="s">
        <v>1205</v>
      </c>
      <c r="AJ2008">
        <v>38.969343000000002</v>
      </c>
      <c r="AK2008" t="s">
        <v>1206</v>
      </c>
      <c r="AL2008">
        <v>-87.600474000000006</v>
      </c>
      <c r="AM2008">
        <v>100</v>
      </c>
      <c r="AN2008">
        <v>2800</v>
      </c>
      <c r="AO2008" t="s">
        <v>118</v>
      </c>
      <c r="AP2008">
        <v>-85</v>
      </c>
      <c r="AQ2008">
        <v>-114</v>
      </c>
      <c r="AR2008">
        <v>64</v>
      </c>
      <c r="AZ2008">
        <v>4552</v>
      </c>
      <c r="BA2008">
        <v>1</v>
      </c>
      <c r="BB2008" t="str">
        <f t="shared" si="545"/>
        <v xml:space="preserve">N607SR  </v>
      </c>
      <c r="BC2008">
        <v>1</v>
      </c>
      <c r="BE2008">
        <v>0</v>
      </c>
      <c r="BF2008">
        <v>0</v>
      </c>
      <c r="BG2008">
        <v>0</v>
      </c>
      <c r="BH2008">
        <v>2575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 t="shared" si="554"/>
        <v>06:17:54.454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5</v>
      </c>
      <c r="CP2008" t="s">
        <v>119</v>
      </c>
      <c r="CQ2008">
        <v>517</v>
      </c>
      <c r="CR2008">
        <v>1</v>
      </c>
      <c r="CW2008">
        <v>2484103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 t="shared" si="552"/>
        <v>08/29/2020 06:17:51.234</v>
      </c>
      <c r="C2009" t="str">
        <f t="shared" si="543"/>
        <v>FFDFD3C0</v>
      </c>
      <c r="D2009" t="s">
        <v>113</v>
      </c>
      <c r="E2009">
        <v>5</v>
      </c>
      <c r="H2009">
        <v>163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553"/>
        <v>06:17:54.453</v>
      </c>
      <c r="U2009" t="str">
        <f t="shared" si="544"/>
        <v>A7E2E0</v>
      </c>
      <c r="V2009">
        <v>0</v>
      </c>
      <c r="W2009">
        <v>0</v>
      </c>
      <c r="X2009">
        <v>1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0</v>
      </c>
      <c r="AI2009" t="s">
        <v>1205</v>
      </c>
      <c r="AJ2009">
        <v>38.969343000000002</v>
      </c>
      <c r="AK2009" t="s">
        <v>1206</v>
      </c>
      <c r="AL2009">
        <v>-87.600474000000006</v>
      </c>
      <c r="AM2009">
        <v>100</v>
      </c>
      <c r="AN2009">
        <v>2800</v>
      </c>
      <c r="AO2009" t="s">
        <v>118</v>
      </c>
      <c r="AP2009">
        <v>-85</v>
      </c>
      <c r="AQ2009">
        <v>-114</v>
      </c>
      <c r="AR2009">
        <v>64</v>
      </c>
      <c r="AZ2009">
        <v>4552</v>
      </c>
      <c r="BA2009">
        <v>1</v>
      </c>
      <c r="BB2009" t="str">
        <f t="shared" si="545"/>
        <v xml:space="preserve">N607SR  </v>
      </c>
      <c r="BC2009">
        <v>1</v>
      </c>
      <c r="BE2009">
        <v>0</v>
      </c>
      <c r="BF2009">
        <v>0</v>
      </c>
      <c r="BG2009">
        <v>0</v>
      </c>
      <c r="BH2009">
        <v>2575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 t="shared" si="554"/>
        <v>06:17:54.454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5</v>
      </c>
      <c r="CP2009" t="s">
        <v>119</v>
      </c>
      <c r="CQ2009">
        <v>517</v>
      </c>
      <c r="CR2009">
        <v>1</v>
      </c>
      <c r="CW2009">
        <v>2484103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 t="shared" ref="A2010:A2015" si="555">"08/29/2020 06:17:52.375"</f>
        <v>08/29/2020 06:17:52.375</v>
      </c>
      <c r="C2010" t="str">
        <f t="shared" si="543"/>
        <v>FFDFD3C0</v>
      </c>
      <c r="D2010" t="s">
        <v>121</v>
      </c>
      <c r="E2010">
        <v>10</v>
      </c>
      <c r="F2010">
        <v>1010</v>
      </c>
      <c r="G2010" t="s">
        <v>114</v>
      </c>
      <c r="J2010" t="s">
        <v>123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ref="S2010:S2015" si="556">"06:17:55.570"</f>
        <v>06:17:55.570</v>
      </c>
      <c r="U2010" t="str">
        <f t="shared" si="544"/>
        <v>A7E2E0</v>
      </c>
      <c r="V2010">
        <v>0</v>
      </c>
      <c r="W2010">
        <v>0</v>
      </c>
      <c r="X2010">
        <v>1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0</v>
      </c>
      <c r="AI2010" t="s">
        <v>1207</v>
      </c>
      <c r="AJ2010">
        <v>38.968784999999997</v>
      </c>
      <c r="AK2010" t="s">
        <v>1208</v>
      </c>
      <c r="AL2010">
        <v>-87.600988999999998</v>
      </c>
      <c r="AM2010">
        <v>100</v>
      </c>
      <c r="AN2010">
        <v>2800</v>
      </c>
      <c r="AO2010" t="s">
        <v>118</v>
      </c>
      <c r="AP2010">
        <v>-85</v>
      </c>
      <c r="AQ2010">
        <v>-114</v>
      </c>
      <c r="AR2010">
        <v>0</v>
      </c>
      <c r="AZ2010">
        <v>4552</v>
      </c>
      <c r="BA2010">
        <v>1</v>
      </c>
      <c r="BB2010" t="str">
        <f t="shared" si="545"/>
        <v xml:space="preserve">N607SR  </v>
      </c>
      <c r="BC2010">
        <v>1</v>
      </c>
      <c r="BE2010">
        <v>0</v>
      </c>
      <c r="BF2010">
        <v>0</v>
      </c>
      <c r="BG2010">
        <v>0</v>
      </c>
      <c r="BH2010">
        <v>2575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 t="shared" ref="BW2010:BW2015" si="557">"06:17:55.575"</f>
        <v>06:17:55.575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465</v>
      </c>
      <c r="CR2010">
        <v>0</v>
      </c>
      <c r="CW2010">
        <v>4723806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 t="shared" si="555"/>
        <v>08/29/2020 06:17:52.375</v>
      </c>
      <c r="C2011" t="str">
        <f t="shared" si="543"/>
        <v>FFDFD3C0</v>
      </c>
      <c r="D2011" t="s">
        <v>121</v>
      </c>
      <c r="E2011">
        <v>11</v>
      </c>
      <c r="F2011">
        <v>1011</v>
      </c>
      <c r="G2011" t="s">
        <v>125</v>
      </c>
      <c r="J2011" t="s">
        <v>123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556"/>
        <v>06:17:55.570</v>
      </c>
      <c r="T2011" t="str">
        <f>"06:17:55.070"</f>
        <v>06:17:55.070</v>
      </c>
      <c r="U2011" t="str">
        <f t="shared" si="544"/>
        <v>A7E2E0</v>
      </c>
      <c r="V2011">
        <v>0</v>
      </c>
      <c r="W2011">
        <v>0</v>
      </c>
      <c r="X2011">
        <v>1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0</v>
      </c>
      <c r="AI2011" t="s">
        <v>1207</v>
      </c>
      <c r="AJ2011">
        <v>38.968784999999997</v>
      </c>
      <c r="AK2011" t="s">
        <v>1208</v>
      </c>
      <c r="AL2011">
        <v>-87.600988999999998</v>
      </c>
      <c r="AM2011">
        <v>100</v>
      </c>
      <c r="AN2011">
        <v>2800</v>
      </c>
      <c r="AO2011" t="s">
        <v>118</v>
      </c>
      <c r="AP2011">
        <v>-85</v>
      </c>
      <c r="AQ2011">
        <v>-114</v>
      </c>
      <c r="AR2011">
        <v>64</v>
      </c>
      <c r="AZ2011">
        <v>4552</v>
      </c>
      <c r="BA2011">
        <v>1</v>
      </c>
      <c r="BB2011" t="str">
        <f t="shared" si="545"/>
        <v xml:space="preserve">N607SR  </v>
      </c>
      <c r="BC2011">
        <v>1</v>
      </c>
      <c r="BE2011">
        <v>0</v>
      </c>
      <c r="BF2011">
        <v>0</v>
      </c>
      <c r="BG2011">
        <v>0</v>
      </c>
      <c r="BH2011">
        <v>2575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 t="shared" si="557"/>
        <v>06:17:55.575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3</v>
      </c>
      <c r="CP2011" t="s">
        <v>119</v>
      </c>
      <c r="CQ2011">
        <v>177</v>
      </c>
      <c r="CR2011">
        <v>2</v>
      </c>
      <c r="CW2011">
        <v>1659551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 t="shared" si="555"/>
        <v>08/29/2020 06:17:52.375</v>
      </c>
      <c r="C2012" t="str">
        <f t="shared" si="543"/>
        <v>FFDFD3C0</v>
      </c>
      <c r="D2012" t="s">
        <v>113</v>
      </c>
      <c r="E2012">
        <v>5</v>
      </c>
      <c r="H2012">
        <v>163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556"/>
        <v>06:17:55.570</v>
      </c>
      <c r="U2012" t="str">
        <f t="shared" si="544"/>
        <v>A7E2E0</v>
      </c>
      <c r="V2012">
        <v>0</v>
      </c>
      <c r="W2012">
        <v>0</v>
      </c>
      <c r="X2012">
        <v>1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0</v>
      </c>
      <c r="AI2012" t="s">
        <v>1207</v>
      </c>
      <c r="AJ2012">
        <v>38.968784999999997</v>
      </c>
      <c r="AK2012" t="s">
        <v>1208</v>
      </c>
      <c r="AL2012">
        <v>-87.600988999999998</v>
      </c>
      <c r="AM2012">
        <v>100</v>
      </c>
      <c r="AN2012">
        <v>2800</v>
      </c>
      <c r="AO2012" t="s">
        <v>118</v>
      </c>
      <c r="AP2012">
        <v>-85</v>
      </c>
      <c r="AQ2012">
        <v>-114</v>
      </c>
      <c r="AR2012">
        <v>0</v>
      </c>
      <c r="AZ2012">
        <v>4552</v>
      </c>
      <c r="BA2012">
        <v>1</v>
      </c>
      <c r="BB2012" t="str">
        <f t="shared" si="545"/>
        <v xml:space="preserve">N607SR  </v>
      </c>
      <c r="BC2012">
        <v>1</v>
      </c>
      <c r="BE2012">
        <v>0</v>
      </c>
      <c r="BF2012">
        <v>0</v>
      </c>
      <c r="BG2012">
        <v>0</v>
      </c>
      <c r="BH2012">
        <v>2575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 t="shared" si="557"/>
        <v>06:17:55.575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465</v>
      </c>
      <c r="CR2012">
        <v>0</v>
      </c>
      <c r="CW2012">
        <v>4723806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 t="shared" si="555"/>
        <v>08/29/2020 06:17:52.375</v>
      </c>
      <c r="C2013" t="str">
        <f t="shared" si="543"/>
        <v>FFDFD3C0</v>
      </c>
      <c r="D2013" t="s">
        <v>939</v>
      </c>
      <c r="E2013">
        <v>10</v>
      </c>
      <c r="H2013">
        <v>79</v>
      </c>
      <c r="I2013" t="s">
        <v>940</v>
      </c>
      <c r="J2013" t="s">
        <v>130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556"/>
        <v>06:17:55.570</v>
      </c>
      <c r="U2013" t="str">
        <f t="shared" si="544"/>
        <v>A7E2E0</v>
      </c>
      <c r="V2013">
        <v>0</v>
      </c>
      <c r="W2013">
        <v>0</v>
      </c>
      <c r="X2013">
        <v>1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0</v>
      </c>
      <c r="AI2013" t="s">
        <v>1207</v>
      </c>
      <c r="AJ2013">
        <v>38.968784999999997</v>
      </c>
      <c r="AK2013" t="s">
        <v>1208</v>
      </c>
      <c r="AL2013">
        <v>-87.600988999999998</v>
      </c>
      <c r="AM2013">
        <v>100</v>
      </c>
      <c r="AN2013">
        <v>2800</v>
      </c>
      <c r="AO2013" t="s">
        <v>118</v>
      </c>
      <c r="AP2013">
        <v>-85</v>
      </c>
      <c r="AQ2013">
        <v>-114</v>
      </c>
      <c r="AR2013">
        <v>0</v>
      </c>
      <c r="AZ2013">
        <v>4552</v>
      </c>
      <c r="BA2013">
        <v>1</v>
      </c>
      <c r="BB2013" t="str">
        <f t="shared" si="545"/>
        <v xml:space="preserve">N607SR  </v>
      </c>
      <c r="BC2013">
        <v>1</v>
      </c>
      <c r="BE2013">
        <v>0</v>
      </c>
      <c r="BF2013">
        <v>0</v>
      </c>
      <c r="BG2013">
        <v>0</v>
      </c>
      <c r="BH2013">
        <v>2575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 t="shared" si="557"/>
        <v>06:17:55.575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6</v>
      </c>
      <c r="CP2013" t="s">
        <v>119</v>
      </c>
      <c r="CQ2013">
        <v>465</v>
      </c>
      <c r="CR2013">
        <v>0</v>
      </c>
      <c r="CW2013">
        <v>4723806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 t="shared" si="555"/>
        <v>08/29/2020 06:17:52.375</v>
      </c>
      <c r="C2014" t="str">
        <f t="shared" si="543"/>
        <v>FFDFD3C0</v>
      </c>
      <c r="D2014" t="s">
        <v>121</v>
      </c>
      <c r="E2014">
        <v>13</v>
      </c>
      <c r="F2014">
        <v>1013</v>
      </c>
      <c r="G2014" t="s">
        <v>122</v>
      </c>
      <c r="J2014" t="s">
        <v>123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556"/>
        <v>06:17:55.570</v>
      </c>
      <c r="U2014" t="str">
        <f t="shared" si="544"/>
        <v>A7E2E0</v>
      </c>
      <c r="V2014">
        <v>0</v>
      </c>
      <c r="W2014">
        <v>0</v>
      </c>
      <c r="X2014">
        <v>1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0</v>
      </c>
      <c r="AI2014" t="s">
        <v>1207</v>
      </c>
      <c r="AJ2014">
        <v>38.968784999999997</v>
      </c>
      <c r="AK2014" t="s">
        <v>1208</v>
      </c>
      <c r="AL2014">
        <v>-87.600988999999998</v>
      </c>
      <c r="AM2014">
        <v>100</v>
      </c>
      <c r="AN2014">
        <v>2800</v>
      </c>
      <c r="AO2014" t="s">
        <v>118</v>
      </c>
      <c r="AP2014">
        <v>-85</v>
      </c>
      <c r="AQ2014">
        <v>-114</v>
      </c>
      <c r="AR2014">
        <v>0</v>
      </c>
      <c r="AZ2014">
        <v>4552</v>
      </c>
      <c r="BA2014">
        <v>1</v>
      </c>
      <c r="BB2014" t="str">
        <f t="shared" si="545"/>
        <v xml:space="preserve">N607SR  </v>
      </c>
      <c r="BC2014">
        <v>1</v>
      </c>
      <c r="BE2014">
        <v>0</v>
      </c>
      <c r="BF2014">
        <v>0</v>
      </c>
      <c r="BG2014">
        <v>0</v>
      </c>
      <c r="BH2014">
        <v>2575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 t="shared" si="557"/>
        <v>06:17:55.575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6</v>
      </c>
      <c r="CP2014" t="s">
        <v>119</v>
      </c>
      <c r="CQ2014">
        <v>465</v>
      </c>
      <c r="CR2014">
        <v>0</v>
      </c>
      <c r="CW2014">
        <v>4723806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 t="shared" si="555"/>
        <v>08/29/2020 06:17:52.375</v>
      </c>
      <c r="C2015" t="str">
        <f t="shared" si="543"/>
        <v>FFDFD3C0</v>
      </c>
      <c r="D2015" t="s">
        <v>128</v>
      </c>
      <c r="E2015">
        <v>5</v>
      </c>
      <c r="H2015">
        <v>241</v>
      </c>
      <c r="I2015" t="s">
        <v>129</v>
      </c>
      <c r="J2015" t="s">
        <v>130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556"/>
        <v>06:17:55.570</v>
      </c>
      <c r="U2015" t="str">
        <f t="shared" si="544"/>
        <v>A7E2E0</v>
      </c>
      <c r="V2015">
        <v>0</v>
      </c>
      <c r="W2015">
        <v>0</v>
      </c>
      <c r="X2015">
        <v>1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0</v>
      </c>
      <c r="AI2015" t="s">
        <v>1207</v>
      </c>
      <c r="AJ2015">
        <v>38.968784999999997</v>
      </c>
      <c r="AK2015" t="s">
        <v>1208</v>
      </c>
      <c r="AL2015">
        <v>-87.600988999999998</v>
      </c>
      <c r="AM2015">
        <v>100</v>
      </c>
      <c r="AN2015">
        <v>2800</v>
      </c>
      <c r="AO2015" t="s">
        <v>118</v>
      </c>
      <c r="AP2015">
        <v>-85</v>
      </c>
      <c r="AQ2015">
        <v>-114</v>
      </c>
      <c r="AR2015">
        <v>0</v>
      </c>
      <c r="AZ2015">
        <v>4552</v>
      </c>
      <c r="BA2015">
        <v>1</v>
      </c>
      <c r="BB2015" t="str">
        <f t="shared" si="545"/>
        <v xml:space="preserve">N607SR  </v>
      </c>
      <c r="BC2015">
        <v>1</v>
      </c>
      <c r="BE2015">
        <v>0</v>
      </c>
      <c r="BF2015">
        <v>0</v>
      </c>
      <c r="BG2015">
        <v>0</v>
      </c>
      <c r="BH2015">
        <v>2575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 t="shared" si="557"/>
        <v>06:17:55.575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6</v>
      </c>
      <c r="CP2015" t="s">
        <v>119</v>
      </c>
      <c r="CQ2015">
        <v>465</v>
      </c>
      <c r="CR2015">
        <v>0</v>
      </c>
      <c r="CW2015">
        <v>4723806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 t="shared" ref="A2016:A2021" si="558">"08/29/2020 06:17:53.248"</f>
        <v>08/29/2020 06:17:53.248</v>
      </c>
      <c r="C2016" t="str">
        <f t="shared" si="543"/>
        <v>FFDFD3C0</v>
      </c>
      <c r="D2016" t="s">
        <v>939</v>
      </c>
      <c r="E2016">
        <v>10</v>
      </c>
      <c r="H2016">
        <v>79</v>
      </c>
      <c r="I2016" t="s">
        <v>940</v>
      </c>
      <c r="J2016" t="s">
        <v>130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ref="S2016:S2021" si="559">"06:17:56.477"</f>
        <v>06:17:56.477</v>
      </c>
      <c r="T2016" t="str">
        <f t="shared" ref="T2016:T2021" si="560">"06:17:56.077"</f>
        <v>06:17:56.077</v>
      </c>
      <c r="U2016" t="str">
        <f t="shared" si="544"/>
        <v>A7E2E0</v>
      </c>
      <c r="V2016">
        <v>0</v>
      </c>
      <c r="W2016">
        <v>0</v>
      </c>
      <c r="X2016">
        <v>1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0</v>
      </c>
      <c r="AI2016" t="s">
        <v>1209</v>
      </c>
      <c r="AJ2016">
        <v>38.968313000000002</v>
      </c>
      <c r="AK2016" t="s">
        <v>1210</v>
      </c>
      <c r="AL2016">
        <v>-87.601439999999997</v>
      </c>
      <c r="AM2016">
        <v>100</v>
      </c>
      <c r="AN2016">
        <v>2800</v>
      </c>
      <c r="AO2016" t="s">
        <v>118</v>
      </c>
      <c r="AP2016">
        <v>-85</v>
      </c>
      <c r="AQ2016">
        <v>-114</v>
      </c>
      <c r="AR2016">
        <v>0</v>
      </c>
      <c r="AZ2016">
        <v>4552</v>
      </c>
      <c r="BA2016">
        <v>1</v>
      </c>
      <c r="BB2016" t="str">
        <f t="shared" si="545"/>
        <v xml:space="preserve">N607SR  </v>
      </c>
      <c r="BC2016">
        <v>1</v>
      </c>
      <c r="BE2016">
        <v>0</v>
      </c>
      <c r="BF2016">
        <v>0</v>
      </c>
      <c r="BG2016">
        <v>0</v>
      </c>
      <c r="BH2016">
        <v>2575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 t="shared" ref="BW2016:BW2021" si="561">"06:17:56.481"</f>
        <v>06:17:56.481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6</v>
      </c>
      <c r="CP2016" t="s">
        <v>119</v>
      </c>
      <c r="CQ2016">
        <v>465</v>
      </c>
      <c r="CR2016">
        <v>0</v>
      </c>
      <c r="CW2016">
        <v>4723834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 t="shared" si="558"/>
        <v>08/29/2020 06:17:53.248</v>
      </c>
      <c r="C2017" t="str">
        <f t="shared" si="543"/>
        <v>FFDFD3C0</v>
      </c>
      <c r="D2017" t="s">
        <v>121</v>
      </c>
      <c r="E2017">
        <v>11</v>
      </c>
      <c r="F2017">
        <v>1011</v>
      </c>
      <c r="G2017" t="s">
        <v>125</v>
      </c>
      <c r="J2017" t="s">
        <v>123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559"/>
        <v>06:17:56.477</v>
      </c>
      <c r="T2017" t="str">
        <f t="shared" si="560"/>
        <v>06:17:56.077</v>
      </c>
      <c r="U2017" t="str">
        <f t="shared" si="544"/>
        <v>A7E2E0</v>
      </c>
      <c r="V2017">
        <v>0</v>
      </c>
      <c r="W2017">
        <v>0</v>
      </c>
      <c r="X2017">
        <v>1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0</v>
      </c>
      <c r="AI2017" t="s">
        <v>1209</v>
      </c>
      <c r="AJ2017">
        <v>38.968313000000002</v>
      </c>
      <c r="AK2017" t="s">
        <v>1210</v>
      </c>
      <c r="AL2017">
        <v>-87.601439999999997</v>
      </c>
      <c r="AM2017">
        <v>100</v>
      </c>
      <c r="AN2017">
        <v>2800</v>
      </c>
      <c r="AO2017" t="s">
        <v>118</v>
      </c>
      <c r="AP2017">
        <v>-85</v>
      </c>
      <c r="AQ2017">
        <v>-114</v>
      </c>
      <c r="AR2017">
        <v>0</v>
      </c>
      <c r="AZ2017">
        <v>4552</v>
      </c>
      <c r="BA2017">
        <v>1</v>
      </c>
      <c r="BB2017" t="str">
        <f t="shared" si="545"/>
        <v xml:space="preserve">N607SR  </v>
      </c>
      <c r="BC2017">
        <v>1</v>
      </c>
      <c r="BE2017">
        <v>0</v>
      </c>
      <c r="BF2017">
        <v>0</v>
      </c>
      <c r="BG2017">
        <v>0</v>
      </c>
      <c r="BH2017">
        <v>2575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 t="shared" si="561"/>
        <v>06:17:56.481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3</v>
      </c>
      <c r="CP2017" t="s">
        <v>119</v>
      </c>
      <c r="CQ2017">
        <v>177</v>
      </c>
      <c r="CR2017">
        <v>2</v>
      </c>
      <c r="CW2017">
        <v>1659707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 t="shared" si="558"/>
        <v>08/29/2020 06:17:53.248</v>
      </c>
      <c r="C2018" t="str">
        <f t="shared" si="543"/>
        <v>FFDFD3C0</v>
      </c>
      <c r="D2018" t="s">
        <v>113</v>
      </c>
      <c r="E2018">
        <v>5</v>
      </c>
      <c r="H2018">
        <v>163</v>
      </c>
      <c r="I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559"/>
        <v>06:17:56.477</v>
      </c>
      <c r="T2018" t="str">
        <f t="shared" si="560"/>
        <v>06:17:56.077</v>
      </c>
      <c r="U2018" t="str">
        <f t="shared" si="544"/>
        <v>A7E2E0</v>
      </c>
      <c r="V2018">
        <v>0</v>
      </c>
      <c r="W2018">
        <v>0</v>
      </c>
      <c r="X2018">
        <v>1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0</v>
      </c>
      <c r="AI2018" t="s">
        <v>1209</v>
      </c>
      <c r="AJ2018">
        <v>38.968313000000002</v>
      </c>
      <c r="AK2018" t="s">
        <v>1210</v>
      </c>
      <c r="AL2018">
        <v>-87.601439999999997</v>
      </c>
      <c r="AM2018">
        <v>100</v>
      </c>
      <c r="AN2018">
        <v>2800</v>
      </c>
      <c r="AO2018" t="s">
        <v>118</v>
      </c>
      <c r="AP2018">
        <v>-85</v>
      </c>
      <c r="AQ2018">
        <v>-114</v>
      </c>
      <c r="AR2018">
        <v>0</v>
      </c>
      <c r="AZ2018">
        <v>4552</v>
      </c>
      <c r="BA2018">
        <v>1</v>
      </c>
      <c r="BB2018" t="str">
        <f t="shared" si="545"/>
        <v xml:space="preserve">N607SR  </v>
      </c>
      <c r="BC2018">
        <v>1</v>
      </c>
      <c r="BE2018">
        <v>0</v>
      </c>
      <c r="BF2018">
        <v>0</v>
      </c>
      <c r="BG2018">
        <v>0</v>
      </c>
      <c r="BH2018">
        <v>2575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 t="shared" si="561"/>
        <v>06:17:56.481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6</v>
      </c>
      <c r="CP2018" t="s">
        <v>119</v>
      </c>
      <c r="CQ2018">
        <v>465</v>
      </c>
      <c r="CR2018">
        <v>0</v>
      </c>
      <c r="CW2018">
        <v>4723834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 t="shared" si="558"/>
        <v>08/29/2020 06:17:53.248</v>
      </c>
      <c r="C2019" t="str">
        <f t="shared" si="543"/>
        <v>FFDFD3C0</v>
      </c>
      <c r="D2019" t="s">
        <v>121</v>
      </c>
      <c r="E2019">
        <v>13</v>
      </c>
      <c r="F2019">
        <v>1013</v>
      </c>
      <c r="G2019" t="s">
        <v>122</v>
      </c>
      <c r="J2019" t="s">
        <v>123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559"/>
        <v>06:17:56.477</v>
      </c>
      <c r="T2019" t="str">
        <f t="shared" si="560"/>
        <v>06:17:56.077</v>
      </c>
      <c r="U2019" t="str">
        <f t="shared" si="544"/>
        <v>A7E2E0</v>
      </c>
      <c r="V2019">
        <v>0</v>
      </c>
      <c r="W2019">
        <v>0</v>
      </c>
      <c r="X2019">
        <v>1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0</v>
      </c>
      <c r="AI2019" t="s">
        <v>1209</v>
      </c>
      <c r="AJ2019">
        <v>38.968313000000002</v>
      </c>
      <c r="AK2019" t="s">
        <v>1210</v>
      </c>
      <c r="AL2019">
        <v>-87.601439999999997</v>
      </c>
      <c r="AM2019">
        <v>100</v>
      </c>
      <c r="AN2019">
        <v>2800</v>
      </c>
      <c r="AO2019" t="s">
        <v>118</v>
      </c>
      <c r="AP2019">
        <v>-85</v>
      </c>
      <c r="AQ2019">
        <v>-114</v>
      </c>
      <c r="AR2019">
        <v>0</v>
      </c>
      <c r="AZ2019">
        <v>4552</v>
      </c>
      <c r="BA2019">
        <v>1</v>
      </c>
      <c r="BB2019" t="str">
        <f t="shared" si="545"/>
        <v xml:space="preserve">N607SR  </v>
      </c>
      <c r="BC2019">
        <v>1</v>
      </c>
      <c r="BE2019">
        <v>0</v>
      </c>
      <c r="BF2019">
        <v>0</v>
      </c>
      <c r="BG2019">
        <v>0</v>
      </c>
      <c r="BH2019">
        <v>2575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 t="shared" si="561"/>
        <v>06:17:56.481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6</v>
      </c>
      <c r="CP2019" t="s">
        <v>119</v>
      </c>
      <c r="CQ2019">
        <v>465</v>
      </c>
      <c r="CR2019">
        <v>0</v>
      </c>
      <c r="CW2019">
        <v>4723834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 t="shared" si="558"/>
        <v>08/29/2020 06:17:53.248</v>
      </c>
      <c r="C2020" t="str">
        <f t="shared" si="543"/>
        <v>FFDFD3C0</v>
      </c>
      <c r="D2020" t="s">
        <v>128</v>
      </c>
      <c r="E2020">
        <v>5</v>
      </c>
      <c r="H2020">
        <v>241</v>
      </c>
      <c r="I2020" t="s">
        <v>129</v>
      </c>
      <c r="J2020" t="s">
        <v>130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559"/>
        <v>06:17:56.477</v>
      </c>
      <c r="T2020" t="str">
        <f t="shared" si="560"/>
        <v>06:17:56.077</v>
      </c>
      <c r="U2020" t="str">
        <f t="shared" si="544"/>
        <v>A7E2E0</v>
      </c>
      <c r="V2020">
        <v>0</v>
      </c>
      <c r="W2020">
        <v>0</v>
      </c>
      <c r="X2020">
        <v>1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0</v>
      </c>
      <c r="AI2020" t="s">
        <v>1209</v>
      </c>
      <c r="AJ2020">
        <v>38.968313000000002</v>
      </c>
      <c r="AK2020" t="s">
        <v>1210</v>
      </c>
      <c r="AL2020">
        <v>-87.601439999999997</v>
      </c>
      <c r="AM2020">
        <v>100</v>
      </c>
      <c r="AN2020">
        <v>2800</v>
      </c>
      <c r="AO2020" t="s">
        <v>118</v>
      </c>
      <c r="AP2020">
        <v>-85</v>
      </c>
      <c r="AQ2020">
        <v>-114</v>
      </c>
      <c r="AR2020">
        <v>0</v>
      </c>
      <c r="AZ2020">
        <v>4552</v>
      </c>
      <c r="BA2020">
        <v>1</v>
      </c>
      <c r="BB2020" t="str">
        <f t="shared" si="545"/>
        <v xml:space="preserve">N607SR  </v>
      </c>
      <c r="BC2020">
        <v>1</v>
      </c>
      <c r="BE2020">
        <v>0</v>
      </c>
      <c r="BF2020">
        <v>0</v>
      </c>
      <c r="BG2020">
        <v>0</v>
      </c>
      <c r="BH2020">
        <v>2575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 t="shared" si="561"/>
        <v>06:17:56.481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6</v>
      </c>
      <c r="CP2020" t="s">
        <v>119</v>
      </c>
      <c r="CQ2020">
        <v>465</v>
      </c>
      <c r="CR2020">
        <v>0</v>
      </c>
      <c r="CW2020">
        <v>4723834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 t="shared" si="558"/>
        <v>08/29/2020 06:17:53.248</v>
      </c>
      <c r="C2021" t="str">
        <f t="shared" si="543"/>
        <v>FFDFD3C0</v>
      </c>
      <c r="D2021" t="s">
        <v>121</v>
      </c>
      <c r="E2021">
        <v>10</v>
      </c>
      <c r="F2021">
        <v>1010</v>
      </c>
      <c r="G2021" t="s">
        <v>114</v>
      </c>
      <c r="J2021" t="s">
        <v>123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559"/>
        <v>06:17:56.477</v>
      </c>
      <c r="T2021" t="str">
        <f t="shared" si="560"/>
        <v>06:17:56.077</v>
      </c>
      <c r="U2021" t="str">
        <f t="shared" si="544"/>
        <v>A7E2E0</v>
      </c>
      <c r="V2021">
        <v>0</v>
      </c>
      <c r="W2021">
        <v>0</v>
      </c>
      <c r="X2021">
        <v>1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0</v>
      </c>
      <c r="AI2021" t="s">
        <v>1209</v>
      </c>
      <c r="AJ2021">
        <v>38.968313000000002</v>
      </c>
      <c r="AK2021" t="s">
        <v>1210</v>
      </c>
      <c r="AL2021">
        <v>-87.601439999999997</v>
      </c>
      <c r="AM2021">
        <v>100</v>
      </c>
      <c r="AN2021">
        <v>2800</v>
      </c>
      <c r="AO2021" t="s">
        <v>118</v>
      </c>
      <c r="AP2021">
        <v>-85</v>
      </c>
      <c r="AQ2021">
        <v>-114</v>
      </c>
      <c r="AR2021">
        <v>0</v>
      </c>
      <c r="AZ2021">
        <v>4552</v>
      </c>
      <c r="BA2021">
        <v>1</v>
      </c>
      <c r="BB2021" t="str">
        <f t="shared" si="545"/>
        <v xml:space="preserve">N607SR  </v>
      </c>
      <c r="BC2021">
        <v>1</v>
      </c>
      <c r="BE2021">
        <v>0</v>
      </c>
      <c r="BF2021">
        <v>0</v>
      </c>
      <c r="BG2021">
        <v>0</v>
      </c>
      <c r="BH2021">
        <v>2575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 t="shared" si="561"/>
        <v>06:17:56.481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465</v>
      </c>
      <c r="CR2021">
        <v>0</v>
      </c>
      <c r="CW2021">
        <v>4723834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 t="shared" ref="A2022:A2027" si="562">"08/29/2020 06:17:54.276"</f>
        <v>08/29/2020 06:17:54.276</v>
      </c>
      <c r="C2022" t="str">
        <f t="shared" si="543"/>
        <v>FFDFD3C0</v>
      </c>
      <c r="D2022" t="s">
        <v>121</v>
      </c>
      <c r="E2022">
        <v>13</v>
      </c>
      <c r="F2022">
        <v>1013</v>
      </c>
      <c r="G2022" t="s">
        <v>122</v>
      </c>
      <c r="J2022" t="s">
        <v>123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ref="S2022:S2027" si="563">"06:17:57.516"</f>
        <v>06:17:57.516</v>
      </c>
      <c r="T2022" t="str">
        <f t="shared" ref="T2022:T2027" si="564">"06:17:57.016"</f>
        <v>06:17:57.016</v>
      </c>
      <c r="U2022" t="str">
        <f t="shared" si="544"/>
        <v>A7E2E0</v>
      </c>
      <c r="V2022">
        <v>0</v>
      </c>
      <c r="W2022">
        <v>0</v>
      </c>
      <c r="X2022">
        <v>1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0</v>
      </c>
      <c r="AI2022" t="s">
        <v>1211</v>
      </c>
      <c r="AJ2022">
        <v>38.967733000000003</v>
      </c>
      <c r="AK2022" t="s">
        <v>1212</v>
      </c>
      <c r="AL2022">
        <v>-87.601997999999995</v>
      </c>
      <c r="AM2022">
        <v>100</v>
      </c>
      <c r="AN2022">
        <v>2800</v>
      </c>
      <c r="AO2022" t="s">
        <v>118</v>
      </c>
      <c r="AP2022">
        <v>-85</v>
      </c>
      <c r="AQ2022">
        <v>-114</v>
      </c>
      <c r="AR2022">
        <v>0</v>
      </c>
      <c r="AZ2022">
        <v>4552</v>
      </c>
      <c r="BA2022">
        <v>1</v>
      </c>
      <c r="BB2022" t="str">
        <f t="shared" si="545"/>
        <v xml:space="preserve">N607SR  </v>
      </c>
      <c r="BC2022">
        <v>1</v>
      </c>
      <c r="BE2022">
        <v>0</v>
      </c>
      <c r="BF2022">
        <v>0</v>
      </c>
      <c r="BG2022">
        <v>0</v>
      </c>
      <c r="BH2022">
        <v>2575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 t="shared" ref="BW2022:BW2027" si="565">"06:17:57.516"</f>
        <v>06:17:57.516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465</v>
      </c>
      <c r="CR2022">
        <v>0</v>
      </c>
      <c r="CW2022">
        <v>4723863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 t="shared" si="562"/>
        <v>08/29/2020 06:17:54.276</v>
      </c>
      <c r="C2023" t="str">
        <f t="shared" si="543"/>
        <v>FFDFD3C0</v>
      </c>
      <c r="D2023" t="s">
        <v>128</v>
      </c>
      <c r="E2023">
        <v>5</v>
      </c>
      <c r="H2023">
        <v>241</v>
      </c>
      <c r="I2023" t="s">
        <v>129</v>
      </c>
      <c r="J2023" t="s">
        <v>130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563"/>
        <v>06:17:57.516</v>
      </c>
      <c r="T2023" t="str">
        <f t="shared" si="564"/>
        <v>06:17:57.016</v>
      </c>
      <c r="U2023" t="str">
        <f t="shared" si="544"/>
        <v>A7E2E0</v>
      </c>
      <c r="V2023">
        <v>0</v>
      </c>
      <c r="W2023">
        <v>0</v>
      </c>
      <c r="X2023">
        <v>1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0</v>
      </c>
      <c r="AI2023" t="s">
        <v>1211</v>
      </c>
      <c r="AJ2023">
        <v>38.967733000000003</v>
      </c>
      <c r="AK2023" t="s">
        <v>1212</v>
      </c>
      <c r="AL2023">
        <v>-87.601997999999995</v>
      </c>
      <c r="AM2023">
        <v>100</v>
      </c>
      <c r="AN2023">
        <v>2800</v>
      </c>
      <c r="AO2023" t="s">
        <v>118</v>
      </c>
      <c r="AP2023">
        <v>-85</v>
      </c>
      <c r="AQ2023">
        <v>-114</v>
      </c>
      <c r="AR2023">
        <v>0</v>
      </c>
      <c r="AZ2023">
        <v>4552</v>
      </c>
      <c r="BA2023">
        <v>1</v>
      </c>
      <c r="BB2023" t="str">
        <f t="shared" si="545"/>
        <v xml:space="preserve">N607SR  </v>
      </c>
      <c r="BC2023">
        <v>1</v>
      </c>
      <c r="BE2023">
        <v>0</v>
      </c>
      <c r="BF2023">
        <v>0</v>
      </c>
      <c r="BG2023">
        <v>0</v>
      </c>
      <c r="BH2023">
        <v>2575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 t="shared" si="565"/>
        <v>06:17:57.516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6</v>
      </c>
      <c r="CP2023" t="s">
        <v>119</v>
      </c>
      <c r="CQ2023">
        <v>465</v>
      </c>
      <c r="CR2023">
        <v>0</v>
      </c>
      <c r="CW2023">
        <v>4723863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 t="shared" si="562"/>
        <v>08/29/2020 06:17:54.276</v>
      </c>
      <c r="C2024" t="str">
        <f t="shared" si="543"/>
        <v>FFDFD3C0</v>
      </c>
      <c r="D2024" t="s">
        <v>121</v>
      </c>
      <c r="E2024">
        <v>10</v>
      </c>
      <c r="F2024">
        <v>1010</v>
      </c>
      <c r="G2024" t="s">
        <v>114</v>
      </c>
      <c r="J2024" t="s">
        <v>123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563"/>
        <v>06:17:57.516</v>
      </c>
      <c r="T2024" t="str">
        <f t="shared" si="564"/>
        <v>06:17:57.016</v>
      </c>
      <c r="U2024" t="str">
        <f t="shared" si="544"/>
        <v>A7E2E0</v>
      </c>
      <c r="V2024">
        <v>0</v>
      </c>
      <c r="W2024">
        <v>0</v>
      </c>
      <c r="X2024">
        <v>1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0</v>
      </c>
      <c r="AI2024" t="s">
        <v>1211</v>
      </c>
      <c r="AJ2024">
        <v>38.967733000000003</v>
      </c>
      <c r="AK2024" t="s">
        <v>1212</v>
      </c>
      <c r="AL2024">
        <v>-87.601997999999995</v>
      </c>
      <c r="AM2024">
        <v>100</v>
      </c>
      <c r="AN2024">
        <v>2800</v>
      </c>
      <c r="AO2024" t="s">
        <v>118</v>
      </c>
      <c r="AP2024">
        <v>-85</v>
      </c>
      <c r="AQ2024">
        <v>-114</v>
      </c>
      <c r="AR2024">
        <v>0</v>
      </c>
      <c r="AZ2024">
        <v>4552</v>
      </c>
      <c r="BA2024">
        <v>1</v>
      </c>
      <c r="BB2024" t="str">
        <f t="shared" si="545"/>
        <v xml:space="preserve">N607SR  </v>
      </c>
      <c r="BC2024">
        <v>1</v>
      </c>
      <c r="BE2024">
        <v>0</v>
      </c>
      <c r="BF2024">
        <v>0</v>
      </c>
      <c r="BG2024">
        <v>0</v>
      </c>
      <c r="BH2024">
        <v>2575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 t="shared" si="565"/>
        <v>06:17:57.516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465</v>
      </c>
      <c r="CR2024">
        <v>0</v>
      </c>
      <c r="CW2024">
        <v>4723863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 t="shared" si="562"/>
        <v>08/29/2020 06:17:54.276</v>
      </c>
      <c r="C2025" t="str">
        <f t="shared" si="543"/>
        <v>FFDFD3C0</v>
      </c>
      <c r="D2025" t="s">
        <v>939</v>
      </c>
      <c r="E2025">
        <v>10</v>
      </c>
      <c r="H2025">
        <v>79</v>
      </c>
      <c r="I2025" t="s">
        <v>940</v>
      </c>
      <c r="J2025" t="s">
        <v>130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563"/>
        <v>06:17:57.516</v>
      </c>
      <c r="T2025" t="str">
        <f t="shared" si="564"/>
        <v>06:17:57.016</v>
      </c>
      <c r="U2025" t="str">
        <f t="shared" si="544"/>
        <v>A7E2E0</v>
      </c>
      <c r="V2025">
        <v>0</v>
      </c>
      <c r="W2025">
        <v>0</v>
      </c>
      <c r="X2025">
        <v>1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0</v>
      </c>
      <c r="AI2025" t="s">
        <v>1211</v>
      </c>
      <c r="AJ2025">
        <v>38.967733000000003</v>
      </c>
      <c r="AK2025" t="s">
        <v>1212</v>
      </c>
      <c r="AL2025">
        <v>-87.601997999999995</v>
      </c>
      <c r="AM2025">
        <v>100</v>
      </c>
      <c r="AN2025">
        <v>2800</v>
      </c>
      <c r="AO2025" t="s">
        <v>118</v>
      </c>
      <c r="AP2025">
        <v>-85</v>
      </c>
      <c r="AQ2025">
        <v>-114</v>
      </c>
      <c r="AR2025">
        <v>0</v>
      </c>
      <c r="AZ2025">
        <v>4552</v>
      </c>
      <c r="BA2025">
        <v>1</v>
      </c>
      <c r="BB2025" t="str">
        <f t="shared" si="545"/>
        <v xml:space="preserve">N607SR  </v>
      </c>
      <c r="BC2025">
        <v>1</v>
      </c>
      <c r="BE2025">
        <v>0</v>
      </c>
      <c r="BF2025">
        <v>0</v>
      </c>
      <c r="BG2025">
        <v>0</v>
      </c>
      <c r="BH2025">
        <v>2575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 t="shared" si="565"/>
        <v>06:17:57.516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465</v>
      </c>
      <c r="CR2025">
        <v>0</v>
      </c>
      <c r="CW2025">
        <v>4723863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 t="shared" si="562"/>
        <v>08/29/2020 06:17:54.276</v>
      </c>
      <c r="C2026" t="str">
        <f t="shared" si="543"/>
        <v>FFDFD3C0</v>
      </c>
      <c r="D2026" t="s">
        <v>121</v>
      </c>
      <c r="E2026">
        <v>11</v>
      </c>
      <c r="F2026">
        <v>1011</v>
      </c>
      <c r="G2026" t="s">
        <v>125</v>
      </c>
      <c r="J2026" t="s">
        <v>123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563"/>
        <v>06:17:57.516</v>
      </c>
      <c r="T2026" t="str">
        <f t="shared" si="564"/>
        <v>06:17:57.016</v>
      </c>
      <c r="U2026" t="str">
        <f t="shared" si="544"/>
        <v>A7E2E0</v>
      </c>
      <c r="V2026">
        <v>0</v>
      </c>
      <c r="W2026">
        <v>0</v>
      </c>
      <c r="X2026">
        <v>1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0</v>
      </c>
      <c r="AI2026" t="s">
        <v>1211</v>
      </c>
      <c r="AJ2026">
        <v>38.967733000000003</v>
      </c>
      <c r="AK2026" t="s">
        <v>1212</v>
      </c>
      <c r="AL2026">
        <v>-87.601997999999995</v>
      </c>
      <c r="AM2026">
        <v>100</v>
      </c>
      <c r="AN2026">
        <v>2800</v>
      </c>
      <c r="AO2026" t="s">
        <v>118</v>
      </c>
      <c r="AP2026">
        <v>-85</v>
      </c>
      <c r="AQ2026">
        <v>-114</v>
      </c>
      <c r="AR2026">
        <v>0</v>
      </c>
      <c r="AZ2026">
        <v>4552</v>
      </c>
      <c r="BA2026">
        <v>1</v>
      </c>
      <c r="BB2026" t="str">
        <f t="shared" si="545"/>
        <v xml:space="preserve">N607SR  </v>
      </c>
      <c r="BC2026">
        <v>1</v>
      </c>
      <c r="BE2026">
        <v>0</v>
      </c>
      <c r="BF2026">
        <v>0</v>
      </c>
      <c r="BG2026">
        <v>0</v>
      </c>
      <c r="BH2026">
        <v>2575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 t="shared" si="565"/>
        <v>06:17:57.516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3</v>
      </c>
      <c r="CP2026" t="s">
        <v>119</v>
      </c>
      <c r="CQ2026">
        <v>177</v>
      </c>
      <c r="CR2026">
        <v>2</v>
      </c>
      <c r="CW2026">
        <v>1659894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 t="shared" si="562"/>
        <v>08/29/2020 06:17:54.276</v>
      </c>
      <c r="C2027" t="str">
        <f t="shared" si="543"/>
        <v>FFDFD3C0</v>
      </c>
      <c r="D2027" t="s">
        <v>113</v>
      </c>
      <c r="E2027">
        <v>5</v>
      </c>
      <c r="H2027">
        <v>163</v>
      </c>
      <c r="I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563"/>
        <v>06:17:57.516</v>
      </c>
      <c r="T2027" t="str">
        <f t="shared" si="564"/>
        <v>06:17:57.016</v>
      </c>
      <c r="U2027" t="str">
        <f t="shared" si="544"/>
        <v>A7E2E0</v>
      </c>
      <c r="V2027">
        <v>0</v>
      </c>
      <c r="W2027">
        <v>0</v>
      </c>
      <c r="X2027">
        <v>1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0</v>
      </c>
      <c r="AI2027" t="s">
        <v>1211</v>
      </c>
      <c r="AJ2027">
        <v>38.967733000000003</v>
      </c>
      <c r="AK2027" t="s">
        <v>1212</v>
      </c>
      <c r="AL2027">
        <v>-87.601997999999995</v>
      </c>
      <c r="AM2027">
        <v>100</v>
      </c>
      <c r="AN2027">
        <v>2800</v>
      </c>
      <c r="AO2027" t="s">
        <v>118</v>
      </c>
      <c r="AP2027">
        <v>-85</v>
      </c>
      <c r="AQ2027">
        <v>-114</v>
      </c>
      <c r="AR2027">
        <v>0</v>
      </c>
      <c r="AZ2027">
        <v>4552</v>
      </c>
      <c r="BA2027">
        <v>1</v>
      </c>
      <c r="BB2027" t="str">
        <f t="shared" si="545"/>
        <v xml:space="preserve">N607SR  </v>
      </c>
      <c r="BC2027">
        <v>1</v>
      </c>
      <c r="BE2027">
        <v>0</v>
      </c>
      <c r="BF2027">
        <v>0</v>
      </c>
      <c r="BG2027">
        <v>0</v>
      </c>
      <c r="BH2027">
        <v>2575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 t="shared" si="565"/>
        <v>06:17:57.516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465</v>
      </c>
      <c r="CR2027">
        <v>0</v>
      </c>
      <c r="CW2027">
        <v>4723863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 t="shared" ref="A2028:A2033" si="566">"08/29/2020 06:17:55.239"</f>
        <v>08/29/2020 06:17:55.239</v>
      </c>
      <c r="C2028" t="str">
        <f t="shared" si="543"/>
        <v>FFDFD3C0</v>
      </c>
      <c r="D2028" t="s">
        <v>121</v>
      </c>
      <c r="E2028">
        <v>13</v>
      </c>
      <c r="F2028">
        <v>1013</v>
      </c>
      <c r="G2028" t="s">
        <v>122</v>
      </c>
      <c r="J2028" t="s">
        <v>123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ref="S2028:S2033" si="567">"06:17:58.453"</f>
        <v>06:17:58.453</v>
      </c>
      <c r="T2028" t="str">
        <f t="shared" ref="T2028:T2033" si="568">"06:17:58.153"</f>
        <v>06:17:58.153</v>
      </c>
      <c r="U2028" t="str">
        <f t="shared" si="544"/>
        <v>A7E2E0</v>
      </c>
      <c r="V2028">
        <v>0</v>
      </c>
      <c r="W2028">
        <v>0</v>
      </c>
      <c r="X2028">
        <v>1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0</v>
      </c>
      <c r="AI2028" t="s">
        <v>1213</v>
      </c>
      <c r="AJ2028">
        <v>38.967239999999997</v>
      </c>
      <c r="AK2028" t="s">
        <v>1214</v>
      </c>
      <c r="AL2028">
        <v>-87.602469999999997</v>
      </c>
      <c r="AM2028">
        <v>100</v>
      </c>
      <c r="AN2028">
        <v>2800</v>
      </c>
      <c r="AO2028" t="s">
        <v>118</v>
      </c>
      <c r="AP2028">
        <v>-85</v>
      </c>
      <c r="AQ2028">
        <v>-113</v>
      </c>
      <c r="AR2028">
        <v>0</v>
      </c>
      <c r="AZ2028">
        <v>4552</v>
      </c>
      <c r="BA2028">
        <v>1</v>
      </c>
      <c r="BB2028" t="str">
        <f t="shared" si="545"/>
        <v xml:space="preserve">N607SR  </v>
      </c>
      <c r="BC2028">
        <v>1</v>
      </c>
      <c r="BE2028">
        <v>0</v>
      </c>
      <c r="BF2028">
        <v>0</v>
      </c>
      <c r="BG2028">
        <v>0</v>
      </c>
      <c r="BH2028">
        <v>2575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 t="shared" ref="BW2028:BW2033" si="569">"06:17:58.453"</f>
        <v>06:17:58.453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6</v>
      </c>
      <c r="CP2028" t="s">
        <v>119</v>
      </c>
      <c r="CQ2028">
        <v>465</v>
      </c>
      <c r="CR2028">
        <v>0</v>
      </c>
      <c r="CW2028">
        <v>4723897</v>
      </c>
      <c r="CY2028">
        <v>1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 t="shared" si="566"/>
        <v>08/29/2020 06:17:55.239</v>
      </c>
      <c r="C2029" t="str">
        <f t="shared" si="543"/>
        <v>FFDFD3C0</v>
      </c>
      <c r="D2029" t="s">
        <v>128</v>
      </c>
      <c r="E2029">
        <v>5</v>
      </c>
      <c r="H2029">
        <v>241</v>
      </c>
      <c r="I2029" t="s">
        <v>129</v>
      </c>
      <c r="J2029" t="s">
        <v>130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567"/>
        <v>06:17:58.453</v>
      </c>
      <c r="T2029" t="str">
        <f t="shared" si="568"/>
        <v>06:17:58.153</v>
      </c>
      <c r="U2029" t="str">
        <f t="shared" si="544"/>
        <v>A7E2E0</v>
      </c>
      <c r="V2029">
        <v>0</v>
      </c>
      <c r="W2029">
        <v>0</v>
      </c>
      <c r="X2029">
        <v>1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0</v>
      </c>
      <c r="AI2029" t="s">
        <v>1213</v>
      </c>
      <c r="AJ2029">
        <v>38.967239999999997</v>
      </c>
      <c r="AK2029" t="s">
        <v>1214</v>
      </c>
      <c r="AL2029">
        <v>-87.602469999999997</v>
      </c>
      <c r="AM2029">
        <v>100</v>
      </c>
      <c r="AN2029">
        <v>2800</v>
      </c>
      <c r="AO2029" t="s">
        <v>118</v>
      </c>
      <c r="AP2029">
        <v>-85</v>
      </c>
      <c r="AQ2029">
        <v>-113</v>
      </c>
      <c r="AR2029">
        <v>0</v>
      </c>
      <c r="AZ2029">
        <v>4552</v>
      </c>
      <c r="BA2029">
        <v>1</v>
      </c>
      <c r="BB2029" t="str">
        <f t="shared" si="545"/>
        <v xml:space="preserve">N607SR  </v>
      </c>
      <c r="BC2029">
        <v>1</v>
      </c>
      <c r="BE2029">
        <v>0</v>
      </c>
      <c r="BF2029">
        <v>0</v>
      </c>
      <c r="BG2029">
        <v>0</v>
      </c>
      <c r="BH2029">
        <v>2575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 t="shared" si="569"/>
        <v>06:17:58.453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6</v>
      </c>
      <c r="CP2029" t="s">
        <v>119</v>
      </c>
      <c r="CQ2029">
        <v>465</v>
      </c>
      <c r="CR2029">
        <v>0</v>
      </c>
      <c r="CW2029">
        <v>4723897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 t="shared" si="566"/>
        <v>08/29/2020 06:17:55.239</v>
      </c>
      <c r="C2030" t="str">
        <f t="shared" si="543"/>
        <v>FFDFD3C0</v>
      </c>
      <c r="D2030" t="s">
        <v>939</v>
      </c>
      <c r="E2030">
        <v>10</v>
      </c>
      <c r="H2030">
        <v>79</v>
      </c>
      <c r="I2030" t="s">
        <v>940</v>
      </c>
      <c r="J2030" t="s">
        <v>130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567"/>
        <v>06:17:58.453</v>
      </c>
      <c r="T2030" t="str">
        <f t="shared" si="568"/>
        <v>06:17:58.153</v>
      </c>
      <c r="U2030" t="str">
        <f t="shared" si="544"/>
        <v>A7E2E0</v>
      </c>
      <c r="V2030">
        <v>0</v>
      </c>
      <c r="W2030">
        <v>0</v>
      </c>
      <c r="X2030">
        <v>1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0</v>
      </c>
      <c r="AI2030" t="s">
        <v>1213</v>
      </c>
      <c r="AJ2030">
        <v>38.967239999999997</v>
      </c>
      <c r="AK2030" t="s">
        <v>1214</v>
      </c>
      <c r="AL2030">
        <v>-87.602469999999997</v>
      </c>
      <c r="AM2030">
        <v>100</v>
      </c>
      <c r="AN2030">
        <v>2800</v>
      </c>
      <c r="AO2030" t="s">
        <v>118</v>
      </c>
      <c r="AP2030">
        <v>-85</v>
      </c>
      <c r="AQ2030">
        <v>-113</v>
      </c>
      <c r="AR2030">
        <v>0</v>
      </c>
      <c r="AZ2030">
        <v>4552</v>
      </c>
      <c r="BA2030">
        <v>1</v>
      </c>
      <c r="BB2030" t="str">
        <f t="shared" si="545"/>
        <v xml:space="preserve">N607SR  </v>
      </c>
      <c r="BC2030">
        <v>1</v>
      </c>
      <c r="BE2030">
        <v>0</v>
      </c>
      <c r="BF2030">
        <v>0</v>
      </c>
      <c r="BG2030">
        <v>0</v>
      </c>
      <c r="BH2030">
        <v>2575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 t="shared" si="569"/>
        <v>06:17:58.453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6</v>
      </c>
      <c r="CP2030" t="s">
        <v>119</v>
      </c>
      <c r="CQ2030">
        <v>465</v>
      </c>
      <c r="CR2030">
        <v>0</v>
      </c>
      <c r="CW2030">
        <v>4723897</v>
      </c>
      <c r="CY2030">
        <v>1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 t="shared" si="566"/>
        <v>08/29/2020 06:17:55.239</v>
      </c>
      <c r="C2031" t="str">
        <f t="shared" si="543"/>
        <v>FFDFD3C0</v>
      </c>
      <c r="D2031" t="s">
        <v>121</v>
      </c>
      <c r="E2031">
        <v>10</v>
      </c>
      <c r="F2031">
        <v>1010</v>
      </c>
      <c r="G2031" t="s">
        <v>114</v>
      </c>
      <c r="J2031" t="s">
        <v>123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567"/>
        <v>06:17:58.453</v>
      </c>
      <c r="T2031" t="str">
        <f t="shared" si="568"/>
        <v>06:17:58.153</v>
      </c>
      <c r="U2031" t="str">
        <f t="shared" si="544"/>
        <v>A7E2E0</v>
      </c>
      <c r="V2031">
        <v>0</v>
      </c>
      <c r="W2031">
        <v>0</v>
      </c>
      <c r="X2031">
        <v>1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0</v>
      </c>
      <c r="AI2031" t="s">
        <v>1213</v>
      </c>
      <c r="AJ2031">
        <v>38.967239999999997</v>
      </c>
      <c r="AK2031" t="s">
        <v>1214</v>
      </c>
      <c r="AL2031">
        <v>-87.602469999999997</v>
      </c>
      <c r="AM2031">
        <v>100</v>
      </c>
      <c r="AN2031">
        <v>2800</v>
      </c>
      <c r="AO2031" t="s">
        <v>118</v>
      </c>
      <c r="AP2031">
        <v>-85</v>
      </c>
      <c r="AQ2031">
        <v>-113</v>
      </c>
      <c r="AR2031">
        <v>0</v>
      </c>
      <c r="AZ2031">
        <v>4552</v>
      </c>
      <c r="BA2031">
        <v>1</v>
      </c>
      <c r="BB2031" t="str">
        <f t="shared" si="545"/>
        <v xml:space="preserve">N607SR  </v>
      </c>
      <c r="BC2031">
        <v>1</v>
      </c>
      <c r="BE2031">
        <v>0</v>
      </c>
      <c r="BF2031">
        <v>0</v>
      </c>
      <c r="BG2031">
        <v>0</v>
      </c>
      <c r="BH2031">
        <v>2575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 t="shared" si="569"/>
        <v>06:17:58.453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6</v>
      </c>
      <c r="CP2031" t="s">
        <v>119</v>
      </c>
      <c r="CQ2031">
        <v>465</v>
      </c>
      <c r="CR2031">
        <v>0</v>
      </c>
      <c r="CW2031">
        <v>4723897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 t="shared" si="566"/>
        <v>08/29/2020 06:17:55.239</v>
      </c>
      <c r="C2032" t="str">
        <f t="shared" si="543"/>
        <v>FFDFD3C0</v>
      </c>
      <c r="D2032" t="s">
        <v>121</v>
      </c>
      <c r="E2032">
        <v>11</v>
      </c>
      <c r="F2032">
        <v>1011</v>
      </c>
      <c r="G2032" t="s">
        <v>125</v>
      </c>
      <c r="J2032" t="s">
        <v>123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567"/>
        <v>06:17:58.453</v>
      </c>
      <c r="T2032" t="str">
        <f t="shared" si="568"/>
        <v>06:17:58.153</v>
      </c>
      <c r="U2032" t="str">
        <f t="shared" si="544"/>
        <v>A7E2E0</v>
      </c>
      <c r="V2032">
        <v>0</v>
      </c>
      <c r="W2032">
        <v>0</v>
      </c>
      <c r="X2032">
        <v>1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0</v>
      </c>
      <c r="AI2032" t="s">
        <v>1213</v>
      </c>
      <c r="AJ2032">
        <v>38.967239999999997</v>
      </c>
      <c r="AK2032" t="s">
        <v>1214</v>
      </c>
      <c r="AL2032">
        <v>-87.602469999999997</v>
      </c>
      <c r="AM2032">
        <v>100</v>
      </c>
      <c r="AN2032">
        <v>2800</v>
      </c>
      <c r="AO2032" t="s">
        <v>118</v>
      </c>
      <c r="AP2032">
        <v>-85</v>
      </c>
      <c r="AQ2032">
        <v>-113</v>
      </c>
      <c r="AR2032">
        <v>0</v>
      </c>
      <c r="AZ2032">
        <v>4552</v>
      </c>
      <c r="BA2032">
        <v>1</v>
      </c>
      <c r="BB2032" t="str">
        <f t="shared" si="545"/>
        <v xml:space="preserve">N607SR  </v>
      </c>
      <c r="BC2032">
        <v>1</v>
      </c>
      <c r="BE2032">
        <v>0</v>
      </c>
      <c r="BF2032">
        <v>0</v>
      </c>
      <c r="BG2032">
        <v>0</v>
      </c>
      <c r="BH2032">
        <v>2575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 t="shared" si="569"/>
        <v>06:17:58.453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3</v>
      </c>
      <c r="CP2032" t="s">
        <v>119</v>
      </c>
      <c r="CQ2032">
        <v>177</v>
      </c>
      <c r="CR2032">
        <v>2</v>
      </c>
      <c r="CW2032">
        <v>1660063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 t="shared" si="566"/>
        <v>08/29/2020 06:17:55.239</v>
      </c>
      <c r="C2033" t="str">
        <f t="shared" si="543"/>
        <v>FFDFD3C0</v>
      </c>
      <c r="D2033" t="s">
        <v>113</v>
      </c>
      <c r="E2033">
        <v>5</v>
      </c>
      <c r="H2033">
        <v>163</v>
      </c>
      <c r="I2033" t="s">
        <v>114</v>
      </c>
      <c r="J2033" t="s">
        <v>115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567"/>
        <v>06:17:58.453</v>
      </c>
      <c r="T2033" t="str">
        <f t="shared" si="568"/>
        <v>06:17:58.153</v>
      </c>
      <c r="U2033" t="str">
        <f t="shared" si="544"/>
        <v>A7E2E0</v>
      </c>
      <c r="V2033">
        <v>0</v>
      </c>
      <c r="W2033">
        <v>0</v>
      </c>
      <c r="X2033">
        <v>1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0</v>
      </c>
      <c r="AI2033" t="s">
        <v>1213</v>
      </c>
      <c r="AJ2033">
        <v>38.967239999999997</v>
      </c>
      <c r="AK2033" t="s">
        <v>1214</v>
      </c>
      <c r="AL2033">
        <v>-87.602469999999997</v>
      </c>
      <c r="AM2033">
        <v>100</v>
      </c>
      <c r="AN2033">
        <v>2800</v>
      </c>
      <c r="AO2033" t="s">
        <v>118</v>
      </c>
      <c r="AP2033">
        <v>-85</v>
      </c>
      <c r="AQ2033">
        <v>-113</v>
      </c>
      <c r="AR2033">
        <v>0</v>
      </c>
      <c r="AZ2033">
        <v>4552</v>
      </c>
      <c r="BA2033">
        <v>1</v>
      </c>
      <c r="BB2033" t="str">
        <f t="shared" si="545"/>
        <v xml:space="preserve">N607SR  </v>
      </c>
      <c r="BC2033">
        <v>1</v>
      </c>
      <c r="BE2033">
        <v>0</v>
      </c>
      <c r="BF2033">
        <v>0</v>
      </c>
      <c r="BG2033">
        <v>0</v>
      </c>
      <c r="BH2033">
        <v>2575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 t="shared" si="569"/>
        <v>06:17:58.453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6</v>
      </c>
      <c r="CP2033" t="s">
        <v>119</v>
      </c>
      <c r="CQ2033">
        <v>465</v>
      </c>
      <c r="CR2033">
        <v>0</v>
      </c>
      <c r="CW2033">
        <v>4723897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 t="shared" ref="A2034:A2039" si="570">"08/29/2020 06:17:56.212"</f>
        <v>08/29/2020 06:17:56.212</v>
      </c>
      <c r="C2034" t="str">
        <f t="shared" si="543"/>
        <v>FFDFD3C0</v>
      </c>
      <c r="D2034" t="s">
        <v>939</v>
      </c>
      <c r="E2034">
        <v>10</v>
      </c>
      <c r="H2034">
        <v>79</v>
      </c>
      <c r="I2034" t="s">
        <v>940</v>
      </c>
      <c r="J2034" t="s">
        <v>130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ref="S2034:S2039" si="571">"06:17:59.414"</f>
        <v>06:17:59.414</v>
      </c>
      <c r="T2034" t="str">
        <f>"06:17:59.014"</f>
        <v>06:17:59.014</v>
      </c>
      <c r="U2034" t="str">
        <f t="shared" si="544"/>
        <v>A7E2E0</v>
      </c>
      <c r="V2034">
        <v>0</v>
      </c>
      <c r="W2034">
        <v>0</v>
      </c>
      <c r="X2034">
        <v>1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0</v>
      </c>
      <c r="AI2034" t="s">
        <v>1215</v>
      </c>
      <c r="AJ2034">
        <v>38.966746000000001</v>
      </c>
      <c r="AK2034" t="s">
        <v>1216</v>
      </c>
      <c r="AL2034">
        <v>-87.602963000000003</v>
      </c>
      <c r="AM2034">
        <v>100</v>
      </c>
      <c r="AN2034">
        <v>2800</v>
      </c>
      <c r="AO2034" t="s">
        <v>118</v>
      </c>
      <c r="AP2034">
        <v>-85</v>
      </c>
      <c r="AQ2034">
        <v>-113</v>
      </c>
      <c r="AR2034">
        <v>0</v>
      </c>
      <c r="AZ2034">
        <v>4552</v>
      </c>
      <c r="BA2034">
        <v>1</v>
      </c>
      <c r="BB2034" t="str">
        <f t="shared" si="545"/>
        <v xml:space="preserve">N607SR  </v>
      </c>
      <c r="BC2034">
        <v>1</v>
      </c>
      <c r="BE2034">
        <v>0</v>
      </c>
      <c r="BF2034">
        <v>0</v>
      </c>
      <c r="BG2034">
        <v>0</v>
      </c>
      <c r="BH2034">
        <v>2575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 t="shared" ref="BW2034:BW2039" si="572">"06:17:59.417"</f>
        <v>06:17:59.417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6</v>
      </c>
      <c r="CP2034" t="s">
        <v>119</v>
      </c>
      <c r="CQ2034">
        <v>465</v>
      </c>
      <c r="CR2034">
        <v>0</v>
      </c>
      <c r="CW2034">
        <v>4723924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 t="shared" si="570"/>
        <v>08/29/2020 06:17:56.212</v>
      </c>
      <c r="C2035" t="str">
        <f t="shared" si="543"/>
        <v>FFDFD3C0</v>
      </c>
      <c r="D2035" t="s">
        <v>128</v>
      </c>
      <c r="E2035">
        <v>5</v>
      </c>
      <c r="H2035">
        <v>241</v>
      </c>
      <c r="I2035" t="s">
        <v>129</v>
      </c>
      <c r="J2035" t="s">
        <v>130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571"/>
        <v>06:17:59.414</v>
      </c>
      <c r="U2035" t="str">
        <f t="shared" si="544"/>
        <v>A7E2E0</v>
      </c>
      <c r="V2035">
        <v>0</v>
      </c>
      <c r="W2035">
        <v>0</v>
      </c>
      <c r="X2035">
        <v>1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0</v>
      </c>
      <c r="AI2035" t="s">
        <v>1215</v>
      </c>
      <c r="AJ2035">
        <v>38.966746000000001</v>
      </c>
      <c r="AK2035" t="s">
        <v>1216</v>
      </c>
      <c r="AL2035">
        <v>-87.602963000000003</v>
      </c>
      <c r="AM2035">
        <v>100</v>
      </c>
      <c r="AN2035">
        <v>2800</v>
      </c>
      <c r="AO2035" t="s">
        <v>118</v>
      </c>
      <c r="AP2035">
        <v>-85</v>
      </c>
      <c r="AQ2035">
        <v>-113</v>
      </c>
      <c r="AR2035">
        <v>0</v>
      </c>
      <c r="AZ2035">
        <v>4552</v>
      </c>
      <c r="BA2035">
        <v>1</v>
      </c>
      <c r="BB2035" t="str">
        <f t="shared" si="545"/>
        <v xml:space="preserve">N607SR  </v>
      </c>
      <c r="BC2035">
        <v>1</v>
      </c>
      <c r="BE2035">
        <v>0</v>
      </c>
      <c r="BF2035">
        <v>0</v>
      </c>
      <c r="BG2035">
        <v>0</v>
      </c>
      <c r="BH2035">
        <v>2575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 t="shared" si="572"/>
        <v>06:17:59.417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5</v>
      </c>
      <c r="CP2035" t="s">
        <v>119</v>
      </c>
      <c r="CQ2035">
        <v>517</v>
      </c>
      <c r="CR2035">
        <v>1</v>
      </c>
      <c r="CW2035">
        <v>2484238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 t="shared" si="570"/>
        <v>08/29/2020 06:17:56.212</v>
      </c>
      <c r="C2036" t="str">
        <f t="shared" si="543"/>
        <v>FFDFD3C0</v>
      </c>
      <c r="D2036" t="s">
        <v>121</v>
      </c>
      <c r="E2036">
        <v>13</v>
      </c>
      <c r="F2036">
        <v>1013</v>
      </c>
      <c r="G2036" t="s">
        <v>122</v>
      </c>
      <c r="J2036" t="s">
        <v>123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571"/>
        <v>06:17:59.414</v>
      </c>
      <c r="U2036" t="str">
        <f t="shared" si="544"/>
        <v>A7E2E0</v>
      </c>
      <c r="V2036">
        <v>0</v>
      </c>
      <c r="W2036">
        <v>0</v>
      </c>
      <c r="X2036">
        <v>1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0</v>
      </c>
      <c r="AI2036" t="s">
        <v>1215</v>
      </c>
      <c r="AJ2036">
        <v>38.966746000000001</v>
      </c>
      <c r="AK2036" t="s">
        <v>1216</v>
      </c>
      <c r="AL2036">
        <v>-87.602963000000003</v>
      </c>
      <c r="AM2036">
        <v>100</v>
      </c>
      <c r="AN2036">
        <v>2800</v>
      </c>
      <c r="AO2036" t="s">
        <v>118</v>
      </c>
      <c r="AP2036">
        <v>-85</v>
      </c>
      <c r="AQ2036">
        <v>-113</v>
      </c>
      <c r="AR2036">
        <v>0</v>
      </c>
      <c r="AZ2036">
        <v>4552</v>
      </c>
      <c r="BA2036">
        <v>1</v>
      </c>
      <c r="BB2036" t="str">
        <f t="shared" si="545"/>
        <v xml:space="preserve">N607SR  </v>
      </c>
      <c r="BC2036">
        <v>1</v>
      </c>
      <c r="BE2036">
        <v>0</v>
      </c>
      <c r="BF2036">
        <v>0</v>
      </c>
      <c r="BG2036">
        <v>0</v>
      </c>
      <c r="BH2036">
        <v>2575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 t="shared" si="572"/>
        <v>06:17:59.417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5</v>
      </c>
      <c r="CP2036" t="s">
        <v>119</v>
      </c>
      <c r="CQ2036">
        <v>517</v>
      </c>
      <c r="CR2036">
        <v>1</v>
      </c>
      <c r="CW2036">
        <v>2484238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 t="shared" si="570"/>
        <v>08/29/2020 06:17:56.212</v>
      </c>
      <c r="C2037" t="str">
        <f t="shared" si="543"/>
        <v>FFDFD3C0</v>
      </c>
      <c r="D2037" t="s">
        <v>121</v>
      </c>
      <c r="E2037">
        <v>10</v>
      </c>
      <c r="F2037">
        <v>1010</v>
      </c>
      <c r="G2037" t="s">
        <v>114</v>
      </c>
      <c r="J2037" t="s">
        <v>123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571"/>
        <v>06:17:59.414</v>
      </c>
      <c r="U2037" t="str">
        <f t="shared" si="544"/>
        <v>A7E2E0</v>
      </c>
      <c r="V2037">
        <v>0</v>
      </c>
      <c r="W2037">
        <v>0</v>
      </c>
      <c r="X2037">
        <v>1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0</v>
      </c>
      <c r="AI2037" t="s">
        <v>1215</v>
      </c>
      <c r="AJ2037">
        <v>38.966746000000001</v>
      </c>
      <c r="AK2037" t="s">
        <v>1216</v>
      </c>
      <c r="AL2037">
        <v>-87.602963000000003</v>
      </c>
      <c r="AM2037">
        <v>100</v>
      </c>
      <c r="AN2037">
        <v>2800</v>
      </c>
      <c r="AO2037" t="s">
        <v>118</v>
      </c>
      <c r="AP2037">
        <v>-85</v>
      </c>
      <c r="AQ2037">
        <v>-113</v>
      </c>
      <c r="AR2037">
        <v>0</v>
      </c>
      <c r="AZ2037">
        <v>4552</v>
      </c>
      <c r="BA2037">
        <v>1</v>
      </c>
      <c r="BB2037" t="str">
        <f t="shared" si="545"/>
        <v xml:space="preserve">N607SR  </v>
      </c>
      <c r="BC2037">
        <v>1</v>
      </c>
      <c r="BE2037">
        <v>0</v>
      </c>
      <c r="BF2037">
        <v>0</v>
      </c>
      <c r="BG2037">
        <v>0</v>
      </c>
      <c r="BH2037">
        <v>2575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 t="shared" si="572"/>
        <v>06:17:59.417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5</v>
      </c>
      <c r="CP2037" t="s">
        <v>119</v>
      </c>
      <c r="CQ2037">
        <v>517</v>
      </c>
      <c r="CR2037">
        <v>1</v>
      </c>
      <c r="CW2037">
        <v>2484238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 t="shared" si="570"/>
        <v>08/29/2020 06:17:56.212</v>
      </c>
      <c r="C2038" t="str">
        <f t="shared" si="543"/>
        <v>FFDFD3C0</v>
      </c>
      <c r="D2038" t="s">
        <v>121</v>
      </c>
      <c r="E2038">
        <v>11</v>
      </c>
      <c r="F2038">
        <v>1011</v>
      </c>
      <c r="G2038" t="s">
        <v>125</v>
      </c>
      <c r="J2038" t="s">
        <v>123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571"/>
        <v>06:17:59.414</v>
      </c>
      <c r="T2038" t="str">
        <f>"06:17:59.014"</f>
        <v>06:17:59.014</v>
      </c>
      <c r="U2038" t="str">
        <f t="shared" si="544"/>
        <v>A7E2E0</v>
      </c>
      <c r="V2038">
        <v>0</v>
      </c>
      <c r="W2038">
        <v>0</v>
      </c>
      <c r="X2038">
        <v>1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0</v>
      </c>
      <c r="AI2038" t="s">
        <v>1215</v>
      </c>
      <c r="AJ2038">
        <v>38.966746000000001</v>
      </c>
      <c r="AK2038" t="s">
        <v>1216</v>
      </c>
      <c r="AL2038">
        <v>-87.602963000000003</v>
      </c>
      <c r="AM2038">
        <v>100</v>
      </c>
      <c r="AN2038">
        <v>2800</v>
      </c>
      <c r="AO2038" t="s">
        <v>118</v>
      </c>
      <c r="AP2038">
        <v>-85</v>
      </c>
      <c r="AQ2038">
        <v>-113</v>
      </c>
      <c r="AR2038">
        <v>0</v>
      </c>
      <c r="AZ2038">
        <v>4552</v>
      </c>
      <c r="BA2038">
        <v>1</v>
      </c>
      <c r="BB2038" t="str">
        <f t="shared" si="545"/>
        <v xml:space="preserve">N607SR  </v>
      </c>
      <c r="BC2038">
        <v>1</v>
      </c>
      <c r="BE2038">
        <v>0</v>
      </c>
      <c r="BF2038">
        <v>0</v>
      </c>
      <c r="BG2038">
        <v>0</v>
      </c>
      <c r="BH2038">
        <v>2575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 t="shared" si="572"/>
        <v>06:17:59.417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4</v>
      </c>
      <c r="CP2038" t="s">
        <v>119</v>
      </c>
      <c r="CQ2038">
        <v>457</v>
      </c>
      <c r="CR2038">
        <v>0</v>
      </c>
      <c r="CW2038">
        <v>15519347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 t="shared" si="570"/>
        <v>08/29/2020 06:17:56.212</v>
      </c>
      <c r="C2039" t="str">
        <f t="shared" si="543"/>
        <v>FFDFD3C0</v>
      </c>
      <c r="D2039" t="s">
        <v>113</v>
      </c>
      <c r="E2039">
        <v>5</v>
      </c>
      <c r="H2039">
        <v>163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571"/>
        <v>06:17:59.414</v>
      </c>
      <c r="U2039" t="str">
        <f t="shared" si="544"/>
        <v>A7E2E0</v>
      </c>
      <c r="V2039">
        <v>0</v>
      </c>
      <c r="W2039">
        <v>0</v>
      </c>
      <c r="X2039">
        <v>1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0</v>
      </c>
      <c r="AI2039" t="s">
        <v>1215</v>
      </c>
      <c r="AJ2039">
        <v>38.966746000000001</v>
      </c>
      <c r="AK2039" t="s">
        <v>1216</v>
      </c>
      <c r="AL2039">
        <v>-87.602963000000003</v>
      </c>
      <c r="AM2039">
        <v>100</v>
      </c>
      <c r="AN2039">
        <v>2800</v>
      </c>
      <c r="AO2039" t="s">
        <v>118</v>
      </c>
      <c r="AP2039">
        <v>-85</v>
      </c>
      <c r="AQ2039">
        <v>-113</v>
      </c>
      <c r="AR2039">
        <v>0</v>
      </c>
      <c r="AZ2039">
        <v>4552</v>
      </c>
      <c r="BA2039">
        <v>1</v>
      </c>
      <c r="BB2039" t="str">
        <f t="shared" si="545"/>
        <v xml:space="preserve">N607SR  </v>
      </c>
      <c r="BC2039">
        <v>1</v>
      </c>
      <c r="BE2039">
        <v>0</v>
      </c>
      <c r="BF2039">
        <v>0</v>
      </c>
      <c r="BG2039">
        <v>0</v>
      </c>
      <c r="BH2039">
        <v>2575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 t="shared" si="572"/>
        <v>06:17:59.417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5</v>
      </c>
      <c r="CP2039" t="s">
        <v>119</v>
      </c>
      <c r="CQ2039">
        <v>517</v>
      </c>
      <c r="CR2039">
        <v>1</v>
      </c>
      <c r="CW2039">
        <v>2484238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 t="shared" ref="A2040:A2045" si="573">"08/29/2020 06:17:57.118"</f>
        <v>08/29/2020 06:17:57.118</v>
      </c>
      <c r="C2040" t="str">
        <f t="shared" si="543"/>
        <v>FFDFD3C0</v>
      </c>
      <c r="D2040" t="s">
        <v>939</v>
      </c>
      <c r="E2040">
        <v>10</v>
      </c>
      <c r="H2040">
        <v>79</v>
      </c>
      <c r="I2040" t="s">
        <v>940</v>
      </c>
      <c r="J2040" t="s">
        <v>130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ref="S2040:S2045" si="574">"06:18:00.336"</f>
        <v>06:18:00.336</v>
      </c>
      <c r="T2040" t="str">
        <f t="shared" ref="T2040:T2045" si="575">"06:17:59.936"</f>
        <v>06:17:59.936</v>
      </c>
      <c r="U2040" t="str">
        <f t="shared" si="544"/>
        <v>A7E2E0</v>
      </c>
      <c r="V2040">
        <v>0</v>
      </c>
      <c r="W2040">
        <v>0</v>
      </c>
      <c r="X2040">
        <v>1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0</v>
      </c>
      <c r="AI2040" t="s">
        <v>1217</v>
      </c>
      <c r="AJ2040">
        <v>38.966253000000002</v>
      </c>
      <c r="AK2040" t="s">
        <v>1218</v>
      </c>
      <c r="AL2040">
        <v>-87.603436000000002</v>
      </c>
      <c r="AM2040">
        <v>100</v>
      </c>
      <c r="AN2040">
        <v>2800</v>
      </c>
      <c r="AO2040" t="s">
        <v>118</v>
      </c>
      <c r="AP2040">
        <v>-85</v>
      </c>
      <c r="AQ2040">
        <v>-113</v>
      </c>
      <c r="AR2040">
        <v>0</v>
      </c>
      <c r="AZ2040">
        <v>4552</v>
      </c>
      <c r="BA2040">
        <v>1</v>
      </c>
      <c r="BB2040" t="str">
        <f t="shared" si="545"/>
        <v xml:space="preserve">N607SR  </v>
      </c>
      <c r="BC2040">
        <v>1</v>
      </c>
      <c r="BE2040">
        <v>0</v>
      </c>
      <c r="BF2040">
        <v>0</v>
      </c>
      <c r="BG2040">
        <v>0</v>
      </c>
      <c r="BH2040">
        <v>2575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 t="shared" ref="BW2040:BW2045" si="576">"06:18:00.339"</f>
        <v>06:18:00.339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6</v>
      </c>
      <c r="CP2040" t="s">
        <v>119</v>
      </c>
      <c r="CQ2040">
        <v>465</v>
      </c>
      <c r="CR2040">
        <v>0</v>
      </c>
      <c r="CW2040">
        <v>4723953</v>
      </c>
      <c r="CY2040">
        <v>1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 t="shared" si="573"/>
        <v>08/29/2020 06:17:57.118</v>
      </c>
      <c r="C2041" t="str">
        <f t="shared" si="543"/>
        <v>FFDFD3C0</v>
      </c>
      <c r="D2041" t="s">
        <v>128</v>
      </c>
      <c r="E2041">
        <v>5</v>
      </c>
      <c r="H2041">
        <v>241</v>
      </c>
      <c r="I2041" t="s">
        <v>129</v>
      </c>
      <c r="J2041" t="s">
        <v>130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574"/>
        <v>06:18:00.336</v>
      </c>
      <c r="T2041" t="str">
        <f t="shared" si="575"/>
        <v>06:17:59.936</v>
      </c>
      <c r="U2041" t="str">
        <f t="shared" si="544"/>
        <v>A7E2E0</v>
      </c>
      <c r="V2041">
        <v>0</v>
      </c>
      <c r="W2041">
        <v>0</v>
      </c>
      <c r="X2041">
        <v>1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0</v>
      </c>
      <c r="AI2041" t="s">
        <v>1217</v>
      </c>
      <c r="AJ2041">
        <v>38.966253000000002</v>
      </c>
      <c r="AK2041" t="s">
        <v>1218</v>
      </c>
      <c r="AL2041">
        <v>-87.603436000000002</v>
      </c>
      <c r="AM2041">
        <v>100</v>
      </c>
      <c r="AN2041">
        <v>2800</v>
      </c>
      <c r="AO2041" t="s">
        <v>118</v>
      </c>
      <c r="AP2041">
        <v>-85</v>
      </c>
      <c r="AQ2041">
        <v>-113</v>
      </c>
      <c r="AR2041">
        <v>0</v>
      </c>
      <c r="AZ2041">
        <v>4552</v>
      </c>
      <c r="BA2041">
        <v>1</v>
      </c>
      <c r="BB2041" t="str">
        <f t="shared" si="545"/>
        <v xml:space="preserve">N607SR  </v>
      </c>
      <c r="BC2041">
        <v>1</v>
      </c>
      <c r="BE2041">
        <v>0</v>
      </c>
      <c r="BF2041">
        <v>0</v>
      </c>
      <c r="BG2041">
        <v>0</v>
      </c>
      <c r="BH2041">
        <v>2575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 t="shared" si="576"/>
        <v>06:18:00.339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6</v>
      </c>
      <c r="CP2041" t="s">
        <v>119</v>
      </c>
      <c r="CQ2041">
        <v>465</v>
      </c>
      <c r="CR2041">
        <v>0</v>
      </c>
      <c r="CW2041">
        <v>4723953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 t="shared" si="573"/>
        <v>08/29/2020 06:17:57.118</v>
      </c>
      <c r="C2042" t="str">
        <f t="shared" si="543"/>
        <v>FFDFD3C0</v>
      </c>
      <c r="D2042" t="s">
        <v>121</v>
      </c>
      <c r="E2042">
        <v>10</v>
      </c>
      <c r="F2042">
        <v>1010</v>
      </c>
      <c r="G2042" t="s">
        <v>114</v>
      </c>
      <c r="J2042" t="s">
        <v>123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574"/>
        <v>06:18:00.336</v>
      </c>
      <c r="T2042" t="str">
        <f t="shared" si="575"/>
        <v>06:17:59.936</v>
      </c>
      <c r="U2042" t="str">
        <f t="shared" si="544"/>
        <v>A7E2E0</v>
      </c>
      <c r="V2042">
        <v>0</v>
      </c>
      <c r="W2042">
        <v>0</v>
      </c>
      <c r="X2042">
        <v>1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0</v>
      </c>
      <c r="AI2042" t="s">
        <v>1217</v>
      </c>
      <c r="AJ2042">
        <v>38.966253000000002</v>
      </c>
      <c r="AK2042" t="s">
        <v>1218</v>
      </c>
      <c r="AL2042">
        <v>-87.603436000000002</v>
      </c>
      <c r="AM2042">
        <v>100</v>
      </c>
      <c r="AN2042">
        <v>2800</v>
      </c>
      <c r="AO2042" t="s">
        <v>118</v>
      </c>
      <c r="AP2042">
        <v>-85</v>
      </c>
      <c r="AQ2042">
        <v>-113</v>
      </c>
      <c r="AR2042">
        <v>0</v>
      </c>
      <c r="AZ2042">
        <v>4552</v>
      </c>
      <c r="BA2042">
        <v>1</v>
      </c>
      <c r="BB2042" t="str">
        <f t="shared" si="545"/>
        <v xml:space="preserve">N607SR  </v>
      </c>
      <c r="BC2042">
        <v>1</v>
      </c>
      <c r="BE2042">
        <v>0</v>
      </c>
      <c r="BF2042">
        <v>0</v>
      </c>
      <c r="BG2042">
        <v>0</v>
      </c>
      <c r="BH2042">
        <v>2575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 t="shared" si="576"/>
        <v>06:18:00.339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6</v>
      </c>
      <c r="CP2042" t="s">
        <v>119</v>
      </c>
      <c r="CQ2042">
        <v>465</v>
      </c>
      <c r="CR2042">
        <v>0</v>
      </c>
      <c r="CW2042">
        <v>4723953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 t="shared" si="573"/>
        <v>08/29/2020 06:17:57.118</v>
      </c>
      <c r="C2043" t="str">
        <f t="shared" si="543"/>
        <v>FFDFD3C0</v>
      </c>
      <c r="D2043" t="s">
        <v>121</v>
      </c>
      <c r="E2043">
        <v>11</v>
      </c>
      <c r="F2043">
        <v>1011</v>
      </c>
      <c r="G2043" t="s">
        <v>125</v>
      </c>
      <c r="J2043" t="s">
        <v>123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574"/>
        <v>06:18:00.336</v>
      </c>
      <c r="T2043" t="str">
        <f t="shared" si="575"/>
        <v>06:17:59.936</v>
      </c>
      <c r="U2043" t="str">
        <f t="shared" si="544"/>
        <v>A7E2E0</v>
      </c>
      <c r="V2043">
        <v>0</v>
      </c>
      <c r="W2043">
        <v>0</v>
      </c>
      <c r="X2043">
        <v>1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0</v>
      </c>
      <c r="AI2043" t="s">
        <v>1217</v>
      </c>
      <c r="AJ2043">
        <v>38.966253000000002</v>
      </c>
      <c r="AK2043" t="s">
        <v>1218</v>
      </c>
      <c r="AL2043">
        <v>-87.603436000000002</v>
      </c>
      <c r="AM2043">
        <v>100</v>
      </c>
      <c r="AN2043">
        <v>2800</v>
      </c>
      <c r="AO2043" t="s">
        <v>118</v>
      </c>
      <c r="AP2043">
        <v>-85</v>
      </c>
      <c r="AQ2043">
        <v>-113</v>
      </c>
      <c r="AR2043">
        <v>0</v>
      </c>
      <c r="AZ2043">
        <v>4552</v>
      </c>
      <c r="BA2043">
        <v>1</v>
      </c>
      <c r="BB2043" t="str">
        <f t="shared" si="545"/>
        <v xml:space="preserve">N607SR  </v>
      </c>
      <c r="BC2043">
        <v>1</v>
      </c>
      <c r="BE2043">
        <v>0</v>
      </c>
      <c r="BF2043">
        <v>0</v>
      </c>
      <c r="BG2043">
        <v>0</v>
      </c>
      <c r="BH2043">
        <v>2575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 t="shared" si="576"/>
        <v>06:18:00.339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4</v>
      </c>
      <c r="CP2043" t="s">
        <v>119</v>
      </c>
      <c r="CQ2043">
        <v>457</v>
      </c>
      <c r="CR2043">
        <v>0</v>
      </c>
      <c r="CW2043">
        <v>15519374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 t="shared" si="573"/>
        <v>08/29/2020 06:17:57.118</v>
      </c>
      <c r="C2044" t="str">
        <f t="shared" si="543"/>
        <v>FFDFD3C0</v>
      </c>
      <c r="D2044" t="s">
        <v>113</v>
      </c>
      <c r="E2044">
        <v>5</v>
      </c>
      <c r="H2044">
        <v>163</v>
      </c>
      <c r="I2044" t="s">
        <v>114</v>
      </c>
      <c r="J2044" t="s">
        <v>115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574"/>
        <v>06:18:00.336</v>
      </c>
      <c r="T2044" t="str">
        <f t="shared" si="575"/>
        <v>06:17:59.936</v>
      </c>
      <c r="U2044" t="str">
        <f t="shared" si="544"/>
        <v>A7E2E0</v>
      </c>
      <c r="V2044">
        <v>0</v>
      </c>
      <c r="W2044">
        <v>0</v>
      </c>
      <c r="X2044">
        <v>1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0</v>
      </c>
      <c r="AI2044" t="s">
        <v>1217</v>
      </c>
      <c r="AJ2044">
        <v>38.966253000000002</v>
      </c>
      <c r="AK2044" t="s">
        <v>1218</v>
      </c>
      <c r="AL2044">
        <v>-87.603436000000002</v>
      </c>
      <c r="AM2044">
        <v>100</v>
      </c>
      <c r="AN2044">
        <v>2800</v>
      </c>
      <c r="AO2044" t="s">
        <v>118</v>
      </c>
      <c r="AP2044">
        <v>-85</v>
      </c>
      <c r="AQ2044">
        <v>-113</v>
      </c>
      <c r="AR2044">
        <v>0</v>
      </c>
      <c r="AZ2044">
        <v>4552</v>
      </c>
      <c r="BA2044">
        <v>1</v>
      </c>
      <c r="BB2044" t="str">
        <f t="shared" si="545"/>
        <v xml:space="preserve">N607SR  </v>
      </c>
      <c r="BC2044">
        <v>1</v>
      </c>
      <c r="BE2044">
        <v>0</v>
      </c>
      <c r="BF2044">
        <v>0</v>
      </c>
      <c r="BG2044">
        <v>0</v>
      </c>
      <c r="BH2044">
        <v>2575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 t="shared" si="576"/>
        <v>06:18:00.339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6</v>
      </c>
      <c r="CP2044" t="s">
        <v>119</v>
      </c>
      <c r="CQ2044">
        <v>465</v>
      </c>
      <c r="CR2044">
        <v>0</v>
      </c>
      <c r="CW2044">
        <v>4723953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 t="shared" si="573"/>
        <v>08/29/2020 06:17:57.118</v>
      </c>
      <c r="C2045" t="str">
        <f t="shared" si="543"/>
        <v>FFDFD3C0</v>
      </c>
      <c r="D2045" t="s">
        <v>121</v>
      </c>
      <c r="E2045">
        <v>13</v>
      </c>
      <c r="F2045">
        <v>1013</v>
      </c>
      <c r="G2045" t="s">
        <v>122</v>
      </c>
      <c r="J2045" t="s">
        <v>123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574"/>
        <v>06:18:00.336</v>
      </c>
      <c r="T2045" t="str">
        <f t="shared" si="575"/>
        <v>06:17:59.936</v>
      </c>
      <c r="U2045" t="str">
        <f t="shared" si="544"/>
        <v>A7E2E0</v>
      </c>
      <c r="V2045">
        <v>0</v>
      </c>
      <c r="W2045">
        <v>0</v>
      </c>
      <c r="X2045">
        <v>1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0</v>
      </c>
      <c r="AI2045" t="s">
        <v>1217</v>
      </c>
      <c r="AJ2045">
        <v>38.966253000000002</v>
      </c>
      <c r="AK2045" t="s">
        <v>1218</v>
      </c>
      <c r="AL2045">
        <v>-87.603436000000002</v>
      </c>
      <c r="AM2045">
        <v>100</v>
      </c>
      <c r="AN2045">
        <v>2800</v>
      </c>
      <c r="AO2045" t="s">
        <v>118</v>
      </c>
      <c r="AP2045">
        <v>-85</v>
      </c>
      <c r="AQ2045">
        <v>-113</v>
      </c>
      <c r="AR2045">
        <v>0</v>
      </c>
      <c r="AZ2045">
        <v>4552</v>
      </c>
      <c r="BA2045">
        <v>1</v>
      </c>
      <c r="BB2045" t="str">
        <f t="shared" si="545"/>
        <v xml:space="preserve">N607SR  </v>
      </c>
      <c r="BC2045">
        <v>1</v>
      </c>
      <c r="BE2045">
        <v>0</v>
      </c>
      <c r="BF2045">
        <v>0</v>
      </c>
      <c r="BG2045">
        <v>0</v>
      </c>
      <c r="BH2045">
        <v>2575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 t="shared" si="576"/>
        <v>06:18:00.339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6</v>
      </c>
      <c r="CP2045" t="s">
        <v>119</v>
      </c>
      <c r="CQ2045">
        <v>465</v>
      </c>
      <c r="CR2045">
        <v>0</v>
      </c>
      <c r="CW2045">
        <v>4723953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 t="shared" ref="A2046:A2051" si="577">"08/29/2020 06:17:58.075"</f>
        <v>08/29/2020 06:17:58.075</v>
      </c>
      <c r="C2046" t="str">
        <f t="shared" si="543"/>
        <v>FFDFD3C0</v>
      </c>
      <c r="D2046" t="s">
        <v>939</v>
      </c>
      <c r="E2046">
        <v>10</v>
      </c>
      <c r="H2046">
        <v>79</v>
      </c>
      <c r="I2046" t="s">
        <v>940</v>
      </c>
      <c r="J2046" t="s">
        <v>130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ref="S2046:S2051" si="578">"06:18:01.281"</f>
        <v>06:18:01.281</v>
      </c>
      <c r="T2046" t="str">
        <f>"06:18:00.881"</f>
        <v>06:18:00.881</v>
      </c>
      <c r="U2046" t="str">
        <f t="shared" si="544"/>
        <v>A7E2E0</v>
      </c>
      <c r="V2046">
        <v>0</v>
      </c>
      <c r="W2046">
        <v>0</v>
      </c>
      <c r="X2046">
        <v>1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0</v>
      </c>
      <c r="AI2046" t="s">
        <v>1219</v>
      </c>
      <c r="AJ2046">
        <v>38.965758999999998</v>
      </c>
      <c r="AK2046" t="s">
        <v>1220</v>
      </c>
      <c r="AL2046">
        <v>-87.603886000000003</v>
      </c>
      <c r="AM2046">
        <v>100</v>
      </c>
      <c r="AN2046">
        <v>2800</v>
      </c>
      <c r="AO2046" t="s">
        <v>118</v>
      </c>
      <c r="AP2046">
        <v>-85</v>
      </c>
      <c r="AQ2046">
        <v>-113</v>
      </c>
      <c r="AR2046">
        <v>0</v>
      </c>
      <c r="AZ2046">
        <v>4552</v>
      </c>
      <c r="BA2046">
        <v>1</v>
      </c>
      <c r="BB2046" t="str">
        <f t="shared" si="545"/>
        <v xml:space="preserve">N607SR  </v>
      </c>
      <c r="BC2046">
        <v>1</v>
      </c>
      <c r="BE2046">
        <v>0</v>
      </c>
      <c r="BF2046">
        <v>0</v>
      </c>
      <c r="BG2046">
        <v>0</v>
      </c>
      <c r="BH2046">
        <v>2575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 t="shared" ref="BW2046:BW2051" si="579">"06:18:01.288"</f>
        <v>06:18:01.288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465</v>
      </c>
      <c r="CR2046">
        <v>0</v>
      </c>
      <c r="CW2046">
        <v>4723984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 t="shared" si="577"/>
        <v>08/29/2020 06:17:58.075</v>
      </c>
      <c r="C2047" t="str">
        <f t="shared" si="543"/>
        <v>FFDFD3C0</v>
      </c>
      <c r="D2047" t="s">
        <v>121</v>
      </c>
      <c r="E2047">
        <v>11</v>
      </c>
      <c r="F2047">
        <v>1011</v>
      </c>
      <c r="G2047" t="s">
        <v>125</v>
      </c>
      <c r="J2047" t="s">
        <v>123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578"/>
        <v>06:18:01.281</v>
      </c>
      <c r="U2047" t="str">
        <f t="shared" si="544"/>
        <v>A7E2E0</v>
      </c>
      <c r="V2047">
        <v>0</v>
      </c>
      <c r="W2047">
        <v>0</v>
      </c>
      <c r="X2047">
        <v>1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0</v>
      </c>
      <c r="AI2047" t="s">
        <v>1219</v>
      </c>
      <c r="AJ2047">
        <v>38.965758999999998</v>
      </c>
      <c r="AK2047" t="s">
        <v>1220</v>
      </c>
      <c r="AL2047">
        <v>-87.603886000000003</v>
      </c>
      <c r="AM2047">
        <v>100</v>
      </c>
      <c r="AN2047">
        <v>2800</v>
      </c>
      <c r="AO2047" t="s">
        <v>118</v>
      </c>
      <c r="AP2047">
        <v>-85</v>
      </c>
      <c r="AQ2047">
        <v>-113</v>
      </c>
      <c r="AR2047">
        <v>-64</v>
      </c>
      <c r="AZ2047">
        <v>4552</v>
      </c>
      <c r="BA2047">
        <v>1</v>
      </c>
      <c r="BB2047" t="str">
        <f t="shared" si="545"/>
        <v xml:space="preserve">N607SR  </v>
      </c>
      <c r="BC2047">
        <v>1</v>
      </c>
      <c r="BE2047">
        <v>0</v>
      </c>
      <c r="BF2047">
        <v>0</v>
      </c>
      <c r="BG2047">
        <v>0</v>
      </c>
      <c r="BH2047">
        <v>2575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 t="shared" si="579"/>
        <v>06:18:01.288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2</v>
      </c>
      <c r="CP2047" t="s">
        <v>119</v>
      </c>
      <c r="CQ2047">
        <v>528</v>
      </c>
      <c r="CR2047">
        <v>1</v>
      </c>
      <c r="CW2047">
        <v>13099978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 t="shared" si="577"/>
        <v>08/29/2020 06:17:58.075</v>
      </c>
      <c r="C2048" t="str">
        <f t="shared" si="543"/>
        <v>FFDFD3C0</v>
      </c>
      <c r="D2048" t="s">
        <v>113</v>
      </c>
      <c r="E2048">
        <v>5</v>
      </c>
      <c r="H2048">
        <v>163</v>
      </c>
      <c r="I2048" t="s">
        <v>114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578"/>
        <v>06:18:01.281</v>
      </c>
      <c r="U2048" t="str">
        <f t="shared" si="544"/>
        <v>A7E2E0</v>
      </c>
      <c r="V2048">
        <v>0</v>
      </c>
      <c r="W2048">
        <v>0</v>
      </c>
      <c r="X2048">
        <v>1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0</v>
      </c>
      <c r="AI2048" t="s">
        <v>1219</v>
      </c>
      <c r="AJ2048">
        <v>38.965758999999998</v>
      </c>
      <c r="AK2048" t="s">
        <v>1220</v>
      </c>
      <c r="AL2048">
        <v>-87.603886000000003</v>
      </c>
      <c r="AM2048">
        <v>100</v>
      </c>
      <c r="AN2048">
        <v>2800</v>
      </c>
      <c r="AO2048" t="s">
        <v>118</v>
      </c>
      <c r="AP2048">
        <v>-85</v>
      </c>
      <c r="AQ2048">
        <v>-113</v>
      </c>
      <c r="AR2048">
        <v>-64</v>
      </c>
      <c r="AZ2048">
        <v>4552</v>
      </c>
      <c r="BA2048">
        <v>1</v>
      </c>
      <c r="BB2048" t="str">
        <f t="shared" si="545"/>
        <v xml:space="preserve">N607SR  </v>
      </c>
      <c r="BC2048">
        <v>1</v>
      </c>
      <c r="BE2048">
        <v>0</v>
      </c>
      <c r="BF2048">
        <v>0</v>
      </c>
      <c r="BG2048">
        <v>0</v>
      </c>
      <c r="BH2048">
        <v>2575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 t="shared" si="579"/>
        <v>06:18:01.288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5</v>
      </c>
      <c r="CP2048" t="s">
        <v>119</v>
      </c>
      <c r="CQ2048">
        <v>517</v>
      </c>
      <c r="CR2048">
        <v>1</v>
      </c>
      <c r="CW2048">
        <v>2484294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 t="shared" si="577"/>
        <v>08/29/2020 06:17:58.075</v>
      </c>
      <c r="C2049" t="str">
        <f t="shared" si="543"/>
        <v>FFDFD3C0</v>
      </c>
      <c r="D2049" t="s">
        <v>121</v>
      </c>
      <c r="E2049">
        <v>10</v>
      </c>
      <c r="F2049">
        <v>1010</v>
      </c>
      <c r="G2049" t="s">
        <v>114</v>
      </c>
      <c r="J2049" t="s">
        <v>123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578"/>
        <v>06:18:01.281</v>
      </c>
      <c r="U2049" t="str">
        <f t="shared" si="544"/>
        <v>A7E2E0</v>
      </c>
      <c r="V2049">
        <v>0</v>
      </c>
      <c r="W2049">
        <v>0</v>
      </c>
      <c r="X2049">
        <v>1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0</v>
      </c>
      <c r="AI2049" t="s">
        <v>1219</v>
      </c>
      <c r="AJ2049">
        <v>38.965758999999998</v>
      </c>
      <c r="AK2049" t="s">
        <v>1220</v>
      </c>
      <c r="AL2049">
        <v>-87.603886000000003</v>
      </c>
      <c r="AM2049">
        <v>100</v>
      </c>
      <c r="AN2049">
        <v>2800</v>
      </c>
      <c r="AO2049" t="s">
        <v>118</v>
      </c>
      <c r="AP2049">
        <v>-85</v>
      </c>
      <c r="AQ2049">
        <v>-113</v>
      </c>
      <c r="AR2049">
        <v>-64</v>
      </c>
      <c r="AZ2049">
        <v>4552</v>
      </c>
      <c r="BA2049">
        <v>1</v>
      </c>
      <c r="BB2049" t="str">
        <f t="shared" si="545"/>
        <v xml:space="preserve">N607SR  </v>
      </c>
      <c r="BC2049">
        <v>1</v>
      </c>
      <c r="BE2049">
        <v>0</v>
      </c>
      <c r="BF2049">
        <v>0</v>
      </c>
      <c r="BG2049">
        <v>0</v>
      </c>
      <c r="BH2049">
        <v>2575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 t="shared" si="579"/>
        <v>06:18:01.288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5</v>
      </c>
      <c r="CP2049" t="s">
        <v>119</v>
      </c>
      <c r="CQ2049">
        <v>517</v>
      </c>
      <c r="CR2049">
        <v>1</v>
      </c>
      <c r="CW2049">
        <v>2484294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 t="shared" si="577"/>
        <v>08/29/2020 06:17:58.075</v>
      </c>
      <c r="C2050" t="str">
        <f t="shared" ref="C2050:C2113" si="580">"FFDFD3C0"</f>
        <v>FFDFD3C0</v>
      </c>
      <c r="D2050" t="s">
        <v>121</v>
      </c>
      <c r="E2050">
        <v>13</v>
      </c>
      <c r="F2050">
        <v>1013</v>
      </c>
      <c r="G2050" t="s">
        <v>122</v>
      </c>
      <c r="J2050" t="s">
        <v>123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578"/>
        <v>06:18:01.281</v>
      </c>
      <c r="U2050" t="str">
        <f t="shared" ref="U2050:U2113" si="581">"A7E2E0"</f>
        <v>A7E2E0</v>
      </c>
      <c r="V2050">
        <v>0</v>
      </c>
      <c r="W2050">
        <v>0</v>
      </c>
      <c r="X2050">
        <v>1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0</v>
      </c>
      <c r="AI2050" t="s">
        <v>1219</v>
      </c>
      <c r="AJ2050">
        <v>38.965758999999998</v>
      </c>
      <c r="AK2050" t="s">
        <v>1220</v>
      </c>
      <c r="AL2050">
        <v>-87.603886000000003</v>
      </c>
      <c r="AM2050">
        <v>100</v>
      </c>
      <c r="AN2050">
        <v>2800</v>
      </c>
      <c r="AO2050" t="s">
        <v>118</v>
      </c>
      <c r="AP2050">
        <v>-85</v>
      </c>
      <c r="AQ2050">
        <v>-113</v>
      </c>
      <c r="AR2050">
        <v>-64</v>
      </c>
      <c r="AZ2050">
        <v>4552</v>
      </c>
      <c r="BA2050">
        <v>1</v>
      </c>
      <c r="BB2050" t="str">
        <f t="shared" ref="BB2050:BB2113" si="582">"N607SR  "</f>
        <v xml:space="preserve">N607SR  </v>
      </c>
      <c r="BC2050">
        <v>1</v>
      </c>
      <c r="BE2050">
        <v>0</v>
      </c>
      <c r="BF2050">
        <v>0</v>
      </c>
      <c r="BG2050">
        <v>0</v>
      </c>
      <c r="BH2050">
        <v>2575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 t="shared" si="579"/>
        <v>06:18:01.288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5</v>
      </c>
      <c r="CP2050" t="s">
        <v>119</v>
      </c>
      <c r="CQ2050">
        <v>517</v>
      </c>
      <c r="CR2050">
        <v>1</v>
      </c>
      <c r="CW2050">
        <v>2484294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 t="shared" si="577"/>
        <v>08/29/2020 06:17:58.075</v>
      </c>
      <c r="C2051" t="str">
        <f t="shared" si="580"/>
        <v>FFDFD3C0</v>
      </c>
      <c r="D2051" t="s">
        <v>128</v>
      </c>
      <c r="E2051">
        <v>5</v>
      </c>
      <c r="H2051">
        <v>241</v>
      </c>
      <c r="I2051" t="s">
        <v>129</v>
      </c>
      <c r="J2051" t="s">
        <v>130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578"/>
        <v>06:18:01.281</v>
      </c>
      <c r="U2051" t="str">
        <f t="shared" si="581"/>
        <v>A7E2E0</v>
      </c>
      <c r="V2051">
        <v>0</v>
      </c>
      <c r="W2051">
        <v>0</v>
      </c>
      <c r="X2051">
        <v>1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0</v>
      </c>
      <c r="AI2051" t="s">
        <v>1219</v>
      </c>
      <c r="AJ2051">
        <v>38.965758999999998</v>
      </c>
      <c r="AK2051" t="s">
        <v>1220</v>
      </c>
      <c r="AL2051">
        <v>-87.603886000000003</v>
      </c>
      <c r="AM2051">
        <v>100</v>
      </c>
      <c r="AN2051">
        <v>2800</v>
      </c>
      <c r="AO2051" t="s">
        <v>118</v>
      </c>
      <c r="AP2051">
        <v>-85</v>
      </c>
      <c r="AQ2051">
        <v>-113</v>
      </c>
      <c r="AR2051">
        <v>-64</v>
      </c>
      <c r="AZ2051">
        <v>4552</v>
      </c>
      <c r="BA2051">
        <v>1</v>
      </c>
      <c r="BB2051" t="str">
        <f t="shared" si="582"/>
        <v xml:space="preserve">N607SR  </v>
      </c>
      <c r="BC2051">
        <v>1</v>
      </c>
      <c r="BE2051">
        <v>0</v>
      </c>
      <c r="BF2051">
        <v>0</v>
      </c>
      <c r="BG2051">
        <v>0</v>
      </c>
      <c r="BH2051">
        <v>2575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 t="shared" si="579"/>
        <v>06:18:01.288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5</v>
      </c>
      <c r="CP2051" t="s">
        <v>119</v>
      </c>
      <c r="CQ2051">
        <v>517</v>
      </c>
      <c r="CR2051">
        <v>1</v>
      </c>
      <c r="CW2051">
        <v>2484294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 t="shared" ref="A2052:A2057" si="583">"08/29/2020 06:17:59.030"</f>
        <v>08/29/2020 06:17:59.030</v>
      </c>
      <c r="C2052" t="str">
        <f t="shared" si="580"/>
        <v>FFDFD3C0</v>
      </c>
      <c r="D2052" t="s">
        <v>939</v>
      </c>
      <c r="E2052">
        <v>10</v>
      </c>
      <c r="H2052">
        <v>79</v>
      </c>
      <c r="I2052" t="s">
        <v>940</v>
      </c>
      <c r="J2052" t="s">
        <v>130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ref="S2052:S2057" si="584">"06:18:02.242"</f>
        <v>06:18:02.242</v>
      </c>
      <c r="T2052" t="str">
        <f>"06:18:01.842"</f>
        <v>06:18:01.842</v>
      </c>
      <c r="U2052" t="str">
        <f t="shared" si="581"/>
        <v>A7E2E0</v>
      </c>
      <c r="V2052">
        <v>0</v>
      </c>
      <c r="W2052">
        <v>0</v>
      </c>
      <c r="X2052">
        <v>1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0</v>
      </c>
      <c r="AI2052" t="s">
        <v>1221</v>
      </c>
      <c r="AJ2052">
        <v>38.965243999999998</v>
      </c>
      <c r="AK2052" t="s">
        <v>1222</v>
      </c>
      <c r="AL2052">
        <v>-87.604380000000006</v>
      </c>
      <c r="AM2052">
        <v>100</v>
      </c>
      <c r="AN2052">
        <v>2800</v>
      </c>
      <c r="AO2052" t="s">
        <v>118</v>
      </c>
      <c r="AP2052">
        <v>-85</v>
      </c>
      <c r="AQ2052">
        <v>-113</v>
      </c>
      <c r="AR2052">
        <v>-64</v>
      </c>
      <c r="AZ2052">
        <v>4552</v>
      </c>
      <c r="BA2052">
        <v>1</v>
      </c>
      <c r="BB2052" t="str">
        <f t="shared" si="582"/>
        <v xml:space="preserve">N607SR  </v>
      </c>
      <c r="BC2052">
        <v>1</v>
      </c>
      <c r="BE2052">
        <v>0</v>
      </c>
      <c r="BF2052">
        <v>0</v>
      </c>
      <c r="BG2052">
        <v>0</v>
      </c>
      <c r="BH2052">
        <v>2575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 t="shared" ref="BW2052:BW2057" si="585">"06:18:02.246"</f>
        <v>06:18:02.246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6</v>
      </c>
      <c r="CP2052" t="s">
        <v>119</v>
      </c>
      <c r="CQ2052">
        <v>465</v>
      </c>
      <c r="CR2052">
        <v>0</v>
      </c>
      <c r="CW2052">
        <v>4724014</v>
      </c>
      <c r="CY2052">
        <v>1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 t="shared" si="583"/>
        <v>08/29/2020 06:17:59.030</v>
      </c>
      <c r="C2053" t="str">
        <f t="shared" si="580"/>
        <v>FFDFD3C0</v>
      </c>
      <c r="D2053" t="s">
        <v>121</v>
      </c>
      <c r="E2053">
        <v>11</v>
      </c>
      <c r="F2053">
        <v>1011</v>
      </c>
      <c r="G2053" t="s">
        <v>125</v>
      </c>
      <c r="J2053" t="s">
        <v>123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584"/>
        <v>06:18:02.242</v>
      </c>
      <c r="T2053" t="str">
        <f>"06:18:01.842"</f>
        <v>06:18:01.842</v>
      </c>
      <c r="U2053" t="str">
        <f t="shared" si="581"/>
        <v>A7E2E0</v>
      </c>
      <c r="V2053">
        <v>0</v>
      </c>
      <c r="W2053">
        <v>0</v>
      </c>
      <c r="X2053">
        <v>1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0</v>
      </c>
      <c r="AI2053" t="s">
        <v>1221</v>
      </c>
      <c r="AJ2053">
        <v>38.965243999999998</v>
      </c>
      <c r="AK2053" t="s">
        <v>1222</v>
      </c>
      <c r="AL2053">
        <v>-87.604380000000006</v>
      </c>
      <c r="AM2053">
        <v>100</v>
      </c>
      <c r="AN2053">
        <v>2800</v>
      </c>
      <c r="AO2053" t="s">
        <v>118</v>
      </c>
      <c r="AP2053">
        <v>-85</v>
      </c>
      <c r="AQ2053">
        <v>-113</v>
      </c>
      <c r="AR2053">
        <v>-64</v>
      </c>
      <c r="AZ2053">
        <v>4552</v>
      </c>
      <c r="BA2053">
        <v>1</v>
      </c>
      <c r="BB2053" t="str">
        <f t="shared" si="582"/>
        <v xml:space="preserve">N607SR  </v>
      </c>
      <c r="BC2053">
        <v>1</v>
      </c>
      <c r="BE2053">
        <v>0</v>
      </c>
      <c r="BF2053">
        <v>0</v>
      </c>
      <c r="BG2053">
        <v>0</v>
      </c>
      <c r="BH2053">
        <v>2575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 t="shared" si="585"/>
        <v>06:18:02.246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4</v>
      </c>
      <c r="CP2053" t="s">
        <v>119</v>
      </c>
      <c r="CQ2053">
        <v>457</v>
      </c>
      <c r="CR2053">
        <v>0</v>
      </c>
      <c r="CW2053">
        <v>15519427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 t="shared" si="583"/>
        <v>08/29/2020 06:17:59.030</v>
      </c>
      <c r="C2054" t="str">
        <f t="shared" si="580"/>
        <v>FFDFD3C0</v>
      </c>
      <c r="D2054" t="s">
        <v>113</v>
      </c>
      <c r="E2054">
        <v>5</v>
      </c>
      <c r="H2054">
        <v>163</v>
      </c>
      <c r="I2054" t="s">
        <v>114</v>
      </c>
      <c r="J2054" t="s">
        <v>115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584"/>
        <v>06:18:02.242</v>
      </c>
      <c r="U2054" t="str">
        <f t="shared" si="581"/>
        <v>A7E2E0</v>
      </c>
      <c r="V2054">
        <v>0</v>
      </c>
      <c r="W2054">
        <v>0</v>
      </c>
      <c r="X2054">
        <v>1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0</v>
      </c>
      <c r="AI2054" t="s">
        <v>1221</v>
      </c>
      <c r="AJ2054">
        <v>38.965243999999998</v>
      </c>
      <c r="AK2054" t="s">
        <v>1222</v>
      </c>
      <c r="AL2054">
        <v>-87.604380000000006</v>
      </c>
      <c r="AM2054">
        <v>100</v>
      </c>
      <c r="AN2054">
        <v>2800</v>
      </c>
      <c r="AO2054" t="s">
        <v>118</v>
      </c>
      <c r="AP2054">
        <v>-85</v>
      </c>
      <c r="AQ2054">
        <v>-113</v>
      </c>
      <c r="AR2054">
        <v>-64</v>
      </c>
      <c r="AZ2054">
        <v>4552</v>
      </c>
      <c r="BA2054">
        <v>1</v>
      </c>
      <c r="BB2054" t="str">
        <f t="shared" si="582"/>
        <v xml:space="preserve">N607SR  </v>
      </c>
      <c r="BC2054">
        <v>1</v>
      </c>
      <c r="BE2054">
        <v>0</v>
      </c>
      <c r="BF2054">
        <v>0</v>
      </c>
      <c r="BG2054">
        <v>0</v>
      </c>
      <c r="BH2054">
        <v>2575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 t="shared" si="585"/>
        <v>06:18:02.246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5</v>
      </c>
      <c r="CP2054" t="s">
        <v>119</v>
      </c>
      <c r="CQ2054">
        <v>517</v>
      </c>
      <c r="CR2054">
        <v>1</v>
      </c>
      <c r="CW2054">
        <v>2484322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 t="shared" si="583"/>
        <v>08/29/2020 06:17:59.030</v>
      </c>
      <c r="C2055" t="str">
        <f t="shared" si="580"/>
        <v>FFDFD3C0</v>
      </c>
      <c r="D2055" t="s">
        <v>121</v>
      </c>
      <c r="E2055">
        <v>13</v>
      </c>
      <c r="F2055">
        <v>1013</v>
      </c>
      <c r="G2055" t="s">
        <v>122</v>
      </c>
      <c r="J2055" t="s">
        <v>123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584"/>
        <v>06:18:02.242</v>
      </c>
      <c r="U2055" t="str">
        <f t="shared" si="581"/>
        <v>A7E2E0</v>
      </c>
      <c r="V2055">
        <v>0</v>
      </c>
      <c r="W2055">
        <v>0</v>
      </c>
      <c r="X2055">
        <v>1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0</v>
      </c>
      <c r="AI2055" t="s">
        <v>1221</v>
      </c>
      <c r="AJ2055">
        <v>38.965243999999998</v>
      </c>
      <c r="AK2055" t="s">
        <v>1222</v>
      </c>
      <c r="AL2055">
        <v>-87.604380000000006</v>
      </c>
      <c r="AM2055">
        <v>100</v>
      </c>
      <c r="AN2055">
        <v>2800</v>
      </c>
      <c r="AO2055" t="s">
        <v>118</v>
      </c>
      <c r="AP2055">
        <v>-85</v>
      </c>
      <c r="AQ2055">
        <v>-113</v>
      </c>
      <c r="AR2055">
        <v>-64</v>
      </c>
      <c r="AZ2055">
        <v>4552</v>
      </c>
      <c r="BA2055">
        <v>1</v>
      </c>
      <c r="BB2055" t="str">
        <f t="shared" si="582"/>
        <v xml:space="preserve">N607SR  </v>
      </c>
      <c r="BC2055">
        <v>1</v>
      </c>
      <c r="BE2055">
        <v>0</v>
      </c>
      <c r="BF2055">
        <v>0</v>
      </c>
      <c r="BG2055">
        <v>0</v>
      </c>
      <c r="BH2055">
        <v>2575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 t="shared" si="585"/>
        <v>06:18:02.246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5</v>
      </c>
      <c r="CP2055" t="s">
        <v>119</v>
      </c>
      <c r="CQ2055">
        <v>517</v>
      </c>
      <c r="CR2055">
        <v>1</v>
      </c>
      <c r="CW2055">
        <v>2484322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 t="shared" si="583"/>
        <v>08/29/2020 06:17:59.030</v>
      </c>
      <c r="C2056" t="str">
        <f t="shared" si="580"/>
        <v>FFDFD3C0</v>
      </c>
      <c r="D2056" t="s">
        <v>128</v>
      </c>
      <c r="E2056">
        <v>5</v>
      </c>
      <c r="H2056">
        <v>241</v>
      </c>
      <c r="I2056" t="s">
        <v>129</v>
      </c>
      <c r="J2056" t="s">
        <v>130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584"/>
        <v>06:18:02.242</v>
      </c>
      <c r="U2056" t="str">
        <f t="shared" si="581"/>
        <v>A7E2E0</v>
      </c>
      <c r="V2056">
        <v>0</v>
      </c>
      <c r="W2056">
        <v>0</v>
      </c>
      <c r="X2056">
        <v>1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0</v>
      </c>
      <c r="AI2056" t="s">
        <v>1221</v>
      </c>
      <c r="AJ2056">
        <v>38.965243999999998</v>
      </c>
      <c r="AK2056" t="s">
        <v>1222</v>
      </c>
      <c r="AL2056">
        <v>-87.604380000000006</v>
      </c>
      <c r="AM2056">
        <v>100</v>
      </c>
      <c r="AN2056">
        <v>2800</v>
      </c>
      <c r="AO2056" t="s">
        <v>118</v>
      </c>
      <c r="AP2056">
        <v>-85</v>
      </c>
      <c r="AQ2056">
        <v>-113</v>
      </c>
      <c r="AR2056">
        <v>-64</v>
      </c>
      <c r="AZ2056">
        <v>4552</v>
      </c>
      <c r="BA2056">
        <v>1</v>
      </c>
      <c r="BB2056" t="str">
        <f t="shared" si="582"/>
        <v xml:space="preserve">N607SR  </v>
      </c>
      <c r="BC2056">
        <v>1</v>
      </c>
      <c r="BE2056">
        <v>0</v>
      </c>
      <c r="BF2056">
        <v>0</v>
      </c>
      <c r="BG2056">
        <v>0</v>
      </c>
      <c r="BH2056">
        <v>2575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 t="shared" si="585"/>
        <v>06:18:02.246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5</v>
      </c>
      <c r="CP2056" t="s">
        <v>119</v>
      </c>
      <c r="CQ2056">
        <v>517</v>
      </c>
      <c r="CR2056">
        <v>1</v>
      </c>
      <c r="CW2056">
        <v>2484322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 t="shared" si="583"/>
        <v>08/29/2020 06:17:59.030</v>
      </c>
      <c r="C2057" t="str">
        <f t="shared" si="580"/>
        <v>FFDFD3C0</v>
      </c>
      <c r="D2057" t="s">
        <v>121</v>
      </c>
      <c r="E2057">
        <v>10</v>
      </c>
      <c r="F2057">
        <v>1010</v>
      </c>
      <c r="G2057" t="s">
        <v>114</v>
      </c>
      <c r="J2057" t="s">
        <v>123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584"/>
        <v>06:18:02.242</v>
      </c>
      <c r="U2057" t="str">
        <f t="shared" si="581"/>
        <v>A7E2E0</v>
      </c>
      <c r="V2057">
        <v>0</v>
      </c>
      <c r="W2057">
        <v>0</v>
      </c>
      <c r="X2057">
        <v>1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0</v>
      </c>
      <c r="AI2057" t="s">
        <v>1221</v>
      </c>
      <c r="AJ2057">
        <v>38.965243999999998</v>
      </c>
      <c r="AK2057" t="s">
        <v>1222</v>
      </c>
      <c r="AL2057">
        <v>-87.604380000000006</v>
      </c>
      <c r="AM2057">
        <v>100</v>
      </c>
      <c r="AN2057">
        <v>2800</v>
      </c>
      <c r="AO2057" t="s">
        <v>118</v>
      </c>
      <c r="AP2057">
        <v>-85</v>
      </c>
      <c r="AQ2057">
        <v>-113</v>
      </c>
      <c r="AR2057">
        <v>-64</v>
      </c>
      <c r="AZ2057">
        <v>4552</v>
      </c>
      <c r="BA2057">
        <v>1</v>
      </c>
      <c r="BB2057" t="str">
        <f t="shared" si="582"/>
        <v xml:space="preserve">N607SR  </v>
      </c>
      <c r="BC2057">
        <v>1</v>
      </c>
      <c r="BE2057">
        <v>0</v>
      </c>
      <c r="BF2057">
        <v>0</v>
      </c>
      <c r="BG2057">
        <v>0</v>
      </c>
      <c r="BH2057">
        <v>2575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 t="shared" si="585"/>
        <v>06:18:02.246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5</v>
      </c>
      <c r="CP2057" t="s">
        <v>119</v>
      </c>
      <c r="CQ2057">
        <v>517</v>
      </c>
      <c r="CR2057">
        <v>1</v>
      </c>
      <c r="CW2057">
        <v>2484322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 t="shared" ref="A2058:A2063" si="586">"08/29/2020 06:18:00.139"</f>
        <v>08/29/2020 06:18:00.139</v>
      </c>
      <c r="C2058" t="str">
        <f t="shared" si="580"/>
        <v>FFDFD3C0</v>
      </c>
      <c r="D2058" t="s">
        <v>939</v>
      </c>
      <c r="E2058">
        <v>10</v>
      </c>
      <c r="H2058">
        <v>79</v>
      </c>
      <c r="I2058" t="s">
        <v>940</v>
      </c>
      <c r="J2058" t="s">
        <v>130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ref="S2058:S2063" si="587">"06:18:03.320"</f>
        <v>06:18:03.320</v>
      </c>
      <c r="T2058" t="str">
        <f>"06:18:02.820"</f>
        <v>06:18:02.820</v>
      </c>
      <c r="U2058" t="str">
        <f t="shared" si="581"/>
        <v>A7E2E0</v>
      </c>
      <c r="V2058">
        <v>0</v>
      </c>
      <c r="W2058">
        <v>0</v>
      </c>
      <c r="X2058">
        <v>1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0</v>
      </c>
      <c r="AI2058" t="s">
        <v>1223</v>
      </c>
      <c r="AJ2058">
        <v>38.964708000000002</v>
      </c>
      <c r="AK2058" t="s">
        <v>1224</v>
      </c>
      <c r="AL2058">
        <v>-87.604916000000003</v>
      </c>
      <c r="AM2058">
        <v>100</v>
      </c>
      <c r="AN2058">
        <v>2800</v>
      </c>
      <c r="AO2058" t="s">
        <v>118</v>
      </c>
      <c r="AP2058">
        <v>-85</v>
      </c>
      <c r="AQ2058">
        <v>-113</v>
      </c>
      <c r="AR2058">
        <v>-64</v>
      </c>
      <c r="AZ2058">
        <v>4552</v>
      </c>
      <c r="BA2058">
        <v>1</v>
      </c>
      <c r="BB2058" t="str">
        <f t="shared" si="582"/>
        <v xml:space="preserve">N607SR  </v>
      </c>
      <c r="BC2058">
        <v>1</v>
      </c>
      <c r="BE2058">
        <v>0</v>
      </c>
      <c r="BF2058">
        <v>0</v>
      </c>
      <c r="BG2058">
        <v>0</v>
      </c>
      <c r="BH2058">
        <v>2575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 t="shared" ref="BW2058:BW2063" si="588">"06:18:03.328"</f>
        <v>06:18:03.328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6</v>
      </c>
      <c r="CP2058" t="s">
        <v>119</v>
      </c>
      <c r="CQ2058">
        <v>465</v>
      </c>
      <c r="CR2058">
        <v>0</v>
      </c>
      <c r="CW2058">
        <v>4724046</v>
      </c>
      <c r="CY2058">
        <v>1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 t="shared" si="586"/>
        <v>08/29/2020 06:18:00.139</v>
      </c>
      <c r="C2059" t="str">
        <f t="shared" si="580"/>
        <v>FFDFD3C0</v>
      </c>
      <c r="D2059" t="s">
        <v>128</v>
      </c>
      <c r="E2059">
        <v>5</v>
      </c>
      <c r="H2059">
        <v>241</v>
      </c>
      <c r="I2059" t="s">
        <v>129</v>
      </c>
      <c r="J2059" t="s">
        <v>130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587"/>
        <v>06:18:03.320</v>
      </c>
      <c r="U2059" t="str">
        <f t="shared" si="581"/>
        <v>A7E2E0</v>
      </c>
      <c r="V2059">
        <v>0</v>
      </c>
      <c r="W2059">
        <v>0</v>
      </c>
      <c r="X2059">
        <v>1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0</v>
      </c>
      <c r="AI2059" t="s">
        <v>1223</v>
      </c>
      <c r="AJ2059">
        <v>38.964708000000002</v>
      </c>
      <c r="AK2059" t="s">
        <v>1224</v>
      </c>
      <c r="AL2059">
        <v>-87.604916000000003</v>
      </c>
      <c r="AM2059">
        <v>100</v>
      </c>
      <c r="AN2059">
        <v>2800</v>
      </c>
      <c r="AO2059" t="s">
        <v>118</v>
      </c>
      <c r="AP2059">
        <v>-85</v>
      </c>
      <c r="AQ2059">
        <v>-113</v>
      </c>
      <c r="AR2059">
        <v>-64</v>
      </c>
      <c r="AZ2059">
        <v>4552</v>
      </c>
      <c r="BA2059">
        <v>1</v>
      </c>
      <c r="BB2059" t="str">
        <f t="shared" si="582"/>
        <v xml:space="preserve">N607SR  </v>
      </c>
      <c r="BC2059">
        <v>1</v>
      </c>
      <c r="BE2059">
        <v>0</v>
      </c>
      <c r="BF2059">
        <v>0</v>
      </c>
      <c r="BG2059">
        <v>0</v>
      </c>
      <c r="BH2059">
        <v>2575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 t="shared" si="588"/>
        <v>06:18:03.328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5</v>
      </c>
      <c r="CP2059" t="s">
        <v>119</v>
      </c>
      <c r="CQ2059">
        <v>517</v>
      </c>
      <c r="CR2059">
        <v>1</v>
      </c>
      <c r="CW2059">
        <v>2484355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 t="shared" si="586"/>
        <v>08/29/2020 06:18:00.139</v>
      </c>
      <c r="C2060" t="str">
        <f t="shared" si="580"/>
        <v>FFDFD3C0</v>
      </c>
      <c r="D2060" t="s">
        <v>121</v>
      </c>
      <c r="E2060">
        <v>10</v>
      </c>
      <c r="F2060">
        <v>1010</v>
      </c>
      <c r="G2060" t="s">
        <v>114</v>
      </c>
      <c r="J2060" t="s">
        <v>123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587"/>
        <v>06:18:03.320</v>
      </c>
      <c r="U2060" t="str">
        <f t="shared" si="581"/>
        <v>A7E2E0</v>
      </c>
      <c r="V2060">
        <v>0</v>
      </c>
      <c r="W2060">
        <v>0</v>
      </c>
      <c r="X2060">
        <v>1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0</v>
      </c>
      <c r="AI2060" t="s">
        <v>1223</v>
      </c>
      <c r="AJ2060">
        <v>38.964708000000002</v>
      </c>
      <c r="AK2060" t="s">
        <v>1224</v>
      </c>
      <c r="AL2060">
        <v>-87.604916000000003</v>
      </c>
      <c r="AM2060">
        <v>100</v>
      </c>
      <c r="AN2060">
        <v>2800</v>
      </c>
      <c r="AO2060" t="s">
        <v>118</v>
      </c>
      <c r="AP2060">
        <v>-85</v>
      </c>
      <c r="AQ2060">
        <v>-113</v>
      </c>
      <c r="AR2060">
        <v>-64</v>
      </c>
      <c r="AZ2060">
        <v>4552</v>
      </c>
      <c r="BA2060">
        <v>1</v>
      </c>
      <c r="BB2060" t="str">
        <f t="shared" si="582"/>
        <v xml:space="preserve">N607SR  </v>
      </c>
      <c r="BC2060">
        <v>1</v>
      </c>
      <c r="BE2060">
        <v>0</v>
      </c>
      <c r="BF2060">
        <v>0</v>
      </c>
      <c r="BG2060">
        <v>0</v>
      </c>
      <c r="BH2060">
        <v>2575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 t="shared" si="588"/>
        <v>06:18:03.328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5</v>
      </c>
      <c r="CP2060" t="s">
        <v>119</v>
      </c>
      <c r="CQ2060">
        <v>517</v>
      </c>
      <c r="CR2060">
        <v>1</v>
      </c>
      <c r="CW2060">
        <v>2484355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 t="shared" si="586"/>
        <v>08/29/2020 06:18:00.139</v>
      </c>
      <c r="C2061" t="str">
        <f t="shared" si="580"/>
        <v>FFDFD3C0</v>
      </c>
      <c r="D2061" t="s">
        <v>121</v>
      </c>
      <c r="E2061">
        <v>11</v>
      </c>
      <c r="F2061">
        <v>1011</v>
      </c>
      <c r="G2061" t="s">
        <v>125</v>
      </c>
      <c r="J2061" t="s">
        <v>123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587"/>
        <v>06:18:03.320</v>
      </c>
      <c r="T2061" t="str">
        <f>"06:18:02.820"</f>
        <v>06:18:02.820</v>
      </c>
      <c r="U2061" t="str">
        <f t="shared" si="581"/>
        <v>A7E2E0</v>
      </c>
      <c r="V2061">
        <v>0</v>
      </c>
      <c r="W2061">
        <v>0</v>
      </c>
      <c r="X2061">
        <v>1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0</v>
      </c>
      <c r="AI2061" t="s">
        <v>1223</v>
      </c>
      <c r="AJ2061">
        <v>38.964708000000002</v>
      </c>
      <c r="AK2061" t="s">
        <v>1224</v>
      </c>
      <c r="AL2061">
        <v>-87.604916000000003</v>
      </c>
      <c r="AM2061">
        <v>100</v>
      </c>
      <c r="AN2061">
        <v>2800</v>
      </c>
      <c r="AO2061" t="s">
        <v>118</v>
      </c>
      <c r="AP2061">
        <v>-85</v>
      </c>
      <c r="AQ2061">
        <v>-113</v>
      </c>
      <c r="AR2061">
        <v>-64</v>
      </c>
      <c r="AZ2061">
        <v>4552</v>
      </c>
      <c r="BA2061">
        <v>1</v>
      </c>
      <c r="BB2061" t="str">
        <f t="shared" si="582"/>
        <v xml:space="preserve">N607SR  </v>
      </c>
      <c r="BC2061">
        <v>1</v>
      </c>
      <c r="BE2061">
        <v>0</v>
      </c>
      <c r="BF2061">
        <v>0</v>
      </c>
      <c r="BG2061">
        <v>0</v>
      </c>
      <c r="BH2061">
        <v>2575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 t="shared" si="588"/>
        <v>06:18:03.328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4</v>
      </c>
      <c r="CP2061" t="s">
        <v>119</v>
      </c>
      <c r="CQ2061">
        <v>457</v>
      </c>
      <c r="CR2061">
        <v>0</v>
      </c>
      <c r="CW2061">
        <v>15519458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si="586"/>
        <v>08/29/2020 06:18:00.139</v>
      </c>
      <c r="C2062" t="str">
        <f t="shared" si="580"/>
        <v>FFDFD3C0</v>
      </c>
      <c r="D2062" t="s">
        <v>113</v>
      </c>
      <c r="E2062">
        <v>5</v>
      </c>
      <c r="H2062">
        <v>163</v>
      </c>
      <c r="I2062" t="s">
        <v>114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587"/>
        <v>06:18:03.320</v>
      </c>
      <c r="U2062" t="str">
        <f t="shared" si="581"/>
        <v>A7E2E0</v>
      </c>
      <c r="V2062">
        <v>0</v>
      </c>
      <c r="W2062">
        <v>0</v>
      </c>
      <c r="X2062">
        <v>1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0</v>
      </c>
      <c r="AI2062" t="s">
        <v>1223</v>
      </c>
      <c r="AJ2062">
        <v>38.964708000000002</v>
      </c>
      <c r="AK2062" t="s">
        <v>1224</v>
      </c>
      <c r="AL2062">
        <v>-87.604916000000003</v>
      </c>
      <c r="AM2062">
        <v>100</v>
      </c>
      <c r="AN2062">
        <v>2800</v>
      </c>
      <c r="AO2062" t="s">
        <v>118</v>
      </c>
      <c r="AP2062">
        <v>-85</v>
      </c>
      <c r="AQ2062">
        <v>-113</v>
      </c>
      <c r="AR2062">
        <v>-64</v>
      </c>
      <c r="AZ2062">
        <v>4552</v>
      </c>
      <c r="BA2062">
        <v>1</v>
      </c>
      <c r="BB2062" t="str">
        <f t="shared" si="582"/>
        <v xml:space="preserve">N607SR  </v>
      </c>
      <c r="BC2062">
        <v>1</v>
      </c>
      <c r="BE2062">
        <v>0</v>
      </c>
      <c r="BF2062">
        <v>0</v>
      </c>
      <c r="BG2062">
        <v>0</v>
      </c>
      <c r="BH2062">
        <v>2575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 t="shared" si="588"/>
        <v>06:18:03.328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5</v>
      </c>
      <c r="CP2062" t="s">
        <v>119</v>
      </c>
      <c r="CQ2062">
        <v>517</v>
      </c>
      <c r="CR2062">
        <v>1</v>
      </c>
      <c r="CW2062">
        <v>2484355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586"/>
        <v>08/29/2020 06:18:00.139</v>
      </c>
      <c r="C2063" t="str">
        <f t="shared" si="580"/>
        <v>FFDFD3C0</v>
      </c>
      <c r="D2063" t="s">
        <v>121</v>
      </c>
      <c r="E2063">
        <v>13</v>
      </c>
      <c r="F2063">
        <v>1013</v>
      </c>
      <c r="G2063" t="s">
        <v>122</v>
      </c>
      <c r="J2063" t="s">
        <v>123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587"/>
        <v>06:18:03.320</v>
      </c>
      <c r="U2063" t="str">
        <f t="shared" si="581"/>
        <v>A7E2E0</v>
      </c>
      <c r="V2063">
        <v>0</v>
      </c>
      <c r="W2063">
        <v>0</v>
      </c>
      <c r="X2063">
        <v>1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0</v>
      </c>
      <c r="AI2063" t="s">
        <v>1223</v>
      </c>
      <c r="AJ2063">
        <v>38.964708000000002</v>
      </c>
      <c r="AK2063" t="s">
        <v>1224</v>
      </c>
      <c r="AL2063">
        <v>-87.604916000000003</v>
      </c>
      <c r="AM2063">
        <v>100</v>
      </c>
      <c r="AN2063">
        <v>2800</v>
      </c>
      <c r="AO2063" t="s">
        <v>118</v>
      </c>
      <c r="AP2063">
        <v>-85</v>
      </c>
      <c r="AQ2063">
        <v>-113</v>
      </c>
      <c r="AR2063">
        <v>-64</v>
      </c>
      <c r="AZ2063">
        <v>4552</v>
      </c>
      <c r="BA2063">
        <v>1</v>
      </c>
      <c r="BB2063" t="str">
        <f t="shared" si="582"/>
        <v xml:space="preserve">N607SR  </v>
      </c>
      <c r="BC2063">
        <v>1</v>
      </c>
      <c r="BE2063">
        <v>0</v>
      </c>
      <c r="BF2063">
        <v>0</v>
      </c>
      <c r="BG2063">
        <v>0</v>
      </c>
      <c r="BH2063">
        <v>2575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 t="shared" si="588"/>
        <v>06:18:03.328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5</v>
      </c>
      <c r="CP2063" t="s">
        <v>119</v>
      </c>
      <c r="CQ2063">
        <v>517</v>
      </c>
      <c r="CR2063">
        <v>1</v>
      </c>
      <c r="CW2063">
        <v>2484355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 t="shared" ref="A2064:A2069" si="589">"08/29/2020 06:18:01.045"</f>
        <v>08/29/2020 06:18:01.045</v>
      </c>
      <c r="C2064" t="str">
        <f t="shared" si="580"/>
        <v>FFDFD3C0</v>
      </c>
      <c r="D2064" t="s">
        <v>939</v>
      </c>
      <c r="E2064">
        <v>10</v>
      </c>
      <c r="H2064">
        <v>79</v>
      </c>
      <c r="I2064" t="s">
        <v>940</v>
      </c>
      <c r="J2064" t="s">
        <v>130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ref="S2064:S2069" si="590">"06:18:04.258"</f>
        <v>06:18:04.258</v>
      </c>
      <c r="T2064" t="str">
        <f t="shared" ref="T2064:T2069" si="591">"06:18:03.858"</f>
        <v>06:18:03.858</v>
      </c>
      <c r="U2064" t="str">
        <f t="shared" si="581"/>
        <v>A7E2E0</v>
      </c>
      <c r="V2064">
        <v>0</v>
      </c>
      <c r="W2064">
        <v>0</v>
      </c>
      <c r="X2064">
        <v>1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0</v>
      </c>
      <c r="AI2064" t="s">
        <v>1225</v>
      </c>
      <c r="AJ2064">
        <v>38.964213999999998</v>
      </c>
      <c r="AK2064" t="s">
        <v>1226</v>
      </c>
      <c r="AL2064">
        <v>-87.605345</v>
      </c>
      <c r="AM2064">
        <v>100</v>
      </c>
      <c r="AN2064">
        <v>2800</v>
      </c>
      <c r="AO2064" t="s">
        <v>118</v>
      </c>
      <c r="AP2064">
        <v>-85</v>
      </c>
      <c r="AQ2064">
        <v>-113</v>
      </c>
      <c r="AR2064">
        <v>0</v>
      </c>
      <c r="AZ2064">
        <v>4552</v>
      </c>
      <c r="BA2064">
        <v>1</v>
      </c>
      <c r="BB2064" t="str">
        <f t="shared" si="582"/>
        <v xml:space="preserve">N607SR  </v>
      </c>
      <c r="BC2064">
        <v>1</v>
      </c>
      <c r="BE2064">
        <v>0</v>
      </c>
      <c r="BF2064">
        <v>0</v>
      </c>
      <c r="BG2064">
        <v>0</v>
      </c>
      <c r="BH2064">
        <v>2575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 t="shared" ref="BW2064:BW2069" si="592">"06:18:04.258"</f>
        <v>06:18:04.258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6</v>
      </c>
      <c r="CP2064" t="s">
        <v>119</v>
      </c>
      <c r="CQ2064">
        <v>465</v>
      </c>
      <c r="CR2064">
        <v>0</v>
      </c>
      <c r="CW2064">
        <v>4724076</v>
      </c>
      <c r="CY2064">
        <v>1</v>
      </c>
      <c r="CZ2064">
        <v>0</v>
      </c>
      <c r="DA2064">
        <v>0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 t="shared" si="589"/>
        <v>08/29/2020 06:18:01.045</v>
      </c>
      <c r="C2065" t="str">
        <f t="shared" si="580"/>
        <v>FFDFD3C0</v>
      </c>
      <c r="D2065" t="s">
        <v>121</v>
      </c>
      <c r="E2065">
        <v>11</v>
      </c>
      <c r="F2065">
        <v>1011</v>
      </c>
      <c r="G2065" t="s">
        <v>125</v>
      </c>
      <c r="J2065" t="s">
        <v>123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590"/>
        <v>06:18:04.258</v>
      </c>
      <c r="T2065" t="str">
        <f t="shared" si="591"/>
        <v>06:18:03.858</v>
      </c>
      <c r="U2065" t="str">
        <f t="shared" si="581"/>
        <v>A7E2E0</v>
      </c>
      <c r="V2065">
        <v>0</v>
      </c>
      <c r="W2065">
        <v>0</v>
      </c>
      <c r="X2065">
        <v>1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0</v>
      </c>
      <c r="AI2065" t="s">
        <v>1225</v>
      </c>
      <c r="AJ2065">
        <v>38.964213999999998</v>
      </c>
      <c r="AK2065" t="s">
        <v>1226</v>
      </c>
      <c r="AL2065">
        <v>-87.605345</v>
      </c>
      <c r="AM2065">
        <v>100</v>
      </c>
      <c r="AN2065">
        <v>2800</v>
      </c>
      <c r="AO2065" t="s">
        <v>118</v>
      </c>
      <c r="AP2065">
        <v>-85</v>
      </c>
      <c r="AQ2065">
        <v>-113</v>
      </c>
      <c r="AR2065">
        <v>0</v>
      </c>
      <c r="AZ2065">
        <v>4552</v>
      </c>
      <c r="BA2065">
        <v>1</v>
      </c>
      <c r="BB2065" t="str">
        <f t="shared" si="582"/>
        <v xml:space="preserve">N607SR  </v>
      </c>
      <c r="BC2065">
        <v>1</v>
      </c>
      <c r="BE2065">
        <v>0</v>
      </c>
      <c r="BF2065">
        <v>0</v>
      </c>
      <c r="BG2065">
        <v>0</v>
      </c>
      <c r="BH2065">
        <v>2575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 t="shared" si="592"/>
        <v>06:18:04.258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4</v>
      </c>
      <c r="CP2065" t="s">
        <v>119</v>
      </c>
      <c r="CQ2065">
        <v>457</v>
      </c>
      <c r="CR2065">
        <v>0</v>
      </c>
      <c r="CW2065">
        <v>15519487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 t="shared" si="589"/>
        <v>08/29/2020 06:18:01.045</v>
      </c>
      <c r="C2066" t="str">
        <f t="shared" si="580"/>
        <v>FFDFD3C0</v>
      </c>
      <c r="D2066" t="s">
        <v>113</v>
      </c>
      <c r="E2066">
        <v>5</v>
      </c>
      <c r="H2066">
        <v>163</v>
      </c>
      <c r="I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590"/>
        <v>06:18:04.258</v>
      </c>
      <c r="T2066" t="str">
        <f t="shared" si="591"/>
        <v>06:18:03.858</v>
      </c>
      <c r="U2066" t="str">
        <f t="shared" si="581"/>
        <v>A7E2E0</v>
      </c>
      <c r="V2066">
        <v>0</v>
      </c>
      <c r="W2066">
        <v>0</v>
      </c>
      <c r="X2066">
        <v>1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0</v>
      </c>
      <c r="AI2066" t="s">
        <v>1225</v>
      </c>
      <c r="AJ2066">
        <v>38.964213999999998</v>
      </c>
      <c r="AK2066" t="s">
        <v>1226</v>
      </c>
      <c r="AL2066">
        <v>-87.605345</v>
      </c>
      <c r="AM2066">
        <v>100</v>
      </c>
      <c r="AN2066">
        <v>2800</v>
      </c>
      <c r="AO2066" t="s">
        <v>118</v>
      </c>
      <c r="AP2066">
        <v>-85</v>
      </c>
      <c r="AQ2066">
        <v>-113</v>
      </c>
      <c r="AR2066">
        <v>0</v>
      </c>
      <c r="AZ2066">
        <v>4552</v>
      </c>
      <c r="BA2066">
        <v>1</v>
      </c>
      <c r="BB2066" t="str">
        <f t="shared" si="582"/>
        <v xml:space="preserve">N607SR  </v>
      </c>
      <c r="BC2066">
        <v>1</v>
      </c>
      <c r="BE2066">
        <v>0</v>
      </c>
      <c r="BF2066">
        <v>0</v>
      </c>
      <c r="BG2066">
        <v>0</v>
      </c>
      <c r="BH2066">
        <v>2575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 t="shared" si="592"/>
        <v>06:18:04.258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6</v>
      </c>
      <c r="CP2066" t="s">
        <v>119</v>
      </c>
      <c r="CQ2066">
        <v>465</v>
      </c>
      <c r="CR2066">
        <v>0</v>
      </c>
      <c r="CW2066">
        <v>4724076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 t="shared" si="589"/>
        <v>08/29/2020 06:18:01.045</v>
      </c>
      <c r="C2067" t="str">
        <f t="shared" si="580"/>
        <v>FFDFD3C0</v>
      </c>
      <c r="D2067" t="s">
        <v>128</v>
      </c>
      <c r="E2067">
        <v>5</v>
      </c>
      <c r="H2067">
        <v>241</v>
      </c>
      <c r="I2067" t="s">
        <v>129</v>
      </c>
      <c r="J2067" t="s">
        <v>130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590"/>
        <v>06:18:04.258</v>
      </c>
      <c r="T2067" t="str">
        <f t="shared" si="591"/>
        <v>06:18:03.858</v>
      </c>
      <c r="U2067" t="str">
        <f t="shared" si="581"/>
        <v>A7E2E0</v>
      </c>
      <c r="V2067">
        <v>0</v>
      </c>
      <c r="W2067">
        <v>0</v>
      </c>
      <c r="X2067">
        <v>1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0</v>
      </c>
      <c r="AI2067" t="s">
        <v>1225</v>
      </c>
      <c r="AJ2067">
        <v>38.964213999999998</v>
      </c>
      <c r="AK2067" t="s">
        <v>1226</v>
      </c>
      <c r="AL2067">
        <v>-87.605345</v>
      </c>
      <c r="AM2067">
        <v>100</v>
      </c>
      <c r="AN2067">
        <v>2800</v>
      </c>
      <c r="AO2067" t="s">
        <v>118</v>
      </c>
      <c r="AP2067">
        <v>-85</v>
      </c>
      <c r="AQ2067">
        <v>-113</v>
      </c>
      <c r="AR2067">
        <v>0</v>
      </c>
      <c r="AZ2067">
        <v>4552</v>
      </c>
      <c r="BA2067">
        <v>1</v>
      </c>
      <c r="BB2067" t="str">
        <f t="shared" si="582"/>
        <v xml:space="preserve">N607SR  </v>
      </c>
      <c r="BC2067">
        <v>1</v>
      </c>
      <c r="BE2067">
        <v>0</v>
      </c>
      <c r="BF2067">
        <v>0</v>
      </c>
      <c r="BG2067">
        <v>0</v>
      </c>
      <c r="BH2067">
        <v>2575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 t="shared" si="592"/>
        <v>06:18:04.258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6</v>
      </c>
      <c r="CP2067" t="s">
        <v>119</v>
      </c>
      <c r="CQ2067">
        <v>465</v>
      </c>
      <c r="CR2067">
        <v>0</v>
      </c>
      <c r="CW2067">
        <v>4724076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 t="shared" si="589"/>
        <v>08/29/2020 06:18:01.045</v>
      </c>
      <c r="C2068" t="str">
        <f t="shared" si="580"/>
        <v>FFDFD3C0</v>
      </c>
      <c r="D2068" t="s">
        <v>121</v>
      </c>
      <c r="E2068">
        <v>13</v>
      </c>
      <c r="F2068">
        <v>1013</v>
      </c>
      <c r="G2068" t="s">
        <v>122</v>
      </c>
      <c r="J2068" t="s">
        <v>123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590"/>
        <v>06:18:04.258</v>
      </c>
      <c r="T2068" t="str">
        <f t="shared" si="591"/>
        <v>06:18:03.858</v>
      </c>
      <c r="U2068" t="str">
        <f t="shared" si="581"/>
        <v>A7E2E0</v>
      </c>
      <c r="V2068">
        <v>0</v>
      </c>
      <c r="W2068">
        <v>0</v>
      </c>
      <c r="X2068">
        <v>1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0</v>
      </c>
      <c r="AI2068" t="s">
        <v>1225</v>
      </c>
      <c r="AJ2068">
        <v>38.964213999999998</v>
      </c>
      <c r="AK2068" t="s">
        <v>1226</v>
      </c>
      <c r="AL2068">
        <v>-87.605345</v>
      </c>
      <c r="AM2068">
        <v>100</v>
      </c>
      <c r="AN2068">
        <v>2800</v>
      </c>
      <c r="AO2068" t="s">
        <v>118</v>
      </c>
      <c r="AP2068">
        <v>-85</v>
      </c>
      <c r="AQ2068">
        <v>-113</v>
      </c>
      <c r="AR2068">
        <v>0</v>
      </c>
      <c r="AZ2068">
        <v>4552</v>
      </c>
      <c r="BA2068">
        <v>1</v>
      </c>
      <c r="BB2068" t="str">
        <f t="shared" si="582"/>
        <v xml:space="preserve">N607SR  </v>
      </c>
      <c r="BC2068">
        <v>1</v>
      </c>
      <c r="BE2068">
        <v>0</v>
      </c>
      <c r="BF2068">
        <v>0</v>
      </c>
      <c r="BG2068">
        <v>0</v>
      </c>
      <c r="BH2068">
        <v>2575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 t="shared" si="592"/>
        <v>06:18:04.258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465</v>
      </c>
      <c r="CR2068">
        <v>0</v>
      </c>
      <c r="CW2068">
        <v>4724076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 t="shared" si="589"/>
        <v>08/29/2020 06:18:01.045</v>
      </c>
      <c r="C2069" t="str">
        <f t="shared" si="580"/>
        <v>FFDFD3C0</v>
      </c>
      <c r="D2069" t="s">
        <v>121</v>
      </c>
      <c r="E2069">
        <v>10</v>
      </c>
      <c r="F2069">
        <v>1010</v>
      </c>
      <c r="G2069" t="s">
        <v>114</v>
      </c>
      <c r="J2069" t="s">
        <v>123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590"/>
        <v>06:18:04.258</v>
      </c>
      <c r="T2069" t="str">
        <f t="shared" si="591"/>
        <v>06:18:03.858</v>
      </c>
      <c r="U2069" t="str">
        <f t="shared" si="581"/>
        <v>A7E2E0</v>
      </c>
      <c r="V2069">
        <v>0</v>
      </c>
      <c r="W2069">
        <v>0</v>
      </c>
      <c r="X2069">
        <v>1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0</v>
      </c>
      <c r="AI2069" t="s">
        <v>1225</v>
      </c>
      <c r="AJ2069">
        <v>38.964213999999998</v>
      </c>
      <c r="AK2069" t="s">
        <v>1226</v>
      </c>
      <c r="AL2069">
        <v>-87.605345</v>
      </c>
      <c r="AM2069">
        <v>100</v>
      </c>
      <c r="AN2069">
        <v>2800</v>
      </c>
      <c r="AO2069" t="s">
        <v>118</v>
      </c>
      <c r="AP2069">
        <v>-85</v>
      </c>
      <c r="AQ2069">
        <v>-113</v>
      </c>
      <c r="AR2069">
        <v>0</v>
      </c>
      <c r="AZ2069">
        <v>4552</v>
      </c>
      <c r="BA2069">
        <v>1</v>
      </c>
      <c r="BB2069" t="str">
        <f t="shared" si="582"/>
        <v xml:space="preserve">N607SR  </v>
      </c>
      <c r="BC2069">
        <v>1</v>
      </c>
      <c r="BE2069">
        <v>0</v>
      </c>
      <c r="BF2069">
        <v>0</v>
      </c>
      <c r="BG2069">
        <v>0</v>
      </c>
      <c r="BH2069">
        <v>2575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 t="shared" si="592"/>
        <v>06:18:04.258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6</v>
      </c>
      <c r="CP2069" t="s">
        <v>119</v>
      </c>
      <c r="CQ2069">
        <v>465</v>
      </c>
      <c r="CR2069">
        <v>0</v>
      </c>
      <c r="CW2069">
        <v>4724076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 t="shared" ref="A2070:A2075" si="593">"08/29/2020 06:18:02.149"</f>
        <v>08/29/2020 06:18:02.149</v>
      </c>
      <c r="C2070" t="str">
        <f t="shared" si="580"/>
        <v>FFDFD3C0</v>
      </c>
      <c r="D2070" t="s">
        <v>939</v>
      </c>
      <c r="E2070">
        <v>10</v>
      </c>
      <c r="H2070">
        <v>79</v>
      </c>
      <c r="I2070" t="s">
        <v>940</v>
      </c>
      <c r="J2070" t="s">
        <v>130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ref="S2070:S2075" si="594">"06:18:05.367"</f>
        <v>06:18:05.367</v>
      </c>
      <c r="T2070" t="str">
        <f>"06:18:04.867"</f>
        <v>06:18:04.867</v>
      </c>
      <c r="U2070" t="str">
        <f t="shared" si="581"/>
        <v>A7E2E0</v>
      </c>
      <c r="V2070">
        <v>0</v>
      </c>
      <c r="W2070">
        <v>0</v>
      </c>
      <c r="X2070">
        <v>1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0</v>
      </c>
      <c r="AI2070" t="s">
        <v>1227</v>
      </c>
      <c r="AJ2070">
        <v>38.963656</v>
      </c>
      <c r="AK2070" t="s">
        <v>1228</v>
      </c>
      <c r="AL2070">
        <v>-87.605946000000003</v>
      </c>
      <c r="AM2070">
        <v>100</v>
      </c>
      <c r="AN2070">
        <v>2800</v>
      </c>
      <c r="AO2070" t="s">
        <v>118</v>
      </c>
      <c r="AP2070">
        <v>-85</v>
      </c>
      <c r="AQ2070">
        <v>-112</v>
      </c>
      <c r="AR2070">
        <v>0</v>
      </c>
      <c r="AZ2070">
        <v>4552</v>
      </c>
      <c r="BA2070">
        <v>1</v>
      </c>
      <c r="BB2070" t="str">
        <f t="shared" si="582"/>
        <v xml:space="preserve">N607SR  </v>
      </c>
      <c r="BC2070">
        <v>1</v>
      </c>
      <c r="BE2070">
        <v>0</v>
      </c>
      <c r="BF2070">
        <v>0</v>
      </c>
      <c r="BG2070">
        <v>0</v>
      </c>
      <c r="BH2070">
        <v>2575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 t="shared" ref="BW2070:BW2075" si="595">"06:18:05.368"</f>
        <v>06:18:05.368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6</v>
      </c>
      <c r="CP2070" t="s">
        <v>119</v>
      </c>
      <c r="CQ2070">
        <v>465</v>
      </c>
      <c r="CR2070">
        <v>0</v>
      </c>
      <c r="CW2070">
        <v>4724110</v>
      </c>
      <c r="CY2070">
        <v>1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 t="shared" si="593"/>
        <v>08/29/2020 06:18:02.149</v>
      </c>
      <c r="C2071" t="str">
        <f t="shared" si="580"/>
        <v>FFDFD3C0</v>
      </c>
      <c r="D2071" t="s">
        <v>128</v>
      </c>
      <c r="E2071">
        <v>5</v>
      </c>
      <c r="H2071">
        <v>241</v>
      </c>
      <c r="I2071" t="s">
        <v>129</v>
      </c>
      <c r="J2071" t="s">
        <v>130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594"/>
        <v>06:18:05.367</v>
      </c>
      <c r="U2071" t="str">
        <f t="shared" si="581"/>
        <v>A7E2E0</v>
      </c>
      <c r="V2071">
        <v>0</v>
      </c>
      <c r="W2071">
        <v>0</v>
      </c>
      <c r="X2071">
        <v>1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0</v>
      </c>
      <c r="AI2071" t="s">
        <v>1227</v>
      </c>
      <c r="AJ2071">
        <v>38.963656</v>
      </c>
      <c r="AK2071" t="s">
        <v>1228</v>
      </c>
      <c r="AL2071">
        <v>-87.605946000000003</v>
      </c>
      <c r="AM2071">
        <v>100</v>
      </c>
      <c r="AN2071">
        <v>2800</v>
      </c>
      <c r="AO2071" t="s">
        <v>118</v>
      </c>
      <c r="AP2071">
        <v>-85</v>
      </c>
      <c r="AQ2071">
        <v>-112</v>
      </c>
      <c r="AR2071">
        <v>0</v>
      </c>
      <c r="AZ2071">
        <v>4552</v>
      </c>
      <c r="BA2071">
        <v>1</v>
      </c>
      <c r="BB2071" t="str">
        <f t="shared" si="582"/>
        <v xml:space="preserve">N607SR  </v>
      </c>
      <c r="BC2071">
        <v>1</v>
      </c>
      <c r="BE2071">
        <v>0</v>
      </c>
      <c r="BF2071">
        <v>0</v>
      </c>
      <c r="BG2071">
        <v>0</v>
      </c>
      <c r="BH2071">
        <v>2575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 t="shared" si="595"/>
        <v>06:18:05.368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5</v>
      </c>
      <c r="CP2071" t="s">
        <v>119</v>
      </c>
      <c r="CQ2071">
        <v>517</v>
      </c>
      <c r="CR2071">
        <v>1</v>
      </c>
      <c r="CW2071">
        <v>2484418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 t="shared" si="593"/>
        <v>08/29/2020 06:18:02.149</v>
      </c>
      <c r="C2072" t="str">
        <f t="shared" si="580"/>
        <v>FFDFD3C0</v>
      </c>
      <c r="D2072" t="s">
        <v>121</v>
      </c>
      <c r="E2072">
        <v>10</v>
      </c>
      <c r="F2072">
        <v>1010</v>
      </c>
      <c r="G2072" t="s">
        <v>114</v>
      </c>
      <c r="J2072" t="s">
        <v>123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594"/>
        <v>06:18:05.367</v>
      </c>
      <c r="U2072" t="str">
        <f t="shared" si="581"/>
        <v>A7E2E0</v>
      </c>
      <c r="V2072">
        <v>0</v>
      </c>
      <c r="W2072">
        <v>0</v>
      </c>
      <c r="X2072">
        <v>1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0</v>
      </c>
      <c r="AI2072" t="s">
        <v>1227</v>
      </c>
      <c r="AJ2072">
        <v>38.963656</v>
      </c>
      <c r="AK2072" t="s">
        <v>1228</v>
      </c>
      <c r="AL2072">
        <v>-87.605946000000003</v>
      </c>
      <c r="AM2072">
        <v>100</v>
      </c>
      <c r="AN2072">
        <v>2800</v>
      </c>
      <c r="AO2072" t="s">
        <v>118</v>
      </c>
      <c r="AP2072">
        <v>-85</v>
      </c>
      <c r="AQ2072">
        <v>-112</v>
      </c>
      <c r="AR2072">
        <v>0</v>
      </c>
      <c r="AZ2072">
        <v>4552</v>
      </c>
      <c r="BA2072">
        <v>1</v>
      </c>
      <c r="BB2072" t="str">
        <f t="shared" si="582"/>
        <v xml:space="preserve">N607SR  </v>
      </c>
      <c r="BC2072">
        <v>1</v>
      </c>
      <c r="BE2072">
        <v>0</v>
      </c>
      <c r="BF2072">
        <v>0</v>
      </c>
      <c r="BG2072">
        <v>0</v>
      </c>
      <c r="BH2072">
        <v>2575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 t="shared" si="595"/>
        <v>06:18:05.368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5</v>
      </c>
      <c r="CP2072" t="s">
        <v>119</v>
      </c>
      <c r="CQ2072">
        <v>517</v>
      </c>
      <c r="CR2072">
        <v>1</v>
      </c>
      <c r="CW2072">
        <v>2484418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 t="shared" si="593"/>
        <v>08/29/2020 06:18:02.149</v>
      </c>
      <c r="C2073" t="str">
        <f t="shared" si="580"/>
        <v>FFDFD3C0</v>
      </c>
      <c r="D2073" t="s">
        <v>121</v>
      </c>
      <c r="E2073">
        <v>13</v>
      </c>
      <c r="F2073">
        <v>1013</v>
      </c>
      <c r="G2073" t="s">
        <v>122</v>
      </c>
      <c r="J2073" t="s">
        <v>123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594"/>
        <v>06:18:05.367</v>
      </c>
      <c r="U2073" t="str">
        <f t="shared" si="581"/>
        <v>A7E2E0</v>
      </c>
      <c r="V2073">
        <v>0</v>
      </c>
      <c r="W2073">
        <v>0</v>
      </c>
      <c r="X2073">
        <v>1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0</v>
      </c>
      <c r="AI2073" t="s">
        <v>1227</v>
      </c>
      <c r="AJ2073">
        <v>38.963656</v>
      </c>
      <c r="AK2073" t="s">
        <v>1228</v>
      </c>
      <c r="AL2073">
        <v>-87.605946000000003</v>
      </c>
      <c r="AM2073">
        <v>100</v>
      </c>
      <c r="AN2073">
        <v>2800</v>
      </c>
      <c r="AO2073" t="s">
        <v>118</v>
      </c>
      <c r="AP2073">
        <v>-85</v>
      </c>
      <c r="AQ2073">
        <v>-112</v>
      </c>
      <c r="AR2073">
        <v>0</v>
      </c>
      <c r="AZ2073">
        <v>4552</v>
      </c>
      <c r="BA2073">
        <v>1</v>
      </c>
      <c r="BB2073" t="str">
        <f t="shared" si="582"/>
        <v xml:space="preserve">N607SR  </v>
      </c>
      <c r="BC2073">
        <v>1</v>
      </c>
      <c r="BE2073">
        <v>0</v>
      </c>
      <c r="BF2073">
        <v>0</v>
      </c>
      <c r="BG2073">
        <v>0</v>
      </c>
      <c r="BH2073">
        <v>2575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 t="shared" si="595"/>
        <v>06:18:05.368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5</v>
      </c>
      <c r="CP2073" t="s">
        <v>119</v>
      </c>
      <c r="CQ2073">
        <v>517</v>
      </c>
      <c r="CR2073">
        <v>1</v>
      </c>
      <c r="CW2073">
        <v>2484418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 t="shared" si="593"/>
        <v>08/29/2020 06:18:02.149</v>
      </c>
      <c r="C2074" t="str">
        <f t="shared" si="580"/>
        <v>FFDFD3C0</v>
      </c>
      <c r="D2074" t="s">
        <v>121</v>
      </c>
      <c r="E2074">
        <v>11</v>
      </c>
      <c r="F2074">
        <v>1011</v>
      </c>
      <c r="G2074" t="s">
        <v>125</v>
      </c>
      <c r="J2074" t="s">
        <v>123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594"/>
        <v>06:18:05.367</v>
      </c>
      <c r="T2074" t="str">
        <f>"06:18:04.867"</f>
        <v>06:18:04.867</v>
      </c>
      <c r="U2074" t="str">
        <f t="shared" si="581"/>
        <v>A7E2E0</v>
      </c>
      <c r="V2074">
        <v>0</v>
      </c>
      <c r="W2074">
        <v>0</v>
      </c>
      <c r="X2074">
        <v>1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0</v>
      </c>
      <c r="AI2074" t="s">
        <v>1227</v>
      </c>
      <c r="AJ2074">
        <v>38.963656</v>
      </c>
      <c r="AK2074" t="s">
        <v>1228</v>
      </c>
      <c r="AL2074">
        <v>-87.605946000000003</v>
      </c>
      <c r="AM2074">
        <v>100</v>
      </c>
      <c r="AN2074">
        <v>2800</v>
      </c>
      <c r="AO2074" t="s">
        <v>118</v>
      </c>
      <c r="AP2074">
        <v>-85</v>
      </c>
      <c r="AQ2074">
        <v>-112</v>
      </c>
      <c r="AR2074">
        <v>0</v>
      </c>
      <c r="AZ2074">
        <v>4552</v>
      </c>
      <c r="BA2074">
        <v>1</v>
      </c>
      <c r="BB2074" t="str">
        <f t="shared" si="582"/>
        <v xml:space="preserve">N607SR  </v>
      </c>
      <c r="BC2074">
        <v>1</v>
      </c>
      <c r="BE2074">
        <v>0</v>
      </c>
      <c r="BF2074">
        <v>0</v>
      </c>
      <c r="BG2074">
        <v>0</v>
      </c>
      <c r="BH2074">
        <v>2575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 t="shared" si="595"/>
        <v>06:18:05.368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4</v>
      </c>
      <c r="CP2074" t="s">
        <v>119</v>
      </c>
      <c r="CQ2074">
        <v>457</v>
      </c>
      <c r="CR2074">
        <v>0</v>
      </c>
      <c r="CW2074">
        <v>15519520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 t="shared" si="593"/>
        <v>08/29/2020 06:18:02.149</v>
      </c>
      <c r="C2075" t="str">
        <f t="shared" si="580"/>
        <v>FFDFD3C0</v>
      </c>
      <c r="D2075" t="s">
        <v>113</v>
      </c>
      <c r="E2075">
        <v>5</v>
      </c>
      <c r="H2075">
        <v>163</v>
      </c>
      <c r="I2075" t="s">
        <v>114</v>
      </c>
      <c r="J2075" t="s">
        <v>115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594"/>
        <v>06:18:05.367</v>
      </c>
      <c r="U2075" t="str">
        <f t="shared" si="581"/>
        <v>A7E2E0</v>
      </c>
      <c r="V2075">
        <v>0</v>
      </c>
      <c r="W2075">
        <v>0</v>
      </c>
      <c r="X2075">
        <v>1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0</v>
      </c>
      <c r="AI2075" t="s">
        <v>1227</v>
      </c>
      <c r="AJ2075">
        <v>38.963656</v>
      </c>
      <c r="AK2075" t="s">
        <v>1228</v>
      </c>
      <c r="AL2075">
        <v>-87.605946000000003</v>
      </c>
      <c r="AM2075">
        <v>100</v>
      </c>
      <c r="AN2075">
        <v>2800</v>
      </c>
      <c r="AO2075" t="s">
        <v>118</v>
      </c>
      <c r="AP2075">
        <v>-85</v>
      </c>
      <c r="AQ2075">
        <v>-112</v>
      </c>
      <c r="AR2075">
        <v>0</v>
      </c>
      <c r="AZ2075">
        <v>4552</v>
      </c>
      <c r="BA2075">
        <v>1</v>
      </c>
      <c r="BB2075" t="str">
        <f t="shared" si="582"/>
        <v xml:space="preserve">N607SR  </v>
      </c>
      <c r="BC2075">
        <v>1</v>
      </c>
      <c r="BE2075">
        <v>0</v>
      </c>
      <c r="BF2075">
        <v>0</v>
      </c>
      <c r="BG2075">
        <v>0</v>
      </c>
      <c r="BH2075">
        <v>2575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 t="shared" si="595"/>
        <v>06:18:05.368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5</v>
      </c>
      <c r="CP2075" t="s">
        <v>119</v>
      </c>
      <c r="CQ2075">
        <v>517</v>
      </c>
      <c r="CR2075">
        <v>1</v>
      </c>
      <c r="CW2075">
        <v>2484418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 t="shared" ref="A2076:A2081" si="596">"08/29/2020 06:18:03.141"</f>
        <v>08/29/2020 06:18:03.141</v>
      </c>
      <c r="C2076" t="str">
        <f t="shared" si="580"/>
        <v>FFDFD3C0</v>
      </c>
      <c r="D2076" t="s">
        <v>128</v>
      </c>
      <c r="E2076">
        <v>5</v>
      </c>
      <c r="H2076">
        <v>241</v>
      </c>
      <c r="I2076" t="s">
        <v>129</v>
      </c>
      <c r="J2076" t="s">
        <v>130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ref="S2076:S2081" si="597">"06:18:06.383"</f>
        <v>06:18:06.383</v>
      </c>
      <c r="T2076" t="str">
        <f t="shared" ref="T2076:T2081" si="598">"06:18:05.883"</f>
        <v>06:18:05.883</v>
      </c>
      <c r="U2076" t="str">
        <f t="shared" si="581"/>
        <v>A7E2E0</v>
      </c>
      <c r="V2076">
        <v>0</v>
      </c>
      <c r="W2076">
        <v>0</v>
      </c>
      <c r="X2076">
        <v>1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0</v>
      </c>
      <c r="AI2076" t="s">
        <v>1229</v>
      </c>
      <c r="AJ2076">
        <v>38.963099</v>
      </c>
      <c r="AK2076" t="s">
        <v>1230</v>
      </c>
      <c r="AL2076">
        <v>-87.606418000000005</v>
      </c>
      <c r="AM2076">
        <v>100</v>
      </c>
      <c r="AN2076">
        <v>2800</v>
      </c>
      <c r="AO2076" t="s">
        <v>118</v>
      </c>
      <c r="AP2076">
        <v>-85</v>
      </c>
      <c r="AQ2076">
        <v>-112</v>
      </c>
      <c r="AR2076">
        <v>0</v>
      </c>
      <c r="AZ2076">
        <v>4552</v>
      </c>
      <c r="BA2076">
        <v>1</v>
      </c>
      <c r="BB2076" t="str">
        <f t="shared" si="582"/>
        <v xml:space="preserve">N607SR  </v>
      </c>
      <c r="BC2076">
        <v>1</v>
      </c>
      <c r="BE2076">
        <v>0</v>
      </c>
      <c r="BF2076">
        <v>0</v>
      </c>
      <c r="BG2076">
        <v>0</v>
      </c>
      <c r="BH2076">
        <v>2575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 t="shared" ref="BW2076:BW2081" si="599">"06:18:06.387"</f>
        <v>06:18:06.387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6</v>
      </c>
      <c r="CP2076" t="s">
        <v>119</v>
      </c>
      <c r="CQ2076">
        <v>465</v>
      </c>
      <c r="CR2076">
        <v>0</v>
      </c>
      <c r="CW2076">
        <v>4724145</v>
      </c>
      <c r="CY2076">
        <v>1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 t="shared" si="596"/>
        <v>08/29/2020 06:18:03.141</v>
      </c>
      <c r="C2077" t="str">
        <f t="shared" si="580"/>
        <v>FFDFD3C0</v>
      </c>
      <c r="D2077" t="s">
        <v>121</v>
      </c>
      <c r="E2077">
        <v>13</v>
      </c>
      <c r="F2077">
        <v>1013</v>
      </c>
      <c r="G2077" t="s">
        <v>122</v>
      </c>
      <c r="J2077" t="s">
        <v>123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597"/>
        <v>06:18:06.383</v>
      </c>
      <c r="T2077" t="str">
        <f t="shared" si="598"/>
        <v>06:18:05.883</v>
      </c>
      <c r="U2077" t="str">
        <f t="shared" si="581"/>
        <v>A7E2E0</v>
      </c>
      <c r="V2077">
        <v>0</v>
      </c>
      <c r="W2077">
        <v>0</v>
      </c>
      <c r="X2077">
        <v>1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0</v>
      </c>
      <c r="AI2077" t="s">
        <v>1229</v>
      </c>
      <c r="AJ2077">
        <v>38.963099</v>
      </c>
      <c r="AK2077" t="s">
        <v>1230</v>
      </c>
      <c r="AL2077">
        <v>-87.606418000000005</v>
      </c>
      <c r="AM2077">
        <v>100</v>
      </c>
      <c r="AN2077">
        <v>2800</v>
      </c>
      <c r="AO2077" t="s">
        <v>118</v>
      </c>
      <c r="AP2077">
        <v>-85</v>
      </c>
      <c r="AQ2077">
        <v>-112</v>
      </c>
      <c r="AR2077">
        <v>0</v>
      </c>
      <c r="AZ2077">
        <v>4552</v>
      </c>
      <c r="BA2077">
        <v>1</v>
      </c>
      <c r="BB2077" t="str">
        <f t="shared" si="582"/>
        <v xml:space="preserve">N607SR  </v>
      </c>
      <c r="BC2077">
        <v>1</v>
      </c>
      <c r="BE2077">
        <v>0</v>
      </c>
      <c r="BF2077">
        <v>0</v>
      </c>
      <c r="BG2077">
        <v>0</v>
      </c>
      <c r="BH2077">
        <v>2575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 t="shared" si="599"/>
        <v>06:18:06.387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6</v>
      </c>
      <c r="CP2077" t="s">
        <v>119</v>
      </c>
      <c r="CQ2077">
        <v>465</v>
      </c>
      <c r="CR2077">
        <v>0</v>
      </c>
      <c r="CW2077">
        <v>4724145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 t="shared" si="596"/>
        <v>08/29/2020 06:18:03.141</v>
      </c>
      <c r="C2078" t="str">
        <f t="shared" si="580"/>
        <v>FFDFD3C0</v>
      </c>
      <c r="D2078" t="s">
        <v>121</v>
      </c>
      <c r="E2078">
        <v>10</v>
      </c>
      <c r="F2078">
        <v>1010</v>
      </c>
      <c r="G2078" t="s">
        <v>114</v>
      </c>
      <c r="J2078" t="s">
        <v>123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597"/>
        <v>06:18:06.383</v>
      </c>
      <c r="T2078" t="str">
        <f t="shared" si="598"/>
        <v>06:18:05.883</v>
      </c>
      <c r="U2078" t="str">
        <f t="shared" si="581"/>
        <v>A7E2E0</v>
      </c>
      <c r="V2078">
        <v>0</v>
      </c>
      <c r="W2078">
        <v>0</v>
      </c>
      <c r="X2078">
        <v>1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0</v>
      </c>
      <c r="AI2078" t="s">
        <v>1229</v>
      </c>
      <c r="AJ2078">
        <v>38.963099</v>
      </c>
      <c r="AK2078" t="s">
        <v>1230</v>
      </c>
      <c r="AL2078">
        <v>-87.606418000000005</v>
      </c>
      <c r="AM2078">
        <v>100</v>
      </c>
      <c r="AN2078">
        <v>2800</v>
      </c>
      <c r="AO2078" t="s">
        <v>118</v>
      </c>
      <c r="AP2078">
        <v>-85</v>
      </c>
      <c r="AQ2078">
        <v>-112</v>
      </c>
      <c r="AR2078">
        <v>0</v>
      </c>
      <c r="AZ2078">
        <v>4552</v>
      </c>
      <c r="BA2078">
        <v>1</v>
      </c>
      <c r="BB2078" t="str">
        <f t="shared" si="582"/>
        <v xml:space="preserve">N607SR  </v>
      </c>
      <c r="BC2078">
        <v>1</v>
      </c>
      <c r="BE2078">
        <v>0</v>
      </c>
      <c r="BF2078">
        <v>0</v>
      </c>
      <c r="BG2078">
        <v>0</v>
      </c>
      <c r="BH2078">
        <v>2575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 t="shared" si="599"/>
        <v>06:18:06.387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465</v>
      </c>
      <c r="CR2078">
        <v>0</v>
      </c>
      <c r="CW2078">
        <v>4724145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 t="shared" si="596"/>
        <v>08/29/2020 06:18:03.141</v>
      </c>
      <c r="C2079" t="str">
        <f t="shared" si="580"/>
        <v>FFDFD3C0</v>
      </c>
      <c r="D2079" t="s">
        <v>939</v>
      </c>
      <c r="E2079">
        <v>10</v>
      </c>
      <c r="H2079">
        <v>79</v>
      </c>
      <c r="I2079" t="s">
        <v>940</v>
      </c>
      <c r="J2079" t="s">
        <v>130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597"/>
        <v>06:18:06.383</v>
      </c>
      <c r="T2079" t="str">
        <f t="shared" si="598"/>
        <v>06:18:05.883</v>
      </c>
      <c r="U2079" t="str">
        <f t="shared" si="581"/>
        <v>A7E2E0</v>
      </c>
      <c r="V2079">
        <v>0</v>
      </c>
      <c r="W2079">
        <v>0</v>
      </c>
      <c r="X2079">
        <v>1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0</v>
      </c>
      <c r="AI2079" t="s">
        <v>1229</v>
      </c>
      <c r="AJ2079">
        <v>38.963099</v>
      </c>
      <c r="AK2079" t="s">
        <v>1230</v>
      </c>
      <c r="AL2079">
        <v>-87.606418000000005</v>
      </c>
      <c r="AM2079">
        <v>100</v>
      </c>
      <c r="AN2079">
        <v>2800</v>
      </c>
      <c r="AO2079" t="s">
        <v>118</v>
      </c>
      <c r="AP2079">
        <v>-85</v>
      </c>
      <c r="AQ2079">
        <v>-112</v>
      </c>
      <c r="AR2079">
        <v>0</v>
      </c>
      <c r="AZ2079">
        <v>4552</v>
      </c>
      <c r="BA2079">
        <v>1</v>
      </c>
      <c r="BB2079" t="str">
        <f t="shared" si="582"/>
        <v xml:space="preserve">N607SR  </v>
      </c>
      <c r="BC2079">
        <v>1</v>
      </c>
      <c r="BE2079">
        <v>0</v>
      </c>
      <c r="BF2079">
        <v>0</v>
      </c>
      <c r="BG2079">
        <v>0</v>
      </c>
      <c r="BH2079">
        <v>2575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 t="shared" si="599"/>
        <v>06:18:06.387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6</v>
      </c>
      <c r="CP2079" t="s">
        <v>119</v>
      </c>
      <c r="CQ2079">
        <v>465</v>
      </c>
      <c r="CR2079">
        <v>0</v>
      </c>
      <c r="CW2079">
        <v>4724145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 t="shared" si="596"/>
        <v>08/29/2020 06:18:03.141</v>
      </c>
      <c r="C2080" t="str">
        <f t="shared" si="580"/>
        <v>FFDFD3C0</v>
      </c>
      <c r="D2080" t="s">
        <v>113</v>
      </c>
      <c r="E2080">
        <v>5</v>
      </c>
      <c r="H2080">
        <v>163</v>
      </c>
      <c r="I2080" t="s">
        <v>114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597"/>
        <v>06:18:06.383</v>
      </c>
      <c r="T2080" t="str">
        <f t="shared" si="598"/>
        <v>06:18:05.883</v>
      </c>
      <c r="U2080" t="str">
        <f t="shared" si="581"/>
        <v>A7E2E0</v>
      </c>
      <c r="V2080">
        <v>0</v>
      </c>
      <c r="W2080">
        <v>0</v>
      </c>
      <c r="X2080">
        <v>1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0</v>
      </c>
      <c r="AI2080" t="s">
        <v>1229</v>
      </c>
      <c r="AJ2080">
        <v>38.963099</v>
      </c>
      <c r="AK2080" t="s">
        <v>1230</v>
      </c>
      <c r="AL2080">
        <v>-87.606418000000005</v>
      </c>
      <c r="AM2080">
        <v>100</v>
      </c>
      <c r="AN2080">
        <v>2800</v>
      </c>
      <c r="AO2080" t="s">
        <v>118</v>
      </c>
      <c r="AP2080">
        <v>-85</v>
      </c>
      <c r="AQ2080">
        <v>-112</v>
      </c>
      <c r="AR2080">
        <v>0</v>
      </c>
      <c r="AZ2080">
        <v>4552</v>
      </c>
      <c r="BA2080">
        <v>1</v>
      </c>
      <c r="BB2080" t="str">
        <f t="shared" si="582"/>
        <v xml:space="preserve">N607SR  </v>
      </c>
      <c r="BC2080">
        <v>1</v>
      </c>
      <c r="BE2080">
        <v>0</v>
      </c>
      <c r="BF2080">
        <v>0</v>
      </c>
      <c r="BG2080">
        <v>0</v>
      </c>
      <c r="BH2080">
        <v>2575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 t="shared" si="599"/>
        <v>06:18:06.387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6</v>
      </c>
      <c r="CP2080" t="s">
        <v>119</v>
      </c>
      <c r="CQ2080">
        <v>465</v>
      </c>
      <c r="CR2080">
        <v>0</v>
      </c>
      <c r="CW2080">
        <v>4724145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 t="shared" si="596"/>
        <v>08/29/2020 06:18:03.141</v>
      </c>
      <c r="C2081" t="str">
        <f t="shared" si="580"/>
        <v>FFDFD3C0</v>
      </c>
      <c r="D2081" t="s">
        <v>121</v>
      </c>
      <c r="E2081">
        <v>11</v>
      </c>
      <c r="F2081">
        <v>1011</v>
      </c>
      <c r="G2081" t="s">
        <v>125</v>
      </c>
      <c r="J2081" t="s">
        <v>123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597"/>
        <v>06:18:06.383</v>
      </c>
      <c r="T2081" t="str">
        <f t="shared" si="598"/>
        <v>06:18:05.883</v>
      </c>
      <c r="U2081" t="str">
        <f t="shared" si="581"/>
        <v>A7E2E0</v>
      </c>
      <c r="V2081">
        <v>0</v>
      </c>
      <c r="W2081">
        <v>0</v>
      </c>
      <c r="X2081">
        <v>1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0</v>
      </c>
      <c r="AI2081" t="s">
        <v>1229</v>
      </c>
      <c r="AJ2081">
        <v>38.963099</v>
      </c>
      <c r="AK2081" t="s">
        <v>1230</v>
      </c>
      <c r="AL2081">
        <v>-87.606418000000005</v>
      </c>
      <c r="AM2081">
        <v>100</v>
      </c>
      <c r="AN2081">
        <v>2800</v>
      </c>
      <c r="AO2081" t="s">
        <v>118</v>
      </c>
      <c r="AP2081">
        <v>-85</v>
      </c>
      <c r="AQ2081">
        <v>-112</v>
      </c>
      <c r="AR2081">
        <v>0</v>
      </c>
      <c r="AZ2081">
        <v>4552</v>
      </c>
      <c r="BA2081">
        <v>1</v>
      </c>
      <c r="BB2081" t="str">
        <f t="shared" si="582"/>
        <v xml:space="preserve">N607SR  </v>
      </c>
      <c r="BC2081">
        <v>1</v>
      </c>
      <c r="BE2081">
        <v>0</v>
      </c>
      <c r="BF2081">
        <v>0</v>
      </c>
      <c r="BG2081">
        <v>0</v>
      </c>
      <c r="BH2081">
        <v>2575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 t="shared" si="599"/>
        <v>06:18:06.387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4</v>
      </c>
      <c r="CP2081" t="s">
        <v>119</v>
      </c>
      <c r="CQ2081">
        <v>457</v>
      </c>
      <c r="CR2081">
        <v>0</v>
      </c>
      <c r="CW2081">
        <v>15519552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 t="shared" ref="A2082:A2087" si="600">"08/29/2020 06:18:04.156"</f>
        <v>08/29/2020 06:18:04.156</v>
      </c>
      <c r="C2082" t="str">
        <f t="shared" si="580"/>
        <v>FFDFD3C0</v>
      </c>
      <c r="D2082" t="s">
        <v>128</v>
      </c>
      <c r="E2082">
        <v>5</v>
      </c>
      <c r="H2082">
        <v>241</v>
      </c>
      <c r="I2082" t="s">
        <v>129</v>
      </c>
      <c r="J2082" t="s">
        <v>130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ref="S2082:S2087" si="601">"06:18:07.383"</f>
        <v>06:18:07.383</v>
      </c>
      <c r="T2082" t="str">
        <f t="shared" ref="T2082:T2087" si="602">"06:18:07.083"</f>
        <v>06:18:07.083</v>
      </c>
      <c r="U2082" t="str">
        <f t="shared" si="581"/>
        <v>A7E2E0</v>
      </c>
      <c r="V2082">
        <v>0</v>
      </c>
      <c r="W2082">
        <v>0</v>
      </c>
      <c r="X2082">
        <v>1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0</v>
      </c>
      <c r="AI2082" t="s">
        <v>1231</v>
      </c>
      <c r="AJ2082">
        <v>38.962605000000003</v>
      </c>
      <c r="AK2082" t="s">
        <v>1232</v>
      </c>
      <c r="AL2082">
        <v>-87.606954999999999</v>
      </c>
      <c r="AM2082">
        <v>100</v>
      </c>
      <c r="AN2082">
        <v>2800</v>
      </c>
      <c r="AO2082" t="s">
        <v>118</v>
      </c>
      <c r="AP2082">
        <v>-85</v>
      </c>
      <c r="AQ2082">
        <v>-112</v>
      </c>
      <c r="AR2082">
        <v>0</v>
      </c>
      <c r="AZ2082">
        <v>4552</v>
      </c>
      <c r="BA2082">
        <v>1</v>
      </c>
      <c r="BB2082" t="str">
        <f t="shared" si="582"/>
        <v xml:space="preserve">N607SR  </v>
      </c>
      <c r="BC2082">
        <v>1</v>
      </c>
      <c r="BE2082">
        <v>0</v>
      </c>
      <c r="BF2082">
        <v>0</v>
      </c>
      <c r="BG2082">
        <v>0</v>
      </c>
      <c r="BH2082">
        <v>2575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 t="shared" ref="BW2082:BW2087" si="603">"06:18:07.386"</f>
        <v>06:18:07.386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6</v>
      </c>
      <c r="CP2082" t="s">
        <v>119</v>
      </c>
      <c r="CQ2082">
        <v>465</v>
      </c>
      <c r="CR2082">
        <v>0</v>
      </c>
      <c r="CW2082">
        <v>4724177</v>
      </c>
      <c r="CY2082">
        <v>1</v>
      </c>
      <c r="CZ2082">
        <v>0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 t="shared" si="600"/>
        <v>08/29/2020 06:18:04.156</v>
      </c>
      <c r="C2083" t="str">
        <f t="shared" si="580"/>
        <v>FFDFD3C0</v>
      </c>
      <c r="D2083" t="s">
        <v>121</v>
      </c>
      <c r="E2083">
        <v>13</v>
      </c>
      <c r="F2083">
        <v>1013</v>
      </c>
      <c r="G2083" t="s">
        <v>122</v>
      </c>
      <c r="J2083" t="s">
        <v>123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601"/>
        <v>06:18:07.383</v>
      </c>
      <c r="T2083" t="str">
        <f t="shared" si="602"/>
        <v>06:18:07.083</v>
      </c>
      <c r="U2083" t="str">
        <f t="shared" si="581"/>
        <v>A7E2E0</v>
      </c>
      <c r="V2083">
        <v>0</v>
      </c>
      <c r="W2083">
        <v>0</v>
      </c>
      <c r="X2083">
        <v>1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0</v>
      </c>
      <c r="AI2083" t="s">
        <v>1231</v>
      </c>
      <c r="AJ2083">
        <v>38.962605000000003</v>
      </c>
      <c r="AK2083" t="s">
        <v>1232</v>
      </c>
      <c r="AL2083">
        <v>-87.606954999999999</v>
      </c>
      <c r="AM2083">
        <v>100</v>
      </c>
      <c r="AN2083">
        <v>2800</v>
      </c>
      <c r="AO2083" t="s">
        <v>118</v>
      </c>
      <c r="AP2083">
        <v>-85</v>
      </c>
      <c r="AQ2083">
        <v>-112</v>
      </c>
      <c r="AR2083">
        <v>0</v>
      </c>
      <c r="AZ2083">
        <v>4552</v>
      </c>
      <c r="BA2083">
        <v>1</v>
      </c>
      <c r="BB2083" t="str">
        <f t="shared" si="582"/>
        <v xml:space="preserve">N607SR  </v>
      </c>
      <c r="BC2083">
        <v>1</v>
      </c>
      <c r="BE2083">
        <v>0</v>
      </c>
      <c r="BF2083">
        <v>0</v>
      </c>
      <c r="BG2083">
        <v>0</v>
      </c>
      <c r="BH2083">
        <v>2575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 t="shared" si="603"/>
        <v>06:18:07.386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6</v>
      </c>
      <c r="CP2083" t="s">
        <v>119</v>
      </c>
      <c r="CQ2083">
        <v>465</v>
      </c>
      <c r="CR2083">
        <v>0</v>
      </c>
      <c r="CW2083">
        <v>4724177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 t="shared" si="600"/>
        <v>08/29/2020 06:18:04.156</v>
      </c>
      <c r="C2084" t="str">
        <f t="shared" si="580"/>
        <v>FFDFD3C0</v>
      </c>
      <c r="D2084" t="s">
        <v>121</v>
      </c>
      <c r="E2084">
        <v>10</v>
      </c>
      <c r="F2084">
        <v>1010</v>
      </c>
      <c r="G2084" t="s">
        <v>114</v>
      </c>
      <c r="J2084" t="s">
        <v>123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601"/>
        <v>06:18:07.383</v>
      </c>
      <c r="T2084" t="str">
        <f t="shared" si="602"/>
        <v>06:18:07.083</v>
      </c>
      <c r="U2084" t="str">
        <f t="shared" si="581"/>
        <v>A7E2E0</v>
      </c>
      <c r="V2084">
        <v>0</v>
      </c>
      <c r="W2084">
        <v>0</v>
      </c>
      <c r="X2084">
        <v>1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0</v>
      </c>
      <c r="AI2084" t="s">
        <v>1231</v>
      </c>
      <c r="AJ2084">
        <v>38.962605000000003</v>
      </c>
      <c r="AK2084" t="s">
        <v>1232</v>
      </c>
      <c r="AL2084">
        <v>-87.606954999999999</v>
      </c>
      <c r="AM2084">
        <v>100</v>
      </c>
      <c r="AN2084">
        <v>2800</v>
      </c>
      <c r="AO2084" t="s">
        <v>118</v>
      </c>
      <c r="AP2084">
        <v>-85</v>
      </c>
      <c r="AQ2084">
        <v>-112</v>
      </c>
      <c r="AR2084">
        <v>0</v>
      </c>
      <c r="AZ2084">
        <v>4552</v>
      </c>
      <c r="BA2084">
        <v>1</v>
      </c>
      <c r="BB2084" t="str">
        <f t="shared" si="582"/>
        <v xml:space="preserve">N607SR  </v>
      </c>
      <c r="BC2084">
        <v>1</v>
      </c>
      <c r="BE2084">
        <v>0</v>
      </c>
      <c r="BF2084">
        <v>0</v>
      </c>
      <c r="BG2084">
        <v>0</v>
      </c>
      <c r="BH2084">
        <v>2575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 t="shared" si="603"/>
        <v>06:18:07.386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6</v>
      </c>
      <c r="CP2084" t="s">
        <v>119</v>
      </c>
      <c r="CQ2084">
        <v>465</v>
      </c>
      <c r="CR2084">
        <v>0</v>
      </c>
      <c r="CW2084">
        <v>4724177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 t="shared" si="600"/>
        <v>08/29/2020 06:18:04.156</v>
      </c>
      <c r="C2085" t="str">
        <f t="shared" si="580"/>
        <v>FFDFD3C0</v>
      </c>
      <c r="D2085" t="s">
        <v>939</v>
      </c>
      <c r="E2085">
        <v>10</v>
      </c>
      <c r="H2085">
        <v>79</v>
      </c>
      <c r="I2085" t="s">
        <v>940</v>
      </c>
      <c r="J2085" t="s">
        <v>130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601"/>
        <v>06:18:07.383</v>
      </c>
      <c r="T2085" t="str">
        <f t="shared" si="602"/>
        <v>06:18:07.083</v>
      </c>
      <c r="U2085" t="str">
        <f t="shared" si="581"/>
        <v>A7E2E0</v>
      </c>
      <c r="V2085">
        <v>0</v>
      </c>
      <c r="W2085">
        <v>0</v>
      </c>
      <c r="X2085">
        <v>1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0</v>
      </c>
      <c r="AI2085" t="s">
        <v>1231</v>
      </c>
      <c r="AJ2085">
        <v>38.962605000000003</v>
      </c>
      <c r="AK2085" t="s">
        <v>1232</v>
      </c>
      <c r="AL2085">
        <v>-87.606954999999999</v>
      </c>
      <c r="AM2085">
        <v>100</v>
      </c>
      <c r="AN2085">
        <v>2800</v>
      </c>
      <c r="AO2085" t="s">
        <v>118</v>
      </c>
      <c r="AP2085">
        <v>-85</v>
      </c>
      <c r="AQ2085">
        <v>-112</v>
      </c>
      <c r="AR2085">
        <v>0</v>
      </c>
      <c r="AZ2085">
        <v>4552</v>
      </c>
      <c r="BA2085">
        <v>1</v>
      </c>
      <c r="BB2085" t="str">
        <f t="shared" si="582"/>
        <v xml:space="preserve">N607SR  </v>
      </c>
      <c r="BC2085">
        <v>1</v>
      </c>
      <c r="BE2085">
        <v>0</v>
      </c>
      <c r="BF2085">
        <v>0</v>
      </c>
      <c r="BG2085">
        <v>0</v>
      </c>
      <c r="BH2085">
        <v>2575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 t="shared" si="603"/>
        <v>06:18:07.386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6</v>
      </c>
      <c r="CP2085" t="s">
        <v>119</v>
      </c>
      <c r="CQ2085">
        <v>465</v>
      </c>
      <c r="CR2085">
        <v>0</v>
      </c>
      <c r="CW2085">
        <v>4724177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 t="shared" si="600"/>
        <v>08/29/2020 06:18:04.156</v>
      </c>
      <c r="C2086" t="str">
        <f t="shared" si="580"/>
        <v>FFDFD3C0</v>
      </c>
      <c r="D2086" t="s">
        <v>121</v>
      </c>
      <c r="E2086">
        <v>11</v>
      </c>
      <c r="F2086">
        <v>1011</v>
      </c>
      <c r="G2086" t="s">
        <v>125</v>
      </c>
      <c r="J2086" t="s">
        <v>123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601"/>
        <v>06:18:07.383</v>
      </c>
      <c r="T2086" t="str">
        <f t="shared" si="602"/>
        <v>06:18:07.083</v>
      </c>
      <c r="U2086" t="str">
        <f t="shared" si="581"/>
        <v>A7E2E0</v>
      </c>
      <c r="V2086">
        <v>0</v>
      </c>
      <c r="W2086">
        <v>0</v>
      </c>
      <c r="X2086">
        <v>1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0</v>
      </c>
      <c r="AI2086" t="s">
        <v>1231</v>
      </c>
      <c r="AJ2086">
        <v>38.962605000000003</v>
      </c>
      <c r="AK2086" t="s">
        <v>1232</v>
      </c>
      <c r="AL2086">
        <v>-87.606954999999999</v>
      </c>
      <c r="AM2086">
        <v>100</v>
      </c>
      <c r="AN2086">
        <v>2800</v>
      </c>
      <c r="AO2086" t="s">
        <v>118</v>
      </c>
      <c r="AP2086">
        <v>-85</v>
      </c>
      <c r="AQ2086">
        <v>-112</v>
      </c>
      <c r="AR2086">
        <v>0</v>
      </c>
      <c r="AZ2086">
        <v>4552</v>
      </c>
      <c r="BA2086">
        <v>1</v>
      </c>
      <c r="BB2086" t="str">
        <f t="shared" si="582"/>
        <v xml:space="preserve">N607SR  </v>
      </c>
      <c r="BC2086">
        <v>1</v>
      </c>
      <c r="BE2086">
        <v>0</v>
      </c>
      <c r="BF2086">
        <v>0</v>
      </c>
      <c r="BG2086">
        <v>0</v>
      </c>
      <c r="BH2086">
        <v>2575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 t="shared" si="603"/>
        <v>06:18:07.386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4</v>
      </c>
      <c r="CP2086" t="s">
        <v>119</v>
      </c>
      <c r="CQ2086">
        <v>457</v>
      </c>
      <c r="CR2086">
        <v>0</v>
      </c>
      <c r="CW2086">
        <v>15519578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 t="shared" si="600"/>
        <v>08/29/2020 06:18:04.156</v>
      </c>
      <c r="C2087" t="str">
        <f t="shared" si="580"/>
        <v>FFDFD3C0</v>
      </c>
      <c r="D2087" t="s">
        <v>113</v>
      </c>
      <c r="E2087">
        <v>5</v>
      </c>
      <c r="H2087">
        <v>163</v>
      </c>
      <c r="I2087" t="s">
        <v>114</v>
      </c>
      <c r="J2087" t="s">
        <v>115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601"/>
        <v>06:18:07.383</v>
      </c>
      <c r="T2087" t="str">
        <f t="shared" si="602"/>
        <v>06:18:07.083</v>
      </c>
      <c r="U2087" t="str">
        <f t="shared" si="581"/>
        <v>A7E2E0</v>
      </c>
      <c r="V2087">
        <v>0</v>
      </c>
      <c r="W2087">
        <v>0</v>
      </c>
      <c r="X2087">
        <v>1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0</v>
      </c>
      <c r="AI2087" t="s">
        <v>1231</v>
      </c>
      <c r="AJ2087">
        <v>38.962605000000003</v>
      </c>
      <c r="AK2087" t="s">
        <v>1232</v>
      </c>
      <c r="AL2087">
        <v>-87.606954999999999</v>
      </c>
      <c r="AM2087">
        <v>100</v>
      </c>
      <c r="AN2087">
        <v>2800</v>
      </c>
      <c r="AO2087" t="s">
        <v>118</v>
      </c>
      <c r="AP2087">
        <v>-85</v>
      </c>
      <c r="AQ2087">
        <v>-112</v>
      </c>
      <c r="AR2087">
        <v>0</v>
      </c>
      <c r="AZ2087">
        <v>4552</v>
      </c>
      <c r="BA2087">
        <v>1</v>
      </c>
      <c r="BB2087" t="str">
        <f t="shared" si="582"/>
        <v xml:space="preserve">N607SR  </v>
      </c>
      <c r="BC2087">
        <v>1</v>
      </c>
      <c r="BE2087">
        <v>0</v>
      </c>
      <c r="BF2087">
        <v>0</v>
      </c>
      <c r="BG2087">
        <v>0</v>
      </c>
      <c r="BH2087">
        <v>2575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 t="shared" si="603"/>
        <v>06:18:07.386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465</v>
      </c>
      <c r="CR2087">
        <v>0</v>
      </c>
      <c r="CW2087">
        <v>4724177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 t="shared" ref="A2088:A2093" si="604">"08/29/2020 06:18:05.104"</f>
        <v>08/29/2020 06:18:05.104</v>
      </c>
      <c r="C2088" t="str">
        <f t="shared" si="580"/>
        <v>FFDFD3C0</v>
      </c>
      <c r="D2088" t="s">
        <v>113</v>
      </c>
      <c r="E2088">
        <v>5</v>
      </c>
      <c r="H2088">
        <v>163</v>
      </c>
      <c r="I2088" t="s">
        <v>114</v>
      </c>
      <c r="J2088" t="s">
        <v>115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ref="S2088:S2093" si="605">"06:18:08.320"</f>
        <v>06:18:08.320</v>
      </c>
      <c r="T2088" t="str">
        <f t="shared" ref="T2088:T2093" si="606">"06:18:07.820"</f>
        <v>06:18:07.820</v>
      </c>
      <c r="U2088" t="str">
        <f t="shared" si="581"/>
        <v>A7E2E0</v>
      </c>
      <c r="V2088">
        <v>0</v>
      </c>
      <c r="W2088">
        <v>0</v>
      </c>
      <c r="X2088">
        <v>1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0</v>
      </c>
      <c r="AI2088" t="s">
        <v>1233</v>
      </c>
      <c r="AJ2088">
        <v>38.962090000000003</v>
      </c>
      <c r="AK2088" t="s">
        <v>1234</v>
      </c>
      <c r="AL2088">
        <v>-87.607427000000001</v>
      </c>
      <c r="AM2088">
        <v>100</v>
      </c>
      <c r="AN2088">
        <v>2800</v>
      </c>
      <c r="AO2088" t="s">
        <v>118</v>
      </c>
      <c r="AP2088">
        <v>-84</v>
      </c>
      <c r="AQ2088">
        <v>-112</v>
      </c>
      <c r="AR2088">
        <v>0</v>
      </c>
      <c r="AZ2088">
        <v>4552</v>
      </c>
      <c r="BA2088">
        <v>1</v>
      </c>
      <c r="BB2088" t="str">
        <f t="shared" si="582"/>
        <v xml:space="preserve">N607SR  </v>
      </c>
      <c r="BC2088">
        <v>1</v>
      </c>
      <c r="BE2088">
        <v>0</v>
      </c>
      <c r="BF2088">
        <v>0</v>
      </c>
      <c r="BG2088">
        <v>0</v>
      </c>
      <c r="BH2088">
        <v>2575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 t="shared" ref="BW2088:BW2093" si="607">"06:18:08.325"</f>
        <v>06:18:08.325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6</v>
      </c>
      <c r="CP2088" t="s">
        <v>119</v>
      </c>
      <c r="CQ2088">
        <v>465</v>
      </c>
      <c r="CR2088">
        <v>0</v>
      </c>
      <c r="CW2088">
        <v>4724207</v>
      </c>
      <c r="CY2088">
        <v>1</v>
      </c>
      <c r="CZ2088">
        <v>0</v>
      </c>
      <c r="DA2088">
        <v>0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 t="shared" si="604"/>
        <v>08/29/2020 06:18:05.104</v>
      </c>
      <c r="C2089" t="str">
        <f t="shared" si="580"/>
        <v>FFDFD3C0</v>
      </c>
      <c r="D2089" t="s">
        <v>121</v>
      </c>
      <c r="E2089">
        <v>11</v>
      </c>
      <c r="F2089">
        <v>1011</v>
      </c>
      <c r="G2089" t="s">
        <v>125</v>
      </c>
      <c r="J2089" t="s">
        <v>123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605"/>
        <v>06:18:08.320</v>
      </c>
      <c r="T2089" t="str">
        <f t="shared" si="606"/>
        <v>06:18:07.820</v>
      </c>
      <c r="U2089" t="str">
        <f t="shared" si="581"/>
        <v>A7E2E0</v>
      </c>
      <c r="V2089">
        <v>0</v>
      </c>
      <c r="W2089">
        <v>0</v>
      </c>
      <c r="X2089">
        <v>1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0</v>
      </c>
      <c r="AI2089" t="s">
        <v>1233</v>
      </c>
      <c r="AJ2089">
        <v>38.962090000000003</v>
      </c>
      <c r="AK2089" t="s">
        <v>1234</v>
      </c>
      <c r="AL2089">
        <v>-87.607427000000001</v>
      </c>
      <c r="AM2089">
        <v>100</v>
      </c>
      <c r="AN2089">
        <v>2800</v>
      </c>
      <c r="AO2089" t="s">
        <v>118</v>
      </c>
      <c r="AP2089">
        <v>-84</v>
      </c>
      <c r="AQ2089">
        <v>-112</v>
      </c>
      <c r="AR2089">
        <v>0</v>
      </c>
      <c r="AZ2089">
        <v>4552</v>
      </c>
      <c r="BA2089">
        <v>1</v>
      </c>
      <c r="BB2089" t="str">
        <f t="shared" si="582"/>
        <v xml:space="preserve">N607SR  </v>
      </c>
      <c r="BC2089">
        <v>1</v>
      </c>
      <c r="BE2089">
        <v>0</v>
      </c>
      <c r="BF2089">
        <v>0</v>
      </c>
      <c r="BG2089">
        <v>0</v>
      </c>
      <c r="BH2089">
        <v>2575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 t="shared" si="607"/>
        <v>06:18:08.325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5</v>
      </c>
      <c r="CP2089" t="s">
        <v>119</v>
      </c>
      <c r="CQ2089">
        <v>457</v>
      </c>
      <c r="CR2089">
        <v>0</v>
      </c>
      <c r="CW2089">
        <v>15519606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 t="shared" si="604"/>
        <v>08/29/2020 06:18:05.104</v>
      </c>
      <c r="C2090" t="str">
        <f t="shared" si="580"/>
        <v>FFDFD3C0</v>
      </c>
      <c r="D2090" t="s">
        <v>939</v>
      </c>
      <c r="E2090">
        <v>10</v>
      </c>
      <c r="H2090">
        <v>79</v>
      </c>
      <c r="I2090" t="s">
        <v>940</v>
      </c>
      <c r="J2090" t="s">
        <v>130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605"/>
        <v>06:18:08.320</v>
      </c>
      <c r="T2090" t="str">
        <f t="shared" si="606"/>
        <v>06:18:07.820</v>
      </c>
      <c r="U2090" t="str">
        <f t="shared" si="581"/>
        <v>A7E2E0</v>
      </c>
      <c r="V2090">
        <v>0</v>
      </c>
      <c r="W2090">
        <v>0</v>
      </c>
      <c r="X2090">
        <v>1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0</v>
      </c>
      <c r="AI2090" t="s">
        <v>1233</v>
      </c>
      <c r="AJ2090">
        <v>38.962090000000003</v>
      </c>
      <c r="AK2090" t="s">
        <v>1234</v>
      </c>
      <c r="AL2090">
        <v>-87.607427000000001</v>
      </c>
      <c r="AM2090">
        <v>100</v>
      </c>
      <c r="AN2090">
        <v>2800</v>
      </c>
      <c r="AO2090" t="s">
        <v>118</v>
      </c>
      <c r="AP2090">
        <v>-84</v>
      </c>
      <c r="AQ2090">
        <v>-112</v>
      </c>
      <c r="AR2090">
        <v>0</v>
      </c>
      <c r="AZ2090">
        <v>4552</v>
      </c>
      <c r="BA2090">
        <v>1</v>
      </c>
      <c r="BB2090" t="str">
        <f t="shared" si="582"/>
        <v xml:space="preserve">N607SR  </v>
      </c>
      <c r="BC2090">
        <v>1</v>
      </c>
      <c r="BE2090">
        <v>0</v>
      </c>
      <c r="BF2090">
        <v>0</v>
      </c>
      <c r="BG2090">
        <v>0</v>
      </c>
      <c r="BH2090">
        <v>2575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 t="shared" si="607"/>
        <v>06:18:08.325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6</v>
      </c>
      <c r="CP2090" t="s">
        <v>119</v>
      </c>
      <c r="CQ2090">
        <v>465</v>
      </c>
      <c r="CR2090">
        <v>0</v>
      </c>
      <c r="CW2090">
        <v>4724207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 t="shared" si="604"/>
        <v>08/29/2020 06:18:05.104</v>
      </c>
      <c r="C2091" t="str">
        <f t="shared" si="580"/>
        <v>FFDFD3C0</v>
      </c>
      <c r="D2091" t="s">
        <v>121</v>
      </c>
      <c r="E2091">
        <v>13</v>
      </c>
      <c r="F2091">
        <v>1013</v>
      </c>
      <c r="G2091" t="s">
        <v>122</v>
      </c>
      <c r="J2091" t="s">
        <v>123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605"/>
        <v>06:18:08.320</v>
      </c>
      <c r="T2091" t="str">
        <f t="shared" si="606"/>
        <v>06:18:07.820</v>
      </c>
      <c r="U2091" t="str">
        <f t="shared" si="581"/>
        <v>A7E2E0</v>
      </c>
      <c r="V2091">
        <v>0</v>
      </c>
      <c r="W2091">
        <v>0</v>
      </c>
      <c r="X2091">
        <v>1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0</v>
      </c>
      <c r="AI2091" t="s">
        <v>1233</v>
      </c>
      <c r="AJ2091">
        <v>38.962090000000003</v>
      </c>
      <c r="AK2091" t="s">
        <v>1234</v>
      </c>
      <c r="AL2091">
        <v>-87.607427000000001</v>
      </c>
      <c r="AM2091">
        <v>100</v>
      </c>
      <c r="AN2091">
        <v>2800</v>
      </c>
      <c r="AO2091" t="s">
        <v>118</v>
      </c>
      <c r="AP2091">
        <v>-84</v>
      </c>
      <c r="AQ2091">
        <v>-112</v>
      </c>
      <c r="AR2091">
        <v>0</v>
      </c>
      <c r="AZ2091">
        <v>4552</v>
      </c>
      <c r="BA2091">
        <v>1</v>
      </c>
      <c r="BB2091" t="str">
        <f t="shared" si="582"/>
        <v xml:space="preserve">N607SR  </v>
      </c>
      <c r="BC2091">
        <v>1</v>
      </c>
      <c r="BE2091">
        <v>0</v>
      </c>
      <c r="BF2091">
        <v>0</v>
      </c>
      <c r="BG2091">
        <v>0</v>
      </c>
      <c r="BH2091">
        <v>2575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 t="shared" si="607"/>
        <v>06:18:08.325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6</v>
      </c>
      <c r="CP2091" t="s">
        <v>119</v>
      </c>
      <c r="CQ2091">
        <v>465</v>
      </c>
      <c r="CR2091">
        <v>0</v>
      </c>
      <c r="CW2091">
        <v>4724207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 t="shared" si="604"/>
        <v>08/29/2020 06:18:05.104</v>
      </c>
      <c r="C2092" t="str">
        <f t="shared" si="580"/>
        <v>FFDFD3C0</v>
      </c>
      <c r="D2092" t="s">
        <v>128</v>
      </c>
      <c r="E2092">
        <v>5</v>
      </c>
      <c r="H2092">
        <v>241</v>
      </c>
      <c r="I2092" t="s">
        <v>129</v>
      </c>
      <c r="J2092" t="s">
        <v>130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605"/>
        <v>06:18:08.320</v>
      </c>
      <c r="T2092" t="str">
        <f t="shared" si="606"/>
        <v>06:18:07.820</v>
      </c>
      <c r="U2092" t="str">
        <f t="shared" si="581"/>
        <v>A7E2E0</v>
      </c>
      <c r="V2092">
        <v>0</v>
      </c>
      <c r="W2092">
        <v>0</v>
      </c>
      <c r="X2092">
        <v>1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0</v>
      </c>
      <c r="AI2092" t="s">
        <v>1233</v>
      </c>
      <c r="AJ2092">
        <v>38.962090000000003</v>
      </c>
      <c r="AK2092" t="s">
        <v>1234</v>
      </c>
      <c r="AL2092">
        <v>-87.607427000000001</v>
      </c>
      <c r="AM2092">
        <v>100</v>
      </c>
      <c r="AN2092">
        <v>2800</v>
      </c>
      <c r="AO2092" t="s">
        <v>118</v>
      </c>
      <c r="AP2092">
        <v>-84</v>
      </c>
      <c r="AQ2092">
        <v>-112</v>
      </c>
      <c r="AR2092">
        <v>0</v>
      </c>
      <c r="AZ2092">
        <v>4552</v>
      </c>
      <c r="BA2092">
        <v>1</v>
      </c>
      <c r="BB2092" t="str">
        <f t="shared" si="582"/>
        <v xml:space="preserve">N607SR  </v>
      </c>
      <c r="BC2092">
        <v>1</v>
      </c>
      <c r="BE2092">
        <v>0</v>
      </c>
      <c r="BF2092">
        <v>0</v>
      </c>
      <c r="BG2092">
        <v>0</v>
      </c>
      <c r="BH2092">
        <v>2575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 t="shared" si="607"/>
        <v>06:18:08.325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6</v>
      </c>
      <c r="CP2092" t="s">
        <v>119</v>
      </c>
      <c r="CQ2092">
        <v>465</v>
      </c>
      <c r="CR2092">
        <v>0</v>
      </c>
      <c r="CW2092">
        <v>4724207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 t="shared" si="604"/>
        <v>08/29/2020 06:18:05.104</v>
      </c>
      <c r="C2093" t="str">
        <f t="shared" si="580"/>
        <v>FFDFD3C0</v>
      </c>
      <c r="D2093" t="s">
        <v>121</v>
      </c>
      <c r="E2093">
        <v>10</v>
      </c>
      <c r="F2093">
        <v>1010</v>
      </c>
      <c r="G2093" t="s">
        <v>114</v>
      </c>
      <c r="J2093" t="s">
        <v>123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605"/>
        <v>06:18:08.320</v>
      </c>
      <c r="T2093" t="str">
        <f t="shared" si="606"/>
        <v>06:18:07.820</v>
      </c>
      <c r="U2093" t="str">
        <f t="shared" si="581"/>
        <v>A7E2E0</v>
      </c>
      <c r="V2093">
        <v>0</v>
      </c>
      <c r="W2093">
        <v>0</v>
      </c>
      <c r="X2093">
        <v>1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0</v>
      </c>
      <c r="AI2093" t="s">
        <v>1233</v>
      </c>
      <c r="AJ2093">
        <v>38.962090000000003</v>
      </c>
      <c r="AK2093" t="s">
        <v>1234</v>
      </c>
      <c r="AL2093">
        <v>-87.607427000000001</v>
      </c>
      <c r="AM2093">
        <v>100</v>
      </c>
      <c r="AN2093">
        <v>2800</v>
      </c>
      <c r="AO2093" t="s">
        <v>118</v>
      </c>
      <c r="AP2093">
        <v>-84</v>
      </c>
      <c r="AQ2093">
        <v>-112</v>
      </c>
      <c r="AR2093">
        <v>0</v>
      </c>
      <c r="AZ2093">
        <v>4552</v>
      </c>
      <c r="BA2093">
        <v>1</v>
      </c>
      <c r="BB2093" t="str">
        <f t="shared" si="582"/>
        <v xml:space="preserve">N607SR  </v>
      </c>
      <c r="BC2093">
        <v>1</v>
      </c>
      <c r="BE2093">
        <v>0</v>
      </c>
      <c r="BF2093">
        <v>0</v>
      </c>
      <c r="BG2093">
        <v>0</v>
      </c>
      <c r="BH2093">
        <v>2575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 t="shared" si="607"/>
        <v>06:18:08.325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465</v>
      </c>
      <c r="CR2093">
        <v>0</v>
      </c>
      <c r="CW2093">
        <v>4724207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 t="shared" ref="A2094:A2099" si="608">"08/29/2020 06:18:06.167"</f>
        <v>08/29/2020 06:18:06.167</v>
      </c>
      <c r="C2094" t="str">
        <f t="shared" si="580"/>
        <v>FFDFD3C0</v>
      </c>
      <c r="D2094" t="s">
        <v>113</v>
      </c>
      <c r="E2094">
        <v>5</v>
      </c>
      <c r="H2094">
        <v>163</v>
      </c>
      <c r="I2094" t="s">
        <v>114</v>
      </c>
      <c r="J2094" t="s">
        <v>115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ref="S2094:S2099" si="609">"06:18:09.375"</f>
        <v>06:18:09.375</v>
      </c>
      <c r="T2094" t="str">
        <f t="shared" ref="T2094:T2099" si="610">"06:18:08.875"</f>
        <v>06:18:08.875</v>
      </c>
      <c r="U2094" t="str">
        <f t="shared" si="581"/>
        <v>A7E2E0</v>
      </c>
      <c r="V2094">
        <v>0</v>
      </c>
      <c r="W2094">
        <v>0</v>
      </c>
      <c r="X2094">
        <v>1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0</v>
      </c>
      <c r="AI2094" t="s">
        <v>1235</v>
      </c>
      <c r="AJ2094">
        <v>38.961554</v>
      </c>
      <c r="AK2094" t="s">
        <v>1236</v>
      </c>
      <c r="AL2094">
        <v>-87.607899000000003</v>
      </c>
      <c r="AM2094">
        <v>100</v>
      </c>
      <c r="AN2094">
        <v>2800</v>
      </c>
      <c r="AO2094" t="s">
        <v>118</v>
      </c>
      <c r="AP2094">
        <v>-84</v>
      </c>
      <c r="AQ2094">
        <v>-112</v>
      </c>
      <c r="AR2094">
        <v>64</v>
      </c>
      <c r="AZ2094">
        <v>4552</v>
      </c>
      <c r="BA2094">
        <v>1</v>
      </c>
      <c r="BB2094" t="str">
        <f t="shared" si="582"/>
        <v xml:space="preserve">N607SR  </v>
      </c>
      <c r="BC2094">
        <v>1</v>
      </c>
      <c r="BE2094">
        <v>0</v>
      </c>
      <c r="BF2094">
        <v>0</v>
      </c>
      <c r="BG2094">
        <v>0</v>
      </c>
      <c r="BH2094">
        <v>2575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 t="shared" ref="BW2094:BW2099" si="611">"06:18:09.379"</f>
        <v>06:18:09.379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465</v>
      </c>
      <c r="CR2094">
        <v>0</v>
      </c>
      <c r="CW2094">
        <v>4724243</v>
      </c>
      <c r="CY2094">
        <v>1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 t="shared" si="608"/>
        <v>08/29/2020 06:18:06.167</v>
      </c>
      <c r="C2095" t="str">
        <f t="shared" si="580"/>
        <v>FFDFD3C0</v>
      </c>
      <c r="D2095" t="s">
        <v>121</v>
      </c>
      <c r="E2095">
        <v>11</v>
      </c>
      <c r="F2095">
        <v>1011</v>
      </c>
      <c r="G2095" t="s">
        <v>125</v>
      </c>
      <c r="J2095" t="s">
        <v>123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609"/>
        <v>06:18:09.375</v>
      </c>
      <c r="T2095" t="str">
        <f t="shared" si="610"/>
        <v>06:18:08.875</v>
      </c>
      <c r="U2095" t="str">
        <f t="shared" si="581"/>
        <v>A7E2E0</v>
      </c>
      <c r="V2095">
        <v>0</v>
      </c>
      <c r="W2095">
        <v>0</v>
      </c>
      <c r="X2095">
        <v>1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0</v>
      </c>
      <c r="AI2095" t="s">
        <v>1235</v>
      </c>
      <c r="AJ2095">
        <v>38.961554</v>
      </c>
      <c r="AK2095" t="s">
        <v>1236</v>
      </c>
      <c r="AL2095">
        <v>-87.607899000000003</v>
      </c>
      <c r="AM2095">
        <v>100</v>
      </c>
      <c r="AN2095">
        <v>2800</v>
      </c>
      <c r="AO2095" t="s">
        <v>118</v>
      </c>
      <c r="AP2095">
        <v>-84</v>
      </c>
      <c r="AQ2095">
        <v>-112</v>
      </c>
      <c r="AR2095">
        <v>64</v>
      </c>
      <c r="AZ2095">
        <v>4552</v>
      </c>
      <c r="BA2095">
        <v>1</v>
      </c>
      <c r="BB2095" t="str">
        <f t="shared" si="582"/>
        <v xml:space="preserve">N607SR  </v>
      </c>
      <c r="BC2095">
        <v>1</v>
      </c>
      <c r="BE2095">
        <v>0</v>
      </c>
      <c r="BF2095">
        <v>0</v>
      </c>
      <c r="BG2095">
        <v>0</v>
      </c>
      <c r="BH2095">
        <v>2575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 t="shared" si="611"/>
        <v>06:18:09.379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2</v>
      </c>
      <c r="CP2095" t="s">
        <v>119</v>
      </c>
      <c r="CQ2095">
        <v>528</v>
      </c>
      <c r="CR2095">
        <v>1</v>
      </c>
      <c r="CW2095">
        <v>13100166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 t="shared" si="608"/>
        <v>08/29/2020 06:18:06.167</v>
      </c>
      <c r="C2096" t="str">
        <f t="shared" si="580"/>
        <v>FFDFD3C0</v>
      </c>
      <c r="D2096" t="s">
        <v>939</v>
      </c>
      <c r="E2096">
        <v>10</v>
      </c>
      <c r="H2096">
        <v>79</v>
      </c>
      <c r="I2096" t="s">
        <v>940</v>
      </c>
      <c r="J2096" t="s">
        <v>130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609"/>
        <v>06:18:09.375</v>
      </c>
      <c r="T2096" t="str">
        <f t="shared" si="610"/>
        <v>06:18:08.875</v>
      </c>
      <c r="U2096" t="str">
        <f t="shared" si="581"/>
        <v>A7E2E0</v>
      </c>
      <c r="V2096">
        <v>0</v>
      </c>
      <c r="W2096">
        <v>0</v>
      </c>
      <c r="X2096">
        <v>1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0</v>
      </c>
      <c r="AI2096" t="s">
        <v>1235</v>
      </c>
      <c r="AJ2096">
        <v>38.961554</v>
      </c>
      <c r="AK2096" t="s">
        <v>1236</v>
      </c>
      <c r="AL2096">
        <v>-87.607899000000003</v>
      </c>
      <c r="AM2096">
        <v>100</v>
      </c>
      <c r="AN2096">
        <v>2800</v>
      </c>
      <c r="AO2096" t="s">
        <v>118</v>
      </c>
      <c r="AP2096">
        <v>-84</v>
      </c>
      <c r="AQ2096">
        <v>-112</v>
      </c>
      <c r="AR2096">
        <v>64</v>
      </c>
      <c r="AZ2096">
        <v>4552</v>
      </c>
      <c r="BA2096">
        <v>1</v>
      </c>
      <c r="BB2096" t="str">
        <f t="shared" si="582"/>
        <v xml:space="preserve">N607SR  </v>
      </c>
      <c r="BC2096">
        <v>1</v>
      </c>
      <c r="BE2096">
        <v>0</v>
      </c>
      <c r="BF2096">
        <v>0</v>
      </c>
      <c r="BG2096">
        <v>0</v>
      </c>
      <c r="BH2096">
        <v>2575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 t="shared" si="611"/>
        <v>06:18:09.379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465</v>
      </c>
      <c r="CR2096">
        <v>0</v>
      </c>
      <c r="CW2096">
        <v>4724243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 t="shared" si="608"/>
        <v>08/29/2020 06:18:06.167</v>
      </c>
      <c r="C2097" t="str">
        <f t="shared" si="580"/>
        <v>FFDFD3C0</v>
      </c>
      <c r="D2097" t="s">
        <v>121</v>
      </c>
      <c r="E2097">
        <v>10</v>
      </c>
      <c r="F2097">
        <v>1010</v>
      </c>
      <c r="G2097" t="s">
        <v>114</v>
      </c>
      <c r="J2097" t="s">
        <v>123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609"/>
        <v>06:18:09.375</v>
      </c>
      <c r="T2097" t="str">
        <f t="shared" si="610"/>
        <v>06:18:08.875</v>
      </c>
      <c r="U2097" t="str">
        <f t="shared" si="581"/>
        <v>A7E2E0</v>
      </c>
      <c r="V2097">
        <v>0</v>
      </c>
      <c r="W2097">
        <v>0</v>
      </c>
      <c r="X2097">
        <v>1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0</v>
      </c>
      <c r="AI2097" t="s">
        <v>1235</v>
      </c>
      <c r="AJ2097">
        <v>38.961554</v>
      </c>
      <c r="AK2097" t="s">
        <v>1236</v>
      </c>
      <c r="AL2097">
        <v>-87.607899000000003</v>
      </c>
      <c r="AM2097">
        <v>100</v>
      </c>
      <c r="AN2097">
        <v>2800</v>
      </c>
      <c r="AO2097" t="s">
        <v>118</v>
      </c>
      <c r="AP2097">
        <v>-84</v>
      </c>
      <c r="AQ2097">
        <v>-112</v>
      </c>
      <c r="AR2097">
        <v>64</v>
      </c>
      <c r="AZ2097">
        <v>4552</v>
      </c>
      <c r="BA2097">
        <v>1</v>
      </c>
      <c r="BB2097" t="str">
        <f t="shared" si="582"/>
        <v xml:space="preserve">N607SR  </v>
      </c>
      <c r="BC2097">
        <v>1</v>
      </c>
      <c r="BE2097">
        <v>0</v>
      </c>
      <c r="BF2097">
        <v>0</v>
      </c>
      <c r="BG2097">
        <v>0</v>
      </c>
      <c r="BH2097">
        <v>2575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 t="shared" si="611"/>
        <v>06:18:09.379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465</v>
      </c>
      <c r="CR2097">
        <v>0</v>
      </c>
      <c r="CW2097">
        <v>4724243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 t="shared" si="608"/>
        <v>08/29/2020 06:18:06.167</v>
      </c>
      <c r="C2098" t="str">
        <f t="shared" si="580"/>
        <v>FFDFD3C0</v>
      </c>
      <c r="D2098" t="s">
        <v>128</v>
      </c>
      <c r="E2098">
        <v>5</v>
      </c>
      <c r="H2098">
        <v>241</v>
      </c>
      <c r="I2098" t="s">
        <v>129</v>
      </c>
      <c r="J2098" t="s">
        <v>130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609"/>
        <v>06:18:09.375</v>
      </c>
      <c r="T2098" t="str">
        <f t="shared" si="610"/>
        <v>06:18:08.875</v>
      </c>
      <c r="U2098" t="str">
        <f t="shared" si="581"/>
        <v>A7E2E0</v>
      </c>
      <c r="V2098">
        <v>0</v>
      </c>
      <c r="W2098">
        <v>0</v>
      </c>
      <c r="X2098">
        <v>1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0</v>
      </c>
      <c r="AI2098" t="s">
        <v>1235</v>
      </c>
      <c r="AJ2098">
        <v>38.961554</v>
      </c>
      <c r="AK2098" t="s">
        <v>1236</v>
      </c>
      <c r="AL2098">
        <v>-87.607899000000003</v>
      </c>
      <c r="AM2098">
        <v>100</v>
      </c>
      <c r="AN2098">
        <v>2800</v>
      </c>
      <c r="AO2098" t="s">
        <v>118</v>
      </c>
      <c r="AP2098">
        <v>-84</v>
      </c>
      <c r="AQ2098">
        <v>-112</v>
      </c>
      <c r="AR2098">
        <v>64</v>
      </c>
      <c r="AZ2098">
        <v>4552</v>
      </c>
      <c r="BA2098">
        <v>1</v>
      </c>
      <c r="BB2098" t="str">
        <f t="shared" si="582"/>
        <v xml:space="preserve">N607SR  </v>
      </c>
      <c r="BC2098">
        <v>1</v>
      </c>
      <c r="BE2098">
        <v>0</v>
      </c>
      <c r="BF2098">
        <v>0</v>
      </c>
      <c r="BG2098">
        <v>0</v>
      </c>
      <c r="BH2098">
        <v>2575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 t="shared" si="611"/>
        <v>06:18:09.379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465</v>
      </c>
      <c r="CR2098">
        <v>0</v>
      </c>
      <c r="CW2098">
        <v>4724243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 t="shared" si="608"/>
        <v>08/29/2020 06:18:06.167</v>
      </c>
      <c r="C2099" t="str">
        <f t="shared" si="580"/>
        <v>FFDFD3C0</v>
      </c>
      <c r="D2099" t="s">
        <v>121</v>
      </c>
      <c r="E2099">
        <v>13</v>
      </c>
      <c r="F2099">
        <v>1013</v>
      </c>
      <c r="G2099" t="s">
        <v>122</v>
      </c>
      <c r="J2099" t="s">
        <v>123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609"/>
        <v>06:18:09.375</v>
      </c>
      <c r="T2099" t="str">
        <f t="shared" si="610"/>
        <v>06:18:08.875</v>
      </c>
      <c r="U2099" t="str">
        <f t="shared" si="581"/>
        <v>A7E2E0</v>
      </c>
      <c r="V2099">
        <v>0</v>
      </c>
      <c r="W2099">
        <v>0</v>
      </c>
      <c r="X2099">
        <v>1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0</v>
      </c>
      <c r="AI2099" t="s">
        <v>1235</v>
      </c>
      <c r="AJ2099">
        <v>38.961554</v>
      </c>
      <c r="AK2099" t="s">
        <v>1236</v>
      </c>
      <c r="AL2099">
        <v>-87.607899000000003</v>
      </c>
      <c r="AM2099">
        <v>100</v>
      </c>
      <c r="AN2099">
        <v>2800</v>
      </c>
      <c r="AO2099" t="s">
        <v>118</v>
      </c>
      <c r="AP2099">
        <v>-84</v>
      </c>
      <c r="AQ2099">
        <v>-112</v>
      </c>
      <c r="AR2099">
        <v>64</v>
      </c>
      <c r="AZ2099">
        <v>4552</v>
      </c>
      <c r="BA2099">
        <v>1</v>
      </c>
      <c r="BB2099" t="str">
        <f t="shared" si="582"/>
        <v xml:space="preserve">N607SR  </v>
      </c>
      <c r="BC2099">
        <v>1</v>
      </c>
      <c r="BE2099">
        <v>0</v>
      </c>
      <c r="BF2099">
        <v>0</v>
      </c>
      <c r="BG2099">
        <v>0</v>
      </c>
      <c r="BH2099">
        <v>2575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 t="shared" si="611"/>
        <v>06:18:09.379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465</v>
      </c>
      <c r="CR2099">
        <v>0</v>
      </c>
      <c r="CW2099">
        <v>4724243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 t="shared" ref="A2100:A2105" si="612">"08/29/2020 06:18:07.146"</f>
        <v>08/29/2020 06:18:07.146</v>
      </c>
      <c r="C2100" t="str">
        <f t="shared" si="580"/>
        <v>FFDFD3C0</v>
      </c>
      <c r="D2100" t="s">
        <v>121</v>
      </c>
      <c r="E2100">
        <v>13</v>
      </c>
      <c r="F2100">
        <v>1013</v>
      </c>
      <c r="G2100" t="s">
        <v>122</v>
      </c>
      <c r="J2100" t="s">
        <v>123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ref="S2100:S2105" si="613">"06:18:10.367"</f>
        <v>06:18:10.367</v>
      </c>
      <c r="T2100" t="str">
        <f t="shared" ref="T2100:T2105" si="614">"06:18:09.967"</f>
        <v>06:18:09.967</v>
      </c>
      <c r="U2100" t="str">
        <f t="shared" si="581"/>
        <v>A7E2E0</v>
      </c>
      <c r="V2100">
        <v>0</v>
      </c>
      <c r="W2100">
        <v>0</v>
      </c>
      <c r="X2100">
        <v>1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0</v>
      </c>
      <c r="AI2100" t="s">
        <v>1237</v>
      </c>
      <c r="AJ2100">
        <v>38.961039</v>
      </c>
      <c r="AK2100" t="s">
        <v>1238</v>
      </c>
      <c r="AL2100">
        <v>-87.608435</v>
      </c>
      <c r="AM2100">
        <v>100</v>
      </c>
      <c r="AN2100">
        <v>2800</v>
      </c>
      <c r="AO2100" t="s">
        <v>118</v>
      </c>
      <c r="AP2100">
        <v>-84</v>
      </c>
      <c r="AQ2100">
        <v>-112</v>
      </c>
      <c r="AR2100">
        <v>64</v>
      </c>
      <c r="AZ2100">
        <v>4552</v>
      </c>
      <c r="BA2100">
        <v>1</v>
      </c>
      <c r="BB2100" t="str">
        <f t="shared" si="582"/>
        <v xml:space="preserve">N607SR  </v>
      </c>
      <c r="BC2100">
        <v>1</v>
      </c>
      <c r="BE2100">
        <v>0</v>
      </c>
      <c r="BF2100">
        <v>0</v>
      </c>
      <c r="BG2100">
        <v>0</v>
      </c>
      <c r="BH2100">
        <v>2575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 t="shared" ref="BW2100:BW2105" si="615">"06:18:10.370"</f>
        <v>06:18:10.370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6</v>
      </c>
      <c r="CP2100" t="s">
        <v>119</v>
      </c>
      <c r="CQ2100">
        <v>465</v>
      </c>
      <c r="CR2100">
        <v>0</v>
      </c>
      <c r="CW2100">
        <v>4724279</v>
      </c>
      <c r="CY2100">
        <v>1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 t="shared" si="612"/>
        <v>08/29/2020 06:18:07.146</v>
      </c>
      <c r="C2101" t="str">
        <f t="shared" si="580"/>
        <v>FFDFD3C0</v>
      </c>
      <c r="D2101" t="s">
        <v>121</v>
      </c>
      <c r="E2101">
        <v>11</v>
      </c>
      <c r="F2101">
        <v>1011</v>
      </c>
      <c r="G2101" t="s">
        <v>125</v>
      </c>
      <c r="J2101" t="s">
        <v>123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613"/>
        <v>06:18:10.367</v>
      </c>
      <c r="T2101" t="str">
        <f t="shared" si="614"/>
        <v>06:18:09.967</v>
      </c>
      <c r="U2101" t="str">
        <f t="shared" si="581"/>
        <v>A7E2E0</v>
      </c>
      <c r="V2101">
        <v>0</v>
      </c>
      <c r="W2101">
        <v>0</v>
      </c>
      <c r="X2101">
        <v>1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0</v>
      </c>
      <c r="AI2101" t="s">
        <v>1237</v>
      </c>
      <c r="AJ2101">
        <v>38.961039</v>
      </c>
      <c r="AK2101" t="s">
        <v>1238</v>
      </c>
      <c r="AL2101">
        <v>-87.608435</v>
      </c>
      <c r="AM2101">
        <v>100</v>
      </c>
      <c r="AN2101">
        <v>2800</v>
      </c>
      <c r="AO2101" t="s">
        <v>118</v>
      </c>
      <c r="AP2101">
        <v>-84</v>
      </c>
      <c r="AQ2101">
        <v>-112</v>
      </c>
      <c r="AR2101">
        <v>64</v>
      </c>
      <c r="AZ2101">
        <v>4552</v>
      </c>
      <c r="BA2101">
        <v>1</v>
      </c>
      <c r="BB2101" t="str">
        <f t="shared" si="582"/>
        <v xml:space="preserve">N607SR  </v>
      </c>
      <c r="BC2101">
        <v>1</v>
      </c>
      <c r="BE2101">
        <v>0</v>
      </c>
      <c r="BF2101">
        <v>0</v>
      </c>
      <c r="BG2101">
        <v>0</v>
      </c>
      <c r="BH2101">
        <v>2575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 t="shared" si="615"/>
        <v>06:18:10.370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4</v>
      </c>
      <c r="CP2101" t="s">
        <v>119</v>
      </c>
      <c r="CQ2101">
        <v>457</v>
      </c>
      <c r="CR2101">
        <v>0</v>
      </c>
      <c r="CW2101">
        <v>15519657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 t="shared" si="612"/>
        <v>08/29/2020 06:18:07.146</v>
      </c>
      <c r="C2102" t="str">
        <f t="shared" si="580"/>
        <v>FFDFD3C0</v>
      </c>
      <c r="D2102" t="s">
        <v>939</v>
      </c>
      <c r="E2102">
        <v>10</v>
      </c>
      <c r="H2102">
        <v>79</v>
      </c>
      <c r="I2102" t="s">
        <v>940</v>
      </c>
      <c r="J2102" t="s">
        <v>130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613"/>
        <v>06:18:10.367</v>
      </c>
      <c r="T2102" t="str">
        <f t="shared" si="614"/>
        <v>06:18:09.967</v>
      </c>
      <c r="U2102" t="str">
        <f t="shared" si="581"/>
        <v>A7E2E0</v>
      </c>
      <c r="V2102">
        <v>0</v>
      </c>
      <c r="W2102">
        <v>0</v>
      </c>
      <c r="X2102">
        <v>1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0</v>
      </c>
      <c r="AI2102" t="s">
        <v>1237</v>
      </c>
      <c r="AJ2102">
        <v>38.961039</v>
      </c>
      <c r="AK2102" t="s">
        <v>1238</v>
      </c>
      <c r="AL2102">
        <v>-87.608435</v>
      </c>
      <c r="AM2102">
        <v>100</v>
      </c>
      <c r="AN2102">
        <v>2800</v>
      </c>
      <c r="AO2102" t="s">
        <v>118</v>
      </c>
      <c r="AP2102">
        <v>-84</v>
      </c>
      <c r="AQ2102">
        <v>-112</v>
      </c>
      <c r="AR2102">
        <v>64</v>
      </c>
      <c r="AZ2102">
        <v>4552</v>
      </c>
      <c r="BA2102">
        <v>1</v>
      </c>
      <c r="BB2102" t="str">
        <f t="shared" si="582"/>
        <v xml:space="preserve">N607SR  </v>
      </c>
      <c r="BC2102">
        <v>1</v>
      </c>
      <c r="BE2102">
        <v>0</v>
      </c>
      <c r="BF2102">
        <v>0</v>
      </c>
      <c r="BG2102">
        <v>0</v>
      </c>
      <c r="BH2102">
        <v>2575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 t="shared" si="615"/>
        <v>06:18:10.370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6</v>
      </c>
      <c r="CP2102" t="s">
        <v>119</v>
      </c>
      <c r="CQ2102">
        <v>465</v>
      </c>
      <c r="CR2102">
        <v>0</v>
      </c>
      <c r="CW2102">
        <v>4724279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 t="shared" si="612"/>
        <v>08/29/2020 06:18:07.146</v>
      </c>
      <c r="C2103" t="str">
        <f t="shared" si="580"/>
        <v>FFDFD3C0</v>
      </c>
      <c r="D2103" t="s">
        <v>113</v>
      </c>
      <c r="E2103">
        <v>5</v>
      </c>
      <c r="H2103">
        <v>163</v>
      </c>
      <c r="I2103" t="s">
        <v>114</v>
      </c>
      <c r="J2103" t="s">
        <v>115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613"/>
        <v>06:18:10.367</v>
      </c>
      <c r="T2103" t="str">
        <f t="shared" si="614"/>
        <v>06:18:09.967</v>
      </c>
      <c r="U2103" t="str">
        <f t="shared" si="581"/>
        <v>A7E2E0</v>
      </c>
      <c r="V2103">
        <v>0</v>
      </c>
      <c r="W2103">
        <v>0</v>
      </c>
      <c r="X2103">
        <v>1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0</v>
      </c>
      <c r="AI2103" t="s">
        <v>1237</v>
      </c>
      <c r="AJ2103">
        <v>38.961039</v>
      </c>
      <c r="AK2103" t="s">
        <v>1238</v>
      </c>
      <c r="AL2103">
        <v>-87.608435</v>
      </c>
      <c r="AM2103">
        <v>100</v>
      </c>
      <c r="AN2103">
        <v>2800</v>
      </c>
      <c r="AO2103" t="s">
        <v>118</v>
      </c>
      <c r="AP2103">
        <v>-84</v>
      </c>
      <c r="AQ2103">
        <v>-112</v>
      </c>
      <c r="AR2103">
        <v>64</v>
      </c>
      <c r="AZ2103">
        <v>4552</v>
      </c>
      <c r="BA2103">
        <v>1</v>
      </c>
      <c r="BB2103" t="str">
        <f t="shared" si="582"/>
        <v xml:space="preserve">N607SR  </v>
      </c>
      <c r="BC2103">
        <v>1</v>
      </c>
      <c r="BE2103">
        <v>0</v>
      </c>
      <c r="BF2103">
        <v>0</v>
      </c>
      <c r="BG2103">
        <v>0</v>
      </c>
      <c r="BH2103">
        <v>2575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 t="shared" si="615"/>
        <v>06:18:10.370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6</v>
      </c>
      <c r="CP2103" t="s">
        <v>119</v>
      </c>
      <c r="CQ2103">
        <v>465</v>
      </c>
      <c r="CR2103">
        <v>0</v>
      </c>
      <c r="CW2103">
        <v>4724279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 t="shared" si="612"/>
        <v>08/29/2020 06:18:07.146</v>
      </c>
      <c r="C2104" t="str">
        <f t="shared" si="580"/>
        <v>FFDFD3C0</v>
      </c>
      <c r="D2104" t="s">
        <v>128</v>
      </c>
      <c r="E2104">
        <v>5</v>
      </c>
      <c r="H2104">
        <v>241</v>
      </c>
      <c r="I2104" t="s">
        <v>129</v>
      </c>
      <c r="J2104" t="s">
        <v>130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613"/>
        <v>06:18:10.367</v>
      </c>
      <c r="T2104" t="str">
        <f t="shared" si="614"/>
        <v>06:18:09.967</v>
      </c>
      <c r="U2104" t="str">
        <f t="shared" si="581"/>
        <v>A7E2E0</v>
      </c>
      <c r="V2104">
        <v>0</v>
      </c>
      <c r="W2104">
        <v>0</v>
      </c>
      <c r="X2104">
        <v>1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0</v>
      </c>
      <c r="AI2104" t="s">
        <v>1237</v>
      </c>
      <c r="AJ2104">
        <v>38.961039</v>
      </c>
      <c r="AK2104" t="s">
        <v>1238</v>
      </c>
      <c r="AL2104">
        <v>-87.608435</v>
      </c>
      <c r="AM2104">
        <v>100</v>
      </c>
      <c r="AN2104">
        <v>2800</v>
      </c>
      <c r="AO2104" t="s">
        <v>118</v>
      </c>
      <c r="AP2104">
        <v>-84</v>
      </c>
      <c r="AQ2104">
        <v>-112</v>
      </c>
      <c r="AR2104">
        <v>64</v>
      </c>
      <c r="AZ2104">
        <v>4552</v>
      </c>
      <c r="BA2104">
        <v>1</v>
      </c>
      <c r="BB2104" t="str">
        <f t="shared" si="582"/>
        <v xml:space="preserve">N607SR  </v>
      </c>
      <c r="BC2104">
        <v>1</v>
      </c>
      <c r="BE2104">
        <v>0</v>
      </c>
      <c r="BF2104">
        <v>0</v>
      </c>
      <c r="BG2104">
        <v>0</v>
      </c>
      <c r="BH2104">
        <v>2575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 t="shared" si="615"/>
        <v>06:18:10.370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6</v>
      </c>
      <c r="CP2104" t="s">
        <v>119</v>
      </c>
      <c r="CQ2104">
        <v>465</v>
      </c>
      <c r="CR2104">
        <v>0</v>
      </c>
      <c r="CW2104">
        <v>4724279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 t="shared" si="612"/>
        <v>08/29/2020 06:18:07.146</v>
      </c>
      <c r="C2105" t="str">
        <f t="shared" si="580"/>
        <v>FFDFD3C0</v>
      </c>
      <c r="D2105" t="s">
        <v>121</v>
      </c>
      <c r="E2105">
        <v>10</v>
      </c>
      <c r="F2105">
        <v>1010</v>
      </c>
      <c r="G2105" t="s">
        <v>114</v>
      </c>
      <c r="J2105" t="s">
        <v>123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613"/>
        <v>06:18:10.367</v>
      </c>
      <c r="T2105" t="str">
        <f t="shared" si="614"/>
        <v>06:18:09.967</v>
      </c>
      <c r="U2105" t="str">
        <f t="shared" si="581"/>
        <v>A7E2E0</v>
      </c>
      <c r="V2105">
        <v>0</v>
      </c>
      <c r="W2105">
        <v>0</v>
      </c>
      <c r="X2105">
        <v>1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0</v>
      </c>
      <c r="AI2105" t="s">
        <v>1237</v>
      </c>
      <c r="AJ2105">
        <v>38.961039</v>
      </c>
      <c r="AK2105" t="s">
        <v>1238</v>
      </c>
      <c r="AL2105">
        <v>-87.608435</v>
      </c>
      <c r="AM2105">
        <v>100</v>
      </c>
      <c r="AN2105">
        <v>2800</v>
      </c>
      <c r="AO2105" t="s">
        <v>118</v>
      </c>
      <c r="AP2105">
        <v>-84</v>
      </c>
      <c r="AQ2105">
        <v>-112</v>
      </c>
      <c r="AR2105">
        <v>64</v>
      </c>
      <c r="AZ2105">
        <v>4552</v>
      </c>
      <c r="BA2105">
        <v>1</v>
      </c>
      <c r="BB2105" t="str">
        <f t="shared" si="582"/>
        <v xml:space="preserve">N607SR  </v>
      </c>
      <c r="BC2105">
        <v>1</v>
      </c>
      <c r="BE2105">
        <v>0</v>
      </c>
      <c r="BF2105">
        <v>0</v>
      </c>
      <c r="BG2105">
        <v>0</v>
      </c>
      <c r="BH2105">
        <v>2575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 t="shared" si="615"/>
        <v>06:18:10.370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465</v>
      </c>
      <c r="CR2105">
        <v>0</v>
      </c>
      <c r="CW2105">
        <v>4724279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 t="shared" ref="A2106:A2111" si="616">"08/29/2020 06:18:08.231"</f>
        <v>08/29/2020 06:18:08.231</v>
      </c>
      <c r="C2106" t="str">
        <f t="shared" si="580"/>
        <v>FFDFD3C0</v>
      </c>
      <c r="D2106" t="s">
        <v>939</v>
      </c>
      <c r="E2106">
        <v>10</v>
      </c>
      <c r="H2106">
        <v>79</v>
      </c>
      <c r="I2106" t="s">
        <v>940</v>
      </c>
      <c r="J2106" t="s">
        <v>130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ref="S2106:S2111" si="617">"06:18:11.477"</f>
        <v>06:18:11.477</v>
      </c>
      <c r="T2106" t="str">
        <f t="shared" ref="T2106:T2111" si="618">"06:18:10.977"</f>
        <v>06:18:10.977</v>
      </c>
      <c r="U2106" t="str">
        <f t="shared" si="581"/>
        <v>A7E2E0</v>
      </c>
      <c r="V2106">
        <v>0</v>
      </c>
      <c r="W2106">
        <v>0</v>
      </c>
      <c r="X2106">
        <v>1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0</v>
      </c>
      <c r="AI2106" t="s">
        <v>1239</v>
      </c>
      <c r="AJ2106">
        <v>38.960459</v>
      </c>
      <c r="AK2106" t="s">
        <v>1240</v>
      </c>
      <c r="AL2106">
        <v>-87.608949999999993</v>
      </c>
      <c r="AM2106">
        <v>100</v>
      </c>
      <c r="AN2106">
        <v>2800</v>
      </c>
      <c r="AO2106" t="s">
        <v>118</v>
      </c>
      <c r="AP2106">
        <v>-83</v>
      </c>
      <c r="AQ2106">
        <v>-113</v>
      </c>
      <c r="AR2106">
        <v>64</v>
      </c>
      <c r="AZ2106">
        <v>4552</v>
      </c>
      <c r="BA2106">
        <v>1</v>
      </c>
      <c r="BB2106" t="str">
        <f t="shared" si="582"/>
        <v xml:space="preserve">N607SR  </v>
      </c>
      <c r="BC2106">
        <v>1</v>
      </c>
      <c r="BE2106">
        <v>0</v>
      </c>
      <c r="BF2106">
        <v>0</v>
      </c>
      <c r="BG2106">
        <v>0</v>
      </c>
      <c r="BH2106">
        <v>2575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 t="shared" ref="BW2106:BW2111" si="619">"06:18:11.481"</f>
        <v>06:18:11.481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465</v>
      </c>
      <c r="CR2106">
        <v>0</v>
      </c>
      <c r="CW2106">
        <v>4724313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 t="shared" si="616"/>
        <v>08/29/2020 06:18:08.231</v>
      </c>
      <c r="C2107" t="str">
        <f t="shared" si="580"/>
        <v>FFDFD3C0</v>
      </c>
      <c r="D2107" t="s">
        <v>113</v>
      </c>
      <c r="E2107">
        <v>5</v>
      </c>
      <c r="H2107">
        <v>163</v>
      </c>
      <c r="I2107" t="s">
        <v>114</v>
      </c>
      <c r="J2107" t="s">
        <v>115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617"/>
        <v>06:18:11.477</v>
      </c>
      <c r="T2107" t="str">
        <f t="shared" si="618"/>
        <v>06:18:10.977</v>
      </c>
      <c r="U2107" t="str">
        <f t="shared" si="581"/>
        <v>A7E2E0</v>
      </c>
      <c r="V2107">
        <v>0</v>
      </c>
      <c r="W2107">
        <v>0</v>
      </c>
      <c r="X2107">
        <v>1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0</v>
      </c>
      <c r="AI2107" t="s">
        <v>1239</v>
      </c>
      <c r="AJ2107">
        <v>38.960459</v>
      </c>
      <c r="AK2107" t="s">
        <v>1240</v>
      </c>
      <c r="AL2107">
        <v>-87.608949999999993</v>
      </c>
      <c r="AM2107">
        <v>100</v>
      </c>
      <c r="AN2107">
        <v>2800</v>
      </c>
      <c r="AO2107" t="s">
        <v>118</v>
      </c>
      <c r="AP2107">
        <v>-83</v>
      </c>
      <c r="AQ2107">
        <v>-113</v>
      </c>
      <c r="AR2107">
        <v>64</v>
      </c>
      <c r="AZ2107">
        <v>4552</v>
      </c>
      <c r="BA2107">
        <v>1</v>
      </c>
      <c r="BB2107" t="str">
        <f t="shared" si="582"/>
        <v xml:space="preserve">N607SR  </v>
      </c>
      <c r="BC2107">
        <v>1</v>
      </c>
      <c r="BE2107">
        <v>0</v>
      </c>
      <c r="BF2107">
        <v>0</v>
      </c>
      <c r="BG2107">
        <v>0</v>
      </c>
      <c r="BH2107">
        <v>2575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 t="shared" si="619"/>
        <v>06:18:11.481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465</v>
      </c>
      <c r="CR2107">
        <v>0</v>
      </c>
      <c r="CW2107">
        <v>4724313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 t="shared" si="616"/>
        <v>08/29/2020 06:18:08.231</v>
      </c>
      <c r="C2108" t="str">
        <f t="shared" si="580"/>
        <v>FFDFD3C0</v>
      </c>
      <c r="D2108" t="s">
        <v>121</v>
      </c>
      <c r="E2108">
        <v>11</v>
      </c>
      <c r="F2108">
        <v>1011</v>
      </c>
      <c r="G2108" t="s">
        <v>125</v>
      </c>
      <c r="J2108" t="s">
        <v>123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617"/>
        <v>06:18:11.477</v>
      </c>
      <c r="T2108" t="str">
        <f t="shared" si="618"/>
        <v>06:18:10.977</v>
      </c>
      <c r="U2108" t="str">
        <f t="shared" si="581"/>
        <v>A7E2E0</v>
      </c>
      <c r="V2108">
        <v>0</v>
      </c>
      <c r="W2108">
        <v>0</v>
      </c>
      <c r="X2108">
        <v>1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0</v>
      </c>
      <c r="AI2108" t="s">
        <v>1239</v>
      </c>
      <c r="AJ2108">
        <v>38.960459</v>
      </c>
      <c r="AK2108" t="s">
        <v>1240</v>
      </c>
      <c r="AL2108">
        <v>-87.608949999999993</v>
      </c>
      <c r="AM2108">
        <v>100</v>
      </c>
      <c r="AN2108">
        <v>2800</v>
      </c>
      <c r="AO2108" t="s">
        <v>118</v>
      </c>
      <c r="AP2108">
        <v>-83</v>
      </c>
      <c r="AQ2108">
        <v>-113</v>
      </c>
      <c r="AR2108">
        <v>64</v>
      </c>
      <c r="AZ2108">
        <v>4552</v>
      </c>
      <c r="BA2108">
        <v>1</v>
      </c>
      <c r="BB2108" t="str">
        <f t="shared" si="582"/>
        <v xml:space="preserve">N607SR  </v>
      </c>
      <c r="BC2108">
        <v>1</v>
      </c>
      <c r="BE2108">
        <v>0</v>
      </c>
      <c r="BF2108">
        <v>0</v>
      </c>
      <c r="BG2108">
        <v>0</v>
      </c>
      <c r="BH2108">
        <v>2575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 t="shared" si="619"/>
        <v>06:18:11.481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4</v>
      </c>
      <c r="CP2108" t="s">
        <v>119</v>
      </c>
      <c r="CQ2108">
        <v>457</v>
      </c>
      <c r="CR2108">
        <v>0</v>
      </c>
      <c r="CW2108">
        <v>15519686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 t="shared" si="616"/>
        <v>08/29/2020 06:18:08.231</v>
      </c>
      <c r="C2109" t="str">
        <f t="shared" si="580"/>
        <v>FFDFD3C0</v>
      </c>
      <c r="D2109" t="s">
        <v>121</v>
      </c>
      <c r="E2109">
        <v>10</v>
      </c>
      <c r="F2109">
        <v>1010</v>
      </c>
      <c r="G2109" t="s">
        <v>114</v>
      </c>
      <c r="J2109" t="s">
        <v>123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617"/>
        <v>06:18:11.477</v>
      </c>
      <c r="T2109" t="str">
        <f t="shared" si="618"/>
        <v>06:18:10.977</v>
      </c>
      <c r="U2109" t="str">
        <f t="shared" si="581"/>
        <v>A7E2E0</v>
      </c>
      <c r="V2109">
        <v>0</v>
      </c>
      <c r="W2109">
        <v>0</v>
      </c>
      <c r="X2109">
        <v>1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0</v>
      </c>
      <c r="AI2109" t="s">
        <v>1239</v>
      </c>
      <c r="AJ2109">
        <v>38.960459</v>
      </c>
      <c r="AK2109" t="s">
        <v>1240</v>
      </c>
      <c r="AL2109">
        <v>-87.608949999999993</v>
      </c>
      <c r="AM2109">
        <v>100</v>
      </c>
      <c r="AN2109">
        <v>2800</v>
      </c>
      <c r="AO2109" t="s">
        <v>118</v>
      </c>
      <c r="AP2109">
        <v>-83</v>
      </c>
      <c r="AQ2109">
        <v>-113</v>
      </c>
      <c r="AR2109">
        <v>64</v>
      </c>
      <c r="AZ2109">
        <v>4552</v>
      </c>
      <c r="BA2109">
        <v>1</v>
      </c>
      <c r="BB2109" t="str">
        <f t="shared" si="582"/>
        <v xml:space="preserve">N607SR  </v>
      </c>
      <c r="BC2109">
        <v>1</v>
      </c>
      <c r="BE2109">
        <v>0</v>
      </c>
      <c r="BF2109">
        <v>0</v>
      </c>
      <c r="BG2109">
        <v>0</v>
      </c>
      <c r="BH2109">
        <v>2575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 t="shared" si="619"/>
        <v>06:18:11.481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119</v>
      </c>
      <c r="CQ2109">
        <v>465</v>
      </c>
      <c r="CR2109">
        <v>0</v>
      </c>
      <c r="CW2109">
        <v>4724313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 t="shared" si="616"/>
        <v>08/29/2020 06:18:08.231</v>
      </c>
      <c r="C2110" t="str">
        <f t="shared" si="580"/>
        <v>FFDFD3C0</v>
      </c>
      <c r="D2110" t="s">
        <v>128</v>
      </c>
      <c r="E2110">
        <v>5</v>
      </c>
      <c r="H2110">
        <v>241</v>
      </c>
      <c r="I2110" t="s">
        <v>129</v>
      </c>
      <c r="J2110" t="s">
        <v>130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617"/>
        <v>06:18:11.477</v>
      </c>
      <c r="T2110" t="str">
        <f t="shared" si="618"/>
        <v>06:18:10.977</v>
      </c>
      <c r="U2110" t="str">
        <f t="shared" si="581"/>
        <v>A7E2E0</v>
      </c>
      <c r="V2110">
        <v>0</v>
      </c>
      <c r="W2110">
        <v>0</v>
      </c>
      <c r="X2110">
        <v>1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0</v>
      </c>
      <c r="AI2110" t="s">
        <v>1239</v>
      </c>
      <c r="AJ2110">
        <v>38.960459</v>
      </c>
      <c r="AK2110" t="s">
        <v>1240</v>
      </c>
      <c r="AL2110">
        <v>-87.608949999999993</v>
      </c>
      <c r="AM2110">
        <v>100</v>
      </c>
      <c r="AN2110">
        <v>2800</v>
      </c>
      <c r="AO2110" t="s">
        <v>118</v>
      </c>
      <c r="AP2110">
        <v>-83</v>
      </c>
      <c r="AQ2110">
        <v>-113</v>
      </c>
      <c r="AR2110">
        <v>64</v>
      </c>
      <c r="AZ2110">
        <v>4552</v>
      </c>
      <c r="BA2110">
        <v>1</v>
      </c>
      <c r="BB2110" t="str">
        <f t="shared" si="582"/>
        <v xml:space="preserve">N607SR  </v>
      </c>
      <c r="BC2110">
        <v>1</v>
      </c>
      <c r="BE2110">
        <v>0</v>
      </c>
      <c r="BF2110">
        <v>0</v>
      </c>
      <c r="BG2110">
        <v>0</v>
      </c>
      <c r="BH2110">
        <v>2575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 t="shared" si="619"/>
        <v>06:18:11.481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119</v>
      </c>
      <c r="CQ2110">
        <v>465</v>
      </c>
      <c r="CR2110">
        <v>0</v>
      </c>
      <c r="CW2110">
        <v>4724313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 t="shared" si="616"/>
        <v>08/29/2020 06:18:08.231</v>
      </c>
      <c r="C2111" t="str">
        <f t="shared" si="580"/>
        <v>FFDFD3C0</v>
      </c>
      <c r="D2111" t="s">
        <v>121</v>
      </c>
      <c r="E2111">
        <v>13</v>
      </c>
      <c r="F2111">
        <v>1013</v>
      </c>
      <c r="G2111" t="s">
        <v>122</v>
      </c>
      <c r="J2111" t="s">
        <v>123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617"/>
        <v>06:18:11.477</v>
      </c>
      <c r="T2111" t="str">
        <f t="shared" si="618"/>
        <v>06:18:10.977</v>
      </c>
      <c r="U2111" t="str">
        <f t="shared" si="581"/>
        <v>A7E2E0</v>
      </c>
      <c r="V2111">
        <v>0</v>
      </c>
      <c r="W2111">
        <v>0</v>
      </c>
      <c r="X2111">
        <v>1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0</v>
      </c>
      <c r="AI2111" t="s">
        <v>1239</v>
      </c>
      <c r="AJ2111">
        <v>38.960459</v>
      </c>
      <c r="AK2111" t="s">
        <v>1240</v>
      </c>
      <c r="AL2111">
        <v>-87.608949999999993</v>
      </c>
      <c r="AM2111">
        <v>100</v>
      </c>
      <c r="AN2111">
        <v>2800</v>
      </c>
      <c r="AO2111" t="s">
        <v>118</v>
      </c>
      <c r="AP2111">
        <v>-83</v>
      </c>
      <c r="AQ2111">
        <v>-113</v>
      </c>
      <c r="AR2111">
        <v>64</v>
      </c>
      <c r="AZ2111">
        <v>4552</v>
      </c>
      <c r="BA2111">
        <v>1</v>
      </c>
      <c r="BB2111" t="str">
        <f t="shared" si="582"/>
        <v xml:space="preserve">N607SR  </v>
      </c>
      <c r="BC2111">
        <v>1</v>
      </c>
      <c r="BE2111">
        <v>0</v>
      </c>
      <c r="BF2111">
        <v>0</v>
      </c>
      <c r="BG2111">
        <v>0</v>
      </c>
      <c r="BH2111">
        <v>2575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 t="shared" si="619"/>
        <v>06:18:11.481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6</v>
      </c>
      <c r="CP2111" t="s">
        <v>119</v>
      </c>
      <c r="CQ2111">
        <v>465</v>
      </c>
      <c r="CR2111">
        <v>0</v>
      </c>
      <c r="CW2111">
        <v>4724313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 t="shared" ref="A2112:A2117" si="620">"08/29/2020 06:18:09.062"</f>
        <v>08/29/2020 06:18:09.062</v>
      </c>
      <c r="C2112" t="str">
        <f t="shared" si="580"/>
        <v>FFDFD3C0</v>
      </c>
      <c r="D2112" t="s">
        <v>128</v>
      </c>
      <c r="E2112">
        <v>5</v>
      </c>
      <c r="H2112">
        <v>241</v>
      </c>
      <c r="I2112" t="s">
        <v>129</v>
      </c>
      <c r="J2112" t="s">
        <v>130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ref="S2112:S2117" si="621">"06:18:12.313"</f>
        <v>06:18:12.313</v>
      </c>
      <c r="T2112" t="str">
        <f t="shared" ref="T2112:T2117" si="622">"06:18:11.912"</f>
        <v>06:18:11.912</v>
      </c>
      <c r="U2112" t="str">
        <f t="shared" si="581"/>
        <v>A7E2E0</v>
      </c>
      <c r="V2112">
        <v>0</v>
      </c>
      <c r="W2112">
        <v>0</v>
      </c>
      <c r="X2112">
        <v>1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0</v>
      </c>
      <c r="AI2112" t="s">
        <v>1241</v>
      </c>
      <c r="AJ2112">
        <v>38.959986999999998</v>
      </c>
      <c r="AK2112" t="s">
        <v>1242</v>
      </c>
      <c r="AL2112">
        <v>-87.609401000000005</v>
      </c>
      <c r="AM2112">
        <v>100</v>
      </c>
      <c r="AN2112">
        <v>2800</v>
      </c>
      <c r="AO2112" t="s">
        <v>118</v>
      </c>
      <c r="AP2112">
        <v>-83</v>
      </c>
      <c r="AQ2112">
        <v>-113</v>
      </c>
      <c r="AR2112">
        <v>64</v>
      </c>
      <c r="AZ2112">
        <v>4552</v>
      </c>
      <c r="BA2112">
        <v>1</v>
      </c>
      <c r="BB2112" t="str">
        <f t="shared" si="582"/>
        <v xml:space="preserve">N607SR  </v>
      </c>
      <c r="BC2112">
        <v>1</v>
      </c>
      <c r="BE2112">
        <v>0</v>
      </c>
      <c r="BF2112">
        <v>0</v>
      </c>
      <c r="BG2112">
        <v>0</v>
      </c>
      <c r="BH2112">
        <v>2575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 t="shared" ref="BW2112:BW2117" si="623">"06:18:12.313"</f>
        <v>06:18:12.313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6</v>
      </c>
      <c r="CP2112" t="s">
        <v>119</v>
      </c>
      <c r="CQ2112">
        <v>465</v>
      </c>
      <c r="CR2112">
        <v>0</v>
      </c>
      <c r="CW2112">
        <v>4724347</v>
      </c>
      <c r="CY2112">
        <v>1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 t="shared" si="620"/>
        <v>08/29/2020 06:18:09.062</v>
      </c>
      <c r="C2113" t="str">
        <f t="shared" si="580"/>
        <v>FFDFD3C0</v>
      </c>
      <c r="D2113" t="s">
        <v>121</v>
      </c>
      <c r="E2113">
        <v>11</v>
      </c>
      <c r="F2113">
        <v>1011</v>
      </c>
      <c r="G2113" t="s">
        <v>125</v>
      </c>
      <c r="J2113" t="s">
        <v>123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621"/>
        <v>06:18:12.313</v>
      </c>
      <c r="T2113" t="str">
        <f t="shared" si="622"/>
        <v>06:18:11.912</v>
      </c>
      <c r="U2113" t="str">
        <f t="shared" si="581"/>
        <v>A7E2E0</v>
      </c>
      <c r="V2113">
        <v>0</v>
      </c>
      <c r="W2113">
        <v>0</v>
      </c>
      <c r="X2113">
        <v>1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0</v>
      </c>
      <c r="AI2113" t="s">
        <v>1241</v>
      </c>
      <c r="AJ2113">
        <v>38.959986999999998</v>
      </c>
      <c r="AK2113" t="s">
        <v>1242</v>
      </c>
      <c r="AL2113">
        <v>-87.609401000000005</v>
      </c>
      <c r="AM2113">
        <v>100</v>
      </c>
      <c r="AN2113">
        <v>2800</v>
      </c>
      <c r="AO2113" t="s">
        <v>118</v>
      </c>
      <c r="AP2113">
        <v>-83</v>
      </c>
      <c r="AQ2113">
        <v>-113</v>
      </c>
      <c r="AR2113">
        <v>64</v>
      </c>
      <c r="AZ2113">
        <v>4552</v>
      </c>
      <c r="BA2113">
        <v>1</v>
      </c>
      <c r="BB2113" t="str">
        <f t="shared" si="582"/>
        <v xml:space="preserve">N607SR  </v>
      </c>
      <c r="BC2113">
        <v>1</v>
      </c>
      <c r="BE2113">
        <v>0</v>
      </c>
      <c r="BF2113">
        <v>0</v>
      </c>
      <c r="BG2113">
        <v>0</v>
      </c>
      <c r="BH2113">
        <v>2575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 t="shared" si="623"/>
        <v>06:18:12.313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4</v>
      </c>
      <c r="CP2113" t="s">
        <v>119</v>
      </c>
      <c r="CQ2113">
        <v>457</v>
      </c>
      <c r="CR2113">
        <v>0</v>
      </c>
      <c r="CW2113">
        <v>15519708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 t="shared" si="620"/>
        <v>08/29/2020 06:18:09.062</v>
      </c>
      <c r="C2114" t="str">
        <f t="shared" ref="C2114:C2177" si="624">"FFDFD3C0"</f>
        <v>FFDFD3C0</v>
      </c>
      <c r="D2114" t="s">
        <v>121</v>
      </c>
      <c r="E2114">
        <v>10</v>
      </c>
      <c r="F2114">
        <v>1010</v>
      </c>
      <c r="G2114" t="s">
        <v>114</v>
      </c>
      <c r="J2114" t="s">
        <v>123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621"/>
        <v>06:18:12.313</v>
      </c>
      <c r="T2114" t="str">
        <f t="shared" si="622"/>
        <v>06:18:11.912</v>
      </c>
      <c r="U2114" t="str">
        <f t="shared" ref="U2114:U2177" si="625">"A7E2E0"</f>
        <v>A7E2E0</v>
      </c>
      <c r="V2114">
        <v>0</v>
      </c>
      <c r="W2114">
        <v>0</v>
      </c>
      <c r="X2114">
        <v>1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0</v>
      </c>
      <c r="AI2114" t="s">
        <v>1241</v>
      </c>
      <c r="AJ2114">
        <v>38.959986999999998</v>
      </c>
      <c r="AK2114" t="s">
        <v>1242</v>
      </c>
      <c r="AL2114">
        <v>-87.609401000000005</v>
      </c>
      <c r="AM2114">
        <v>100</v>
      </c>
      <c r="AN2114">
        <v>2800</v>
      </c>
      <c r="AO2114" t="s">
        <v>118</v>
      </c>
      <c r="AP2114">
        <v>-83</v>
      </c>
      <c r="AQ2114">
        <v>-113</v>
      </c>
      <c r="AR2114">
        <v>64</v>
      </c>
      <c r="AZ2114">
        <v>4552</v>
      </c>
      <c r="BA2114">
        <v>1</v>
      </c>
      <c r="BB2114" t="str">
        <f t="shared" ref="BB2114:BB2177" si="626">"N607SR  "</f>
        <v xml:space="preserve">N607SR  </v>
      </c>
      <c r="BC2114">
        <v>1</v>
      </c>
      <c r="BE2114">
        <v>0</v>
      </c>
      <c r="BF2114">
        <v>0</v>
      </c>
      <c r="BG2114">
        <v>0</v>
      </c>
      <c r="BH2114">
        <v>2575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 t="shared" si="623"/>
        <v>06:18:12.313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6</v>
      </c>
      <c r="CP2114" t="s">
        <v>119</v>
      </c>
      <c r="CQ2114">
        <v>465</v>
      </c>
      <c r="CR2114">
        <v>0</v>
      </c>
      <c r="CW2114">
        <v>4724347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 t="shared" si="620"/>
        <v>08/29/2020 06:18:09.062</v>
      </c>
      <c r="C2115" t="str">
        <f t="shared" si="624"/>
        <v>FFDFD3C0</v>
      </c>
      <c r="D2115" t="s">
        <v>121</v>
      </c>
      <c r="E2115">
        <v>13</v>
      </c>
      <c r="F2115">
        <v>1013</v>
      </c>
      <c r="G2115" t="s">
        <v>122</v>
      </c>
      <c r="J2115" t="s">
        <v>123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621"/>
        <v>06:18:12.313</v>
      </c>
      <c r="T2115" t="str">
        <f t="shared" si="622"/>
        <v>06:18:11.912</v>
      </c>
      <c r="U2115" t="str">
        <f t="shared" si="625"/>
        <v>A7E2E0</v>
      </c>
      <c r="V2115">
        <v>0</v>
      </c>
      <c r="W2115">
        <v>0</v>
      </c>
      <c r="X2115">
        <v>1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0</v>
      </c>
      <c r="AI2115" t="s">
        <v>1241</v>
      </c>
      <c r="AJ2115">
        <v>38.959986999999998</v>
      </c>
      <c r="AK2115" t="s">
        <v>1242</v>
      </c>
      <c r="AL2115">
        <v>-87.609401000000005</v>
      </c>
      <c r="AM2115">
        <v>100</v>
      </c>
      <c r="AN2115">
        <v>2800</v>
      </c>
      <c r="AO2115" t="s">
        <v>118</v>
      </c>
      <c r="AP2115">
        <v>-83</v>
      </c>
      <c r="AQ2115">
        <v>-113</v>
      </c>
      <c r="AR2115">
        <v>64</v>
      </c>
      <c r="AZ2115">
        <v>4552</v>
      </c>
      <c r="BA2115">
        <v>1</v>
      </c>
      <c r="BB2115" t="str">
        <f t="shared" si="626"/>
        <v xml:space="preserve">N607SR  </v>
      </c>
      <c r="BC2115">
        <v>1</v>
      </c>
      <c r="BE2115">
        <v>0</v>
      </c>
      <c r="BF2115">
        <v>0</v>
      </c>
      <c r="BG2115">
        <v>0</v>
      </c>
      <c r="BH2115">
        <v>2575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 t="shared" si="623"/>
        <v>06:18:12.313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6</v>
      </c>
      <c r="CP2115" t="s">
        <v>119</v>
      </c>
      <c r="CQ2115">
        <v>465</v>
      </c>
      <c r="CR2115">
        <v>0</v>
      </c>
      <c r="CW2115">
        <v>4724347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 t="shared" si="620"/>
        <v>08/29/2020 06:18:09.062</v>
      </c>
      <c r="C2116" t="str">
        <f t="shared" si="624"/>
        <v>FFDFD3C0</v>
      </c>
      <c r="D2116" t="s">
        <v>939</v>
      </c>
      <c r="E2116">
        <v>10</v>
      </c>
      <c r="H2116">
        <v>79</v>
      </c>
      <c r="I2116" t="s">
        <v>940</v>
      </c>
      <c r="J2116" t="s">
        <v>130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621"/>
        <v>06:18:12.313</v>
      </c>
      <c r="T2116" t="str">
        <f t="shared" si="622"/>
        <v>06:18:11.912</v>
      </c>
      <c r="U2116" t="str">
        <f t="shared" si="625"/>
        <v>A7E2E0</v>
      </c>
      <c r="V2116">
        <v>0</v>
      </c>
      <c r="W2116">
        <v>0</v>
      </c>
      <c r="X2116">
        <v>1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0</v>
      </c>
      <c r="AI2116" t="s">
        <v>1241</v>
      </c>
      <c r="AJ2116">
        <v>38.959986999999998</v>
      </c>
      <c r="AK2116" t="s">
        <v>1242</v>
      </c>
      <c r="AL2116">
        <v>-87.609401000000005</v>
      </c>
      <c r="AM2116">
        <v>100</v>
      </c>
      <c r="AN2116">
        <v>2800</v>
      </c>
      <c r="AO2116" t="s">
        <v>118</v>
      </c>
      <c r="AP2116">
        <v>-83</v>
      </c>
      <c r="AQ2116">
        <v>-113</v>
      </c>
      <c r="AR2116">
        <v>64</v>
      </c>
      <c r="AZ2116">
        <v>4552</v>
      </c>
      <c r="BA2116">
        <v>1</v>
      </c>
      <c r="BB2116" t="str">
        <f t="shared" si="626"/>
        <v xml:space="preserve">N607SR  </v>
      </c>
      <c r="BC2116">
        <v>1</v>
      </c>
      <c r="BE2116">
        <v>0</v>
      </c>
      <c r="BF2116">
        <v>0</v>
      </c>
      <c r="BG2116">
        <v>0</v>
      </c>
      <c r="BH2116">
        <v>2575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 t="shared" si="623"/>
        <v>06:18:12.313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6</v>
      </c>
      <c r="CP2116" t="s">
        <v>119</v>
      </c>
      <c r="CQ2116">
        <v>465</v>
      </c>
      <c r="CR2116">
        <v>0</v>
      </c>
      <c r="CW2116">
        <v>4724347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 t="shared" si="620"/>
        <v>08/29/2020 06:18:09.062</v>
      </c>
      <c r="C2117" t="str">
        <f t="shared" si="624"/>
        <v>FFDFD3C0</v>
      </c>
      <c r="D2117" t="s">
        <v>113</v>
      </c>
      <c r="E2117">
        <v>5</v>
      </c>
      <c r="H2117">
        <v>163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621"/>
        <v>06:18:12.313</v>
      </c>
      <c r="T2117" t="str">
        <f t="shared" si="622"/>
        <v>06:18:11.912</v>
      </c>
      <c r="U2117" t="str">
        <f t="shared" si="625"/>
        <v>A7E2E0</v>
      </c>
      <c r="V2117">
        <v>0</v>
      </c>
      <c r="W2117">
        <v>0</v>
      </c>
      <c r="X2117">
        <v>1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0</v>
      </c>
      <c r="AI2117" t="s">
        <v>1241</v>
      </c>
      <c r="AJ2117">
        <v>38.959986999999998</v>
      </c>
      <c r="AK2117" t="s">
        <v>1242</v>
      </c>
      <c r="AL2117">
        <v>-87.609401000000005</v>
      </c>
      <c r="AM2117">
        <v>100</v>
      </c>
      <c r="AN2117">
        <v>2800</v>
      </c>
      <c r="AO2117" t="s">
        <v>118</v>
      </c>
      <c r="AP2117">
        <v>-83</v>
      </c>
      <c r="AQ2117">
        <v>-113</v>
      </c>
      <c r="AR2117">
        <v>64</v>
      </c>
      <c r="AZ2117">
        <v>4552</v>
      </c>
      <c r="BA2117">
        <v>1</v>
      </c>
      <c r="BB2117" t="str">
        <f t="shared" si="626"/>
        <v xml:space="preserve">N607SR  </v>
      </c>
      <c r="BC2117">
        <v>1</v>
      </c>
      <c r="BE2117">
        <v>0</v>
      </c>
      <c r="BF2117">
        <v>0</v>
      </c>
      <c r="BG2117">
        <v>0</v>
      </c>
      <c r="BH2117">
        <v>2575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 t="shared" si="623"/>
        <v>06:18:12.313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6</v>
      </c>
      <c r="CP2117" t="s">
        <v>119</v>
      </c>
      <c r="CQ2117">
        <v>465</v>
      </c>
      <c r="CR2117">
        <v>0</v>
      </c>
      <c r="CW2117">
        <v>4724347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 t="shared" ref="A2118:A2123" si="627">"08/29/2020 06:18:10.166"</f>
        <v>08/29/2020 06:18:10.166</v>
      </c>
      <c r="C2118" t="str">
        <f t="shared" si="624"/>
        <v>FFDFD3C0</v>
      </c>
      <c r="D2118" t="s">
        <v>113</v>
      </c>
      <c r="E2118">
        <v>5</v>
      </c>
      <c r="H2118">
        <v>163</v>
      </c>
      <c r="I2118" t="s">
        <v>114</v>
      </c>
      <c r="J2118" t="s">
        <v>115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ref="S2118:S2123" si="628">"06:18:13.391"</f>
        <v>06:18:13.391</v>
      </c>
      <c r="T2118" t="str">
        <f t="shared" ref="T2118:T2123" si="629">"06:18:12.891"</f>
        <v>06:18:12.891</v>
      </c>
      <c r="U2118" t="str">
        <f t="shared" si="625"/>
        <v>A7E2E0</v>
      </c>
      <c r="V2118">
        <v>0</v>
      </c>
      <c r="W2118">
        <v>0</v>
      </c>
      <c r="X2118">
        <v>1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0</v>
      </c>
      <c r="AI2118" t="s">
        <v>1243</v>
      </c>
      <c r="AJ2118">
        <v>38.959493999999999</v>
      </c>
      <c r="AK2118" t="s">
        <v>1244</v>
      </c>
      <c r="AL2118">
        <v>-87.609937000000002</v>
      </c>
      <c r="AM2118">
        <v>100</v>
      </c>
      <c r="AN2118">
        <v>2800</v>
      </c>
      <c r="AO2118" t="s">
        <v>118</v>
      </c>
      <c r="AP2118">
        <v>-83</v>
      </c>
      <c r="AQ2118">
        <v>-113</v>
      </c>
      <c r="AR2118">
        <v>0</v>
      </c>
      <c r="AZ2118">
        <v>4552</v>
      </c>
      <c r="BA2118">
        <v>1</v>
      </c>
      <c r="BB2118" t="str">
        <f t="shared" si="626"/>
        <v xml:space="preserve">N607SR  </v>
      </c>
      <c r="BC2118">
        <v>1</v>
      </c>
      <c r="BE2118">
        <v>0</v>
      </c>
      <c r="BF2118">
        <v>0</v>
      </c>
      <c r="BG2118">
        <v>0</v>
      </c>
      <c r="BH2118">
        <v>2575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>"06:18:13.395"</f>
        <v>06:18:13.395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6</v>
      </c>
      <c r="CP2118" t="s">
        <v>119</v>
      </c>
      <c r="CQ2118">
        <v>465</v>
      </c>
      <c r="CR2118">
        <v>0</v>
      </c>
      <c r="CW2118">
        <v>4724380</v>
      </c>
      <c r="CY2118">
        <v>1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 t="shared" si="627"/>
        <v>08/29/2020 06:18:10.166</v>
      </c>
      <c r="C2119" t="str">
        <f t="shared" si="624"/>
        <v>FFDFD3C0</v>
      </c>
      <c r="D2119" t="s">
        <v>121</v>
      </c>
      <c r="E2119">
        <v>11</v>
      </c>
      <c r="F2119">
        <v>1011</v>
      </c>
      <c r="G2119" t="s">
        <v>125</v>
      </c>
      <c r="J2119" t="s">
        <v>123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628"/>
        <v>06:18:13.391</v>
      </c>
      <c r="T2119" t="str">
        <f t="shared" si="629"/>
        <v>06:18:12.891</v>
      </c>
      <c r="U2119" t="str">
        <f t="shared" si="625"/>
        <v>A7E2E0</v>
      </c>
      <c r="V2119">
        <v>0</v>
      </c>
      <c r="W2119">
        <v>0</v>
      </c>
      <c r="X2119">
        <v>1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0</v>
      </c>
      <c r="AI2119" t="s">
        <v>1243</v>
      </c>
      <c r="AJ2119">
        <v>38.959493999999999</v>
      </c>
      <c r="AK2119" t="s">
        <v>1244</v>
      </c>
      <c r="AL2119">
        <v>-87.609937000000002</v>
      </c>
      <c r="AM2119">
        <v>100</v>
      </c>
      <c r="AN2119">
        <v>2800</v>
      </c>
      <c r="AO2119" t="s">
        <v>118</v>
      </c>
      <c r="AP2119">
        <v>-83</v>
      </c>
      <c r="AQ2119">
        <v>-113</v>
      </c>
      <c r="AR2119">
        <v>0</v>
      </c>
      <c r="AZ2119">
        <v>4552</v>
      </c>
      <c r="BA2119">
        <v>1</v>
      </c>
      <c r="BB2119" t="str">
        <f t="shared" si="626"/>
        <v xml:space="preserve">N607SR  </v>
      </c>
      <c r="BC2119">
        <v>1</v>
      </c>
      <c r="BE2119">
        <v>0</v>
      </c>
      <c r="BF2119">
        <v>0</v>
      </c>
      <c r="BG2119">
        <v>0</v>
      </c>
      <c r="BH2119">
        <v>2575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>"06:18:13.394"</f>
        <v>06:18:13.394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5</v>
      </c>
      <c r="CP2119" t="s">
        <v>119</v>
      </c>
      <c r="CQ2119">
        <v>457</v>
      </c>
      <c r="CR2119">
        <v>0</v>
      </c>
      <c r="CW2119">
        <v>15519739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 t="shared" si="627"/>
        <v>08/29/2020 06:18:10.166</v>
      </c>
      <c r="C2120" t="str">
        <f t="shared" si="624"/>
        <v>FFDFD3C0</v>
      </c>
      <c r="D2120" t="s">
        <v>121</v>
      </c>
      <c r="E2120">
        <v>10</v>
      </c>
      <c r="F2120">
        <v>1010</v>
      </c>
      <c r="G2120" t="s">
        <v>114</v>
      </c>
      <c r="J2120" t="s">
        <v>123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628"/>
        <v>06:18:13.391</v>
      </c>
      <c r="T2120" t="str">
        <f t="shared" si="629"/>
        <v>06:18:12.891</v>
      </c>
      <c r="U2120" t="str">
        <f t="shared" si="625"/>
        <v>A7E2E0</v>
      </c>
      <c r="V2120">
        <v>0</v>
      </c>
      <c r="W2120">
        <v>0</v>
      </c>
      <c r="X2120">
        <v>1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0</v>
      </c>
      <c r="AI2120" t="s">
        <v>1243</v>
      </c>
      <c r="AJ2120">
        <v>38.959493999999999</v>
      </c>
      <c r="AK2120" t="s">
        <v>1244</v>
      </c>
      <c r="AL2120">
        <v>-87.609937000000002</v>
      </c>
      <c r="AM2120">
        <v>100</v>
      </c>
      <c r="AN2120">
        <v>2800</v>
      </c>
      <c r="AO2120" t="s">
        <v>118</v>
      </c>
      <c r="AP2120">
        <v>-83</v>
      </c>
      <c r="AQ2120">
        <v>-113</v>
      </c>
      <c r="AR2120">
        <v>0</v>
      </c>
      <c r="AZ2120">
        <v>4552</v>
      </c>
      <c r="BA2120">
        <v>1</v>
      </c>
      <c r="BB2120" t="str">
        <f t="shared" si="626"/>
        <v xml:space="preserve">N607SR  </v>
      </c>
      <c r="BC2120">
        <v>1</v>
      </c>
      <c r="BE2120">
        <v>0</v>
      </c>
      <c r="BF2120">
        <v>0</v>
      </c>
      <c r="BG2120">
        <v>0</v>
      </c>
      <c r="BH2120">
        <v>2575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>"06:18:13.395"</f>
        <v>06:18:13.395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6</v>
      </c>
      <c r="CP2120" t="s">
        <v>119</v>
      </c>
      <c r="CQ2120">
        <v>465</v>
      </c>
      <c r="CR2120">
        <v>0</v>
      </c>
      <c r="CW2120">
        <v>4724380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 t="shared" si="627"/>
        <v>08/29/2020 06:18:10.166</v>
      </c>
      <c r="C2121" t="str">
        <f t="shared" si="624"/>
        <v>FFDFD3C0</v>
      </c>
      <c r="D2121" t="s">
        <v>128</v>
      </c>
      <c r="E2121">
        <v>5</v>
      </c>
      <c r="H2121">
        <v>241</v>
      </c>
      <c r="I2121" t="s">
        <v>129</v>
      </c>
      <c r="J2121" t="s">
        <v>130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628"/>
        <v>06:18:13.391</v>
      </c>
      <c r="T2121" t="str">
        <f t="shared" si="629"/>
        <v>06:18:12.891</v>
      </c>
      <c r="U2121" t="str">
        <f t="shared" si="625"/>
        <v>A7E2E0</v>
      </c>
      <c r="V2121">
        <v>0</v>
      </c>
      <c r="W2121">
        <v>0</v>
      </c>
      <c r="X2121">
        <v>1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0</v>
      </c>
      <c r="AI2121" t="s">
        <v>1243</v>
      </c>
      <c r="AJ2121">
        <v>38.959493999999999</v>
      </c>
      <c r="AK2121" t="s">
        <v>1244</v>
      </c>
      <c r="AL2121">
        <v>-87.609937000000002</v>
      </c>
      <c r="AM2121">
        <v>100</v>
      </c>
      <c r="AN2121">
        <v>2800</v>
      </c>
      <c r="AO2121" t="s">
        <v>118</v>
      </c>
      <c r="AP2121">
        <v>-83</v>
      </c>
      <c r="AQ2121">
        <v>-113</v>
      </c>
      <c r="AR2121">
        <v>0</v>
      </c>
      <c r="AZ2121">
        <v>4552</v>
      </c>
      <c r="BA2121">
        <v>1</v>
      </c>
      <c r="BB2121" t="str">
        <f t="shared" si="626"/>
        <v xml:space="preserve">N607SR  </v>
      </c>
      <c r="BC2121">
        <v>1</v>
      </c>
      <c r="BE2121">
        <v>0</v>
      </c>
      <c r="BF2121">
        <v>0</v>
      </c>
      <c r="BG2121">
        <v>0</v>
      </c>
      <c r="BH2121">
        <v>2575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>"06:18:13.395"</f>
        <v>06:18:13.395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6</v>
      </c>
      <c r="CP2121" t="s">
        <v>119</v>
      </c>
      <c r="CQ2121">
        <v>465</v>
      </c>
      <c r="CR2121">
        <v>0</v>
      </c>
      <c r="CW2121">
        <v>4724380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 t="shared" si="627"/>
        <v>08/29/2020 06:18:10.166</v>
      </c>
      <c r="C2122" t="str">
        <f t="shared" si="624"/>
        <v>FFDFD3C0</v>
      </c>
      <c r="D2122" t="s">
        <v>121</v>
      </c>
      <c r="E2122">
        <v>13</v>
      </c>
      <c r="F2122">
        <v>1013</v>
      </c>
      <c r="G2122" t="s">
        <v>122</v>
      </c>
      <c r="J2122" t="s">
        <v>123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628"/>
        <v>06:18:13.391</v>
      </c>
      <c r="T2122" t="str">
        <f t="shared" si="629"/>
        <v>06:18:12.891</v>
      </c>
      <c r="U2122" t="str">
        <f t="shared" si="625"/>
        <v>A7E2E0</v>
      </c>
      <c r="V2122">
        <v>0</v>
      </c>
      <c r="W2122">
        <v>0</v>
      </c>
      <c r="X2122">
        <v>1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0</v>
      </c>
      <c r="AI2122" t="s">
        <v>1243</v>
      </c>
      <c r="AJ2122">
        <v>38.959493999999999</v>
      </c>
      <c r="AK2122" t="s">
        <v>1244</v>
      </c>
      <c r="AL2122">
        <v>-87.609937000000002</v>
      </c>
      <c r="AM2122">
        <v>100</v>
      </c>
      <c r="AN2122">
        <v>2800</v>
      </c>
      <c r="AO2122" t="s">
        <v>118</v>
      </c>
      <c r="AP2122">
        <v>-83</v>
      </c>
      <c r="AQ2122">
        <v>-113</v>
      </c>
      <c r="AR2122">
        <v>0</v>
      </c>
      <c r="AZ2122">
        <v>4552</v>
      </c>
      <c r="BA2122">
        <v>1</v>
      </c>
      <c r="BB2122" t="str">
        <f t="shared" si="626"/>
        <v xml:space="preserve">N607SR  </v>
      </c>
      <c r="BC2122">
        <v>1</v>
      </c>
      <c r="BE2122">
        <v>0</v>
      </c>
      <c r="BF2122">
        <v>0</v>
      </c>
      <c r="BG2122">
        <v>0</v>
      </c>
      <c r="BH2122">
        <v>2575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>"06:18:13.395"</f>
        <v>06:18:13.395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465</v>
      </c>
      <c r="CR2122">
        <v>0</v>
      </c>
      <c r="CW2122">
        <v>4724380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 t="shared" si="627"/>
        <v>08/29/2020 06:18:10.166</v>
      </c>
      <c r="C2123" t="str">
        <f t="shared" si="624"/>
        <v>FFDFD3C0</v>
      </c>
      <c r="D2123" t="s">
        <v>939</v>
      </c>
      <c r="E2123">
        <v>10</v>
      </c>
      <c r="H2123">
        <v>79</v>
      </c>
      <c r="I2123" t="s">
        <v>940</v>
      </c>
      <c r="J2123" t="s">
        <v>130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628"/>
        <v>06:18:13.391</v>
      </c>
      <c r="T2123" t="str">
        <f t="shared" si="629"/>
        <v>06:18:12.891</v>
      </c>
      <c r="U2123" t="str">
        <f t="shared" si="625"/>
        <v>A7E2E0</v>
      </c>
      <c r="V2123">
        <v>0</v>
      </c>
      <c r="W2123">
        <v>0</v>
      </c>
      <c r="X2123">
        <v>1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0</v>
      </c>
      <c r="AI2123" t="s">
        <v>1243</v>
      </c>
      <c r="AJ2123">
        <v>38.959493999999999</v>
      </c>
      <c r="AK2123" t="s">
        <v>1244</v>
      </c>
      <c r="AL2123">
        <v>-87.609937000000002</v>
      </c>
      <c r="AM2123">
        <v>100</v>
      </c>
      <c r="AN2123">
        <v>2800</v>
      </c>
      <c r="AO2123" t="s">
        <v>118</v>
      </c>
      <c r="AP2123">
        <v>-83</v>
      </c>
      <c r="AQ2123">
        <v>-113</v>
      </c>
      <c r="AR2123">
        <v>0</v>
      </c>
      <c r="AZ2123">
        <v>4552</v>
      </c>
      <c r="BA2123">
        <v>1</v>
      </c>
      <c r="BB2123" t="str">
        <f t="shared" si="626"/>
        <v xml:space="preserve">N607SR  </v>
      </c>
      <c r="BC2123">
        <v>1</v>
      </c>
      <c r="BE2123">
        <v>0</v>
      </c>
      <c r="BF2123">
        <v>0</v>
      </c>
      <c r="BG2123">
        <v>0</v>
      </c>
      <c r="BH2123">
        <v>2575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>"06:18:13.395"</f>
        <v>06:18:13.395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465</v>
      </c>
      <c r="CR2123">
        <v>0</v>
      </c>
      <c r="CW2123">
        <v>4724380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 t="shared" ref="A2124:A2129" si="630">"08/29/2020 06:18:11.035"</f>
        <v>08/29/2020 06:18:11.035</v>
      </c>
      <c r="C2124" t="str">
        <f t="shared" si="624"/>
        <v>FFDFD3C0</v>
      </c>
      <c r="D2124" t="s">
        <v>121</v>
      </c>
      <c r="E2124">
        <v>10</v>
      </c>
      <c r="F2124">
        <v>1010</v>
      </c>
      <c r="G2124" t="s">
        <v>114</v>
      </c>
      <c r="J2124" t="s">
        <v>123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ref="S2124:S2129" si="631">"06:18:14.281"</f>
        <v>06:18:14.281</v>
      </c>
      <c r="T2124" t="str">
        <f t="shared" ref="T2124:T2129" si="632">"06:18:13.881"</f>
        <v>06:18:13.881</v>
      </c>
      <c r="U2124" t="str">
        <f t="shared" si="625"/>
        <v>A7E2E0</v>
      </c>
      <c r="V2124">
        <v>0</v>
      </c>
      <c r="W2124">
        <v>0</v>
      </c>
      <c r="X2124">
        <v>1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0</v>
      </c>
      <c r="AI2124" t="s">
        <v>1245</v>
      </c>
      <c r="AJ2124">
        <v>38.959000000000003</v>
      </c>
      <c r="AK2124" t="s">
        <v>1246</v>
      </c>
      <c r="AL2124">
        <v>-87.610344999999995</v>
      </c>
      <c r="AM2124">
        <v>100</v>
      </c>
      <c r="AN2124">
        <v>2800</v>
      </c>
      <c r="AO2124" t="s">
        <v>118</v>
      </c>
      <c r="AP2124">
        <v>-82</v>
      </c>
      <c r="AQ2124">
        <v>-113</v>
      </c>
      <c r="AR2124">
        <v>0</v>
      </c>
      <c r="AZ2124">
        <v>4552</v>
      </c>
      <c r="BA2124">
        <v>1</v>
      </c>
      <c r="BB2124" t="str">
        <f t="shared" si="626"/>
        <v xml:space="preserve">N607SR  </v>
      </c>
      <c r="BC2124">
        <v>1</v>
      </c>
      <c r="BE2124">
        <v>0</v>
      </c>
      <c r="BF2124">
        <v>0</v>
      </c>
      <c r="BG2124">
        <v>0</v>
      </c>
      <c r="BH2124">
        <v>2575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 t="shared" ref="BW2124:BW2129" si="633">"06:18:14.287"</f>
        <v>06:18:14.287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465</v>
      </c>
      <c r="CR2124">
        <v>0</v>
      </c>
      <c r="CW2124">
        <v>4724407</v>
      </c>
      <c r="CY2124">
        <v>1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 t="shared" si="630"/>
        <v>08/29/2020 06:18:11.035</v>
      </c>
      <c r="C2125" t="str">
        <f t="shared" si="624"/>
        <v>FFDFD3C0</v>
      </c>
      <c r="D2125" t="s">
        <v>121</v>
      </c>
      <c r="E2125">
        <v>11</v>
      </c>
      <c r="F2125">
        <v>1011</v>
      </c>
      <c r="G2125" t="s">
        <v>125</v>
      </c>
      <c r="J2125" t="s">
        <v>123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631"/>
        <v>06:18:14.281</v>
      </c>
      <c r="T2125" t="str">
        <f t="shared" si="632"/>
        <v>06:18:13.881</v>
      </c>
      <c r="U2125" t="str">
        <f t="shared" si="625"/>
        <v>A7E2E0</v>
      </c>
      <c r="V2125">
        <v>0</v>
      </c>
      <c r="W2125">
        <v>0</v>
      </c>
      <c r="X2125">
        <v>1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0</v>
      </c>
      <c r="AI2125" t="s">
        <v>1245</v>
      </c>
      <c r="AJ2125">
        <v>38.959000000000003</v>
      </c>
      <c r="AK2125" t="s">
        <v>1246</v>
      </c>
      <c r="AL2125">
        <v>-87.610344999999995</v>
      </c>
      <c r="AM2125">
        <v>100</v>
      </c>
      <c r="AN2125">
        <v>2800</v>
      </c>
      <c r="AO2125" t="s">
        <v>118</v>
      </c>
      <c r="AP2125">
        <v>-82</v>
      </c>
      <c r="AQ2125">
        <v>-113</v>
      </c>
      <c r="AR2125">
        <v>0</v>
      </c>
      <c r="AZ2125">
        <v>4552</v>
      </c>
      <c r="BA2125">
        <v>1</v>
      </c>
      <c r="BB2125" t="str">
        <f t="shared" si="626"/>
        <v xml:space="preserve">N607SR  </v>
      </c>
      <c r="BC2125">
        <v>1</v>
      </c>
      <c r="BE2125">
        <v>0</v>
      </c>
      <c r="BF2125">
        <v>0</v>
      </c>
      <c r="BG2125">
        <v>0</v>
      </c>
      <c r="BH2125">
        <v>2575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 t="shared" si="633"/>
        <v>06:18:14.287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5</v>
      </c>
      <c r="CP2125" t="s">
        <v>119</v>
      </c>
      <c r="CQ2125">
        <v>457</v>
      </c>
      <c r="CR2125">
        <v>0</v>
      </c>
      <c r="CW2125">
        <v>15519765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 t="shared" si="630"/>
        <v>08/29/2020 06:18:11.035</v>
      </c>
      <c r="C2126" t="str">
        <f t="shared" si="624"/>
        <v>FFDFD3C0</v>
      </c>
      <c r="D2126" t="s">
        <v>128</v>
      </c>
      <c r="E2126">
        <v>5</v>
      </c>
      <c r="H2126">
        <v>241</v>
      </c>
      <c r="I2126" t="s">
        <v>129</v>
      </c>
      <c r="J2126" t="s">
        <v>130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631"/>
        <v>06:18:14.281</v>
      </c>
      <c r="T2126" t="str">
        <f t="shared" si="632"/>
        <v>06:18:13.881</v>
      </c>
      <c r="U2126" t="str">
        <f t="shared" si="625"/>
        <v>A7E2E0</v>
      </c>
      <c r="V2126">
        <v>0</v>
      </c>
      <c r="W2126">
        <v>0</v>
      </c>
      <c r="X2126">
        <v>1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0</v>
      </c>
      <c r="AI2126" t="s">
        <v>1245</v>
      </c>
      <c r="AJ2126">
        <v>38.959000000000003</v>
      </c>
      <c r="AK2126" t="s">
        <v>1246</v>
      </c>
      <c r="AL2126">
        <v>-87.610344999999995</v>
      </c>
      <c r="AM2126">
        <v>100</v>
      </c>
      <c r="AN2126">
        <v>2800</v>
      </c>
      <c r="AO2126" t="s">
        <v>118</v>
      </c>
      <c r="AP2126">
        <v>-82</v>
      </c>
      <c r="AQ2126">
        <v>-113</v>
      </c>
      <c r="AR2126">
        <v>0</v>
      </c>
      <c r="AZ2126">
        <v>4552</v>
      </c>
      <c r="BA2126">
        <v>1</v>
      </c>
      <c r="BB2126" t="str">
        <f t="shared" si="626"/>
        <v xml:space="preserve">N607SR  </v>
      </c>
      <c r="BC2126">
        <v>1</v>
      </c>
      <c r="BE2126">
        <v>0</v>
      </c>
      <c r="BF2126">
        <v>0</v>
      </c>
      <c r="BG2126">
        <v>0</v>
      </c>
      <c r="BH2126">
        <v>2575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 t="shared" si="633"/>
        <v>06:18:14.287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6</v>
      </c>
      <c r="CP2126" t="s">
        <v>119</v>
      </c>
      <c r="CQ2126">
        <v>465</v>
      </c>
      <c r="CR2126">
        <v>0</v>
      </c>
      <c r="CW2126">
        <v>4724407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 t="shared" si="630"/>
        <v>08/29/2020 06:18:11.035</v>
      </c>
      <c r="C2127" t="str">
        <f t="shared" si="624"/>
        <v>FFDFD3C0</v>
      </c>
      <c r="D2127" t="s">
        <v>939</v>
      </c>
      <c r="E2127">
        <v>10</v>
      </c>
      <c r="H2127">
        <v>79</v>
      </c>
      <c r="I2127" t="s">
        <v>940</v>
      </c>
      <c r="J2127" t="s">
        <v>130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631"/>
        <v>06:18:14.281</v>
      </c>
      <c r="T2127" t="str">
        <f t="shared" si="632"/>
        <v>06:18:13.881</v>
      </c>
      <c r="U2127" t="str">
        <f t="shared" si="625"/>
        <v>A7E2E0</v>
      </c>
      <c r="V2127">
        <v>0</v>
      </c>
      <c r="W2127">
        <v>0</v>
      </c>
      <c r="X2127">
        <v>1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0</v>
      </c>
      <c r="AI2127" t="s">
        <v>1245</v>
      </c>
      <c r="AJ2127">
        <v>38.959000000000003</v>
      </c>
      <c r="AK2127" t="s">
        <v>1246</v>
      </c>
      <c r="AL2127">
        <v>-87.610344999999995</v>
      </c>
      <c r="AM2127">
        <v>100</v>
      </c>
      <c r="AN2127">
        <v>2800</v>
      </c>
      <c r="AO2127" t="s">
        <v>118</v>
      </c>
      <c r="AP2127">
        <v>-82</v>
      </c>
      <c r="AQ2127">
        <v>-113</v>
      </c>
      <c r="AR2127">
        <v>0</v>
      </c>
      <c r="AZ2127">
        <v>4552</v>
      </c>
      <c r="BA2127">
        <v>1</v>
      </c>
      <c r="BB2127" t="str">
        <f t="shared" si="626"/>
        <v xml:space="preserve">N607SR  </v>
      </c>
      <c r="BC2127">
        <v>1</v>
      </c>
      <c r="BE2127">
        <v>0</v>
      </c>
      <c r="BF2127">
        <v>0</v>
      </c>
      <c r="BG2127">
        <v>0</v>
      </c>
      <c r="BH2127">
        <v>2575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 t="shared" si="633"/>
        <v>06:18:14.287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6</v>
      </c>
      <c r="CP2127" t="s">
        <v>119</v>
      </c>
      <c r="CQ2127">
        <v>465</v>
      </c>
      <c r="CR2127">
        <v>0</v>
      </c>
      <c r="CW2127">
        <v>4724407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 t="shared" si="630"/>
        <v>08/29/2020 06:18:11.035</v>
      </c>
      <c r="C2128" t="str">
        <f t="shared" si="624"/>
        <v>FFDFD3C0</v>
      </c>
      <c r="D2128" t="s">
        <v>121</v>
      </c>
      <c r="E2128">
        <v>13</v>
      </c>
      <c r="F2128">
        <v>1013</v>
      </c>
      <c r="G2128" t="s">
        <v>122</v>
      </c>
      <c r="J2128" t="s">
        <v>123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631"/>
        <v>06:18:14.281</v>
      </c>
      <c r="T2128" t="str">
        <f t="shared" si="632"/>
        <v>06:18:13.881</v>
      </c>
      <c r="U2128" t="str">
        <f t="shared" si="625"/>
        <v>A7E2E0</v>
      </c>
      <c r="V2128">
        <v>0</v>
      </c>
      <c r="W2128">
        <v>0</v>
      </c>
      <c r="X2128">
        <v>1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0</v>
      </c>
      <c r="AI2128" t="s">
        <v>1245</v>
      </c>
      <c r="AJ2128">
        <v>38.959000000000003</v>
      </c>
      <c r="AK2128" t="s">
        <v>1246</v>
      </c>
      <c r="AL2128">
        <v>-87.610344999999995</v>
      </c>
      <c r="AM2128">
        <v>100</v>
      </c>
      <c r="AN2128">
        <v>2800</v>
      </c>
      <c r="AO2128" t="s">
        <v>118</v>
      </c>
      <c r="AP2128">
        <v>-82</v>
      </c>
      <c r="AQ2128">
        <v>-113</v>
      </c>
      <c r="AR2128">
        <v>0</v>
      </c>
      <c r="AZ2128">
        <v>4552</v>
      </c>
      <c r="BA2128">
        <v>1</v>
      </c>
      <c r="BB2128" t="str">
        <f t="shared" si="626"/>
        <v xml:space="preserve">N607SR  </v>
      </c>
      <c r="BC2128">
        <v>1</v>
      </c>
      <c r="BE2128">
        <v>0</v>
      </c>
      <c r="BF2128">
        <v>0</v>
      </c>
      <c r="BG2128">
        <v>0</v>
      </c>
      <c r="BH2128">
        <v>2575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 t="shared" si="633"/>
        <v>06:18:14.287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6</v>
      </c>
      <c r="CP2128" t="s">
        <v>119</v>
      </c>
      <c r="CQ2128">
        <v>465</v>
      </c>
      <c r="CR2128">
        <v>0</v>
      </c>
      <c r="CW2128">
        <v>4724407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 t="shared" si="630"/>
        <v>08/29/2020 06:18:11.035</v>
      </c>
      <c r="C2129" t="str">
        <f t="shared" si="624"/>
        <v>FFDFD3C0</v>
      </c>
      <c r="D2129" t="s">
        <v>113</v>
      </c>
      <c r="E2129">
        <v>5</v>
      </c>
      <c r="H2129">
        <v>163</v>
      </c>
      <c r="I2129" t="s">
        <v>114</v>
      </c>
      <c r="J2129" t="s">
        <v>115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631"/>
        <v>06:18:14.281</v>
      </c>
      <c r="T2129" t="str">
        <f t="shared" si="632"/>
        <v>06:18:13.881</v>
      </c>
      <c r="U2129" t="str">
        <f t="shared" si="625"/>
        <v>A7E2E0</v>
      </c>
      <c r="V2129">
        <v>0</v>
      </c>
      <c r="W2129">
        <v>0</v>
      </c>
      <c r="X2129">
        <v>1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0</v>
      </c>
      <c r="AI2129" t="s">
        <v>1245</v>
      </c>
      <c r="AJ2129">
        <v>38.959000000000003</v>
      </c>
      <c r="AK2129" t="s">
        <v>1246</v>
      </c>
      <c r="AL2129">
        <v>-87.610344999999995</v>
      </c>
      <c r="AM2129">
        <v>100</v>
      </c>
      <c r="AN2129">
        <v>2800</v>
      </c>
      <c r="AO2129" t="s">
        <v>118</v>
      </c>
      <c r="AP2129">
        <v>-82</v>
      </c>
      <c r="AQ2129">
        <v>-113</v>
      </c>
      <c r="AR2129">
        <v>0</v>
      </c>
      <c r="AZ2129">
        <v>4552</v>
      </c>
      <c r="BA2129">
        <v>1</v>
      </c>
      <c r="BB2129" t="str">
        <f t="shared" si="626"/>
        <v xml:space="preserve">N607SR  </v>
      </c>
      <c r="BC2129">
        <v>1</v>
      </c>
      <c r="BE2129">
        <v>0</v>
      </c>
      <c r="BF2129">
        <v>0</v>
      </c>
      <c r="BG2129">
        <v>0</v>
      </c>
      <c r="BH2129">
        <v>2575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 t="shared" si="633"/>
        <v>06:18:14.287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6</v>
      </c>
      <c r="CP2129" t="s">
        <v>119</v>
      </c>
      <c r="CQ2129">
        <v>465</v>
      </c>
      <c r="CR2129">
        <v>0</v>
      </c>
      <c r="CW2129">
        <v>4724407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 t="shared" ref="A2130:A2135" si="634">"08/29/2020 06:18:12.090"</f>
        <v>08/29/2020 06:18:12.090</v>
      </c>
      <c r="C2130" t="str">
        <f t="shared" si="624"/>
        <v>FFDFD3C0</v>
      </c>
      <c r="D2130" t="s">
        <v>113</v>
      </c>
      <c r="E2130">
        <v>5</v>
      </c>
      <c r="H2130">
        <v>163</v>
      </c>
      <c r="I2130" t="s">
        <v>114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ref="S2130:S2135" si="635">"06:18:15.313"</f>
        <v>06:18:15.313</v>
      </c>
      <c r="T2130" t="str">
        <f t="shared" ref="T2130:T2135" si="636">"06:18:14.813"</f>
        <v>06:18:14.813</v>
      </c>
      <c r="U2130" t="str">
        <f t="shared" si="625"/>
        <v>A7E2E0</v>
      </c>
      <c r="V2130">
        <v>0</v>
      </c>
      <c r="W2130">
        <v>0</v>
      </c>
      <c r="X2130">
        <v>1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0</v>
      </c>
      <c r="AI2130" t="s">
        <v>1247</v>
      </c>
      <c r="AJ2130">
        <v>38.958441999999998</v>
      </c>
      <c r="AK2130" t="s">
        <v>1248</v>
      </c>
      <c r="AL2130">
        <v>-87.610881000000006</v>
      </c>
      <c r="AM2130">
        <v>100</v>
      </c>
      <c r="AN2130">
        <v>2800</v>
      </c>
      <c r="AO2130" t="s">
        <v>118</v>
      </c>
      <c r="AP2130">
        <v>-82</v>
      </c>
      <c r="AQ2130">
        <v>-113</v>
      </c>
      <c r="AR2130">
        <v>64</v>
      </c>
      <c r="AZ2130">
        <v>4552</v>
      </c>
      <c r="BA2130">
        <v>1</v>
      </c>
      <c r="BB2130" t="str">
        <f t="shared" si="626"/>
        <v xml:space="preserve">N607SR  </v>
      </c>
      <c r="BC2130">
        <v>1</v>
      </c>
      <c r="BE2130">
        <v>0</v>
      </c>
      <c r="BF2130">
        <v>0</v>
      </c>
      <c r="BG2130">
        <v>0</v>
      </c>
      <c r="BH2130">
        <v>2575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 t="shared" ref="BW2130:BW2135" si="637">"06:18:15.315"</f>
        <v>06:18:15.315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6</v>
      </c>
      <c r="CP2130" t="s">
        <v>119</v>
      </c>
      <c r="CQ2130">
        <v>465</v>
      </c>
      <c r="CR2130">
        <v>0</v>
      </c>
      <c r="CW2130">
        <v>4724439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 t="shared" si="634"/>
        <v>08/29/2020 06:18:12.090</v>
      </c>
      <c r="C2131" t="str">
        <f t="shared" si="624"/>
        <v>FFDFD3C0</v>
      </c>
      <c r="D2131" t="s">
        <v>121</v>
      </c>
      <c r="E2131">
        <v>10</v>
      </c>
      <c r="F2131">
        <v>1010</v>
      </c>
      <c r="G2131" t="s">
        <v>114</v>
      </c>
      <c r="J2131" t="s">
        <v>123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635"/>
        <v>06:18:15.313</v>
      </c>
      <c r="T2131" t="str">
        <f t="shared" si="636"/>
        <v>06:18:14.813</v>
      </c>
      <c r="U2131" t="str">
        <f t="shared" si="625"/>
        <v>A7E2E0</v>
      </c>
      <c r="V2131">
        <v>0</v>
      </c>
      <c r="W2131">
        <v>0</v>
      </c>
      <c r="X2131">
        <v>1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0</v>
      </c>
      <c r="AI2131" t="s">
        <v>1247</v>
      </c>
      <c r="AJ2131">
        <v>38.958441999999998</v>
      </c>
      <c r="AK2131" t="s">
        <v>1248</v>
      </c>
      <c r="AL2131">
        <v>-87.610881000000006</v>
      </c>
      <c r="AM2131">
        <v>100</v>
      </c>
      <c r="AN2131">
        <v>2800</v>
      </c>
      <c r="AO2131" t="s">
        <v>118</v>
      </c>
      <c r="AP2131">
        <v>-82</v>
      </c>
      <c r="AQ2131">
        <v>-113</v>
      </c>
      <c r="AR2131">
        <v>64</v>
      </c>
      <c r="AZ2131">
        <v>4552</v>
      </c>
      <c r="BA2131">
        <v>1</v>
      </c>
      <c r="BB2131" t="str">
        <f t="shared" si="626"/>
        <v xml:space="preserve">N607SR  </v>
      </c>
      <c r="BC2131">
        <v>1</v>
      </c>
      <c r="BE2131">
        <v>0</v>
      </c>
      <c r="BF2131">
        <v>0</v>
      </c>
      <c r="BG2131">
        <v>0</v>
      </c>
      <c r="BH2131">
        <v>2575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 t="shared" si="637"/>
        <v>06:18:15.315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6</v>
      </c>
      <c r="CP2131" t="s">
        <v>119</v>
      </c>
      <c r="CQ2131">
        <v>465</v>
      </c>
      <c r="CR2131">
        <v>0</v>
      </c>
      <c r="CW2131">
        <v>4724439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 t="shared" si="634"/>
        <v>08/29/2020 06:18:12.090</v>
      </c>
      <c r="C2132" t="str">
        <f t="shared" si="624"/>
        <v>FFDFD3C0</v>
      </c>
      <c r="D2132" t="s">
        <v>128</v>
      </c>
      <c r="E2132">
        <v>5</v>
      </c>
      <c r="H2132">
        <v>241</v>
      </c>
      <c r="I2132" t="s">
        <v>129</v>
      </c>
      <c r="J2132" t="s">
        <v>130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635"/>
        <v>06:18:15.313</v>
      </c>
      <c r="T2132" t="str">
        <f t="shared" si="636"/>
        <v>06:18:14.813</v>
      </c>
      <c r="U2132" t="str">
        <f t="shared" si="625"/>
        <v>A7E2E0</v>
      </c>
      <c r="V2132">
        <v>0</v>
      </c>
      <c r="W2132">
        <v>0</v>
      </c>
      <c r="X2132">
        <v>1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0</v>
      </c>
      <c r="AI2132" t="s">
        <v>1247</v>
      </c>
      <c r="AJ2132">
        <v>38.958441999999998</v>
      </c>
      <c r="AK2132" t="s">
        <v>1248</v>
      </c>
      <c r="AL2132">
        <v>-87.610881000000006</v>
      </c>
      <c r="AM2132">
        <v>100</v>
      </c>
      <c r="AN2132">
        <v>2800</v>
      </c>
      <c r="AO2132" t="s">
        <v>118</v>
      </c>
      <c r="AP2132">
        <v>-82</v>
      </c>
      <c r="AQ2132">
        <v>-113</v>
      </c>
      <c r="AR2132">
        <v>64</v>
      </c>
      <c r="AZ2132">
        <v>4552</v>
      </c>
      <c r="BA2132">
        <v>1</v>
      </c>
      <c r="BB2132" t="str">
        <f t="shared" si="626"/>
        <v xml:space="preserve">N607SR  </v>
      </c>
      <c r="BC2132">
        <v>1</v>
      </c>
      <c r="BE2132">
        <v>0</v>
      </c>
      <c r="BF2132">
        <v>0</v>
      </c>
      <c r="BG2132">
        <v>0</v>
      </c>
      <c r="BH2132">
        <v>2575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 t="shared" si="637"/>
        <v>06:18:15.315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6</v>
      </c>
      <c r="CP2132" t="s">
        <v>119</v>
      </c>
      <c r="CQ2132">
        <v>465</v>
      </c>
      <c r="CR2132">
        <v>0</v>
      </c>
      <c r="CW2132">
        <v>4724439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 t="shared" si="634"/>
        <v>08/29/2020 06:18:12.090</v>
      </c>
      <c r="C2133" t="str">
        <f t="shared" si="624"/>
        <v>FFDFD3C0</v>
      </c>
      <c r="D2133" t="s">
        <v>939</v>
      </c>
      <c r="E2133">
        <v>10</v>
      </c>
      <c r="H2133">
        <v>79</v>
      </c>
      <c r="I2133" t="s">
        <v>940</v>
      </c>
      <c r="J2133" t="s">
        <v>130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635"/>
        <v>06:18:15.313</v>
      </c>
      <c r="T2133" t="str">
        <f t="shared" si="636"/>
        <v>06:18:14.813</v>
      </c>
      <c r="U2133" t="str">
        <f t="shared" si="625"/>
        <v>A7E2E0</v>
      </c>
      <c r="V2133">
        <v>0</v>
      </c>
      <c r="W2133">
        <v>0</v>
      </c>
      <c r="X2133">
        <v>1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0</v>
      </c>
      <c r="AI2133" t="s">
        <v>1247</v>
      </c>
      <c r="AJ2133">
        <v>38.958441999999998</v>
      </c>
      <c r="AK2133" t="s">
        <v>1248</v>
      </c>
      <c r="AL2133">
        <v>-87.610881000000006</v>
      </c>
      <c r="AM2133">
        <v>100</v>
      </c>
      <c r="AN2133">
        <v>2800</v>
      </c>
      <c r="AO2133" t="s">
        <v>118</v>
      </c>
      <c r="AP2133">
        <v>-82</v>
      </c>
      <c r="AQ2133">
        <v>-113</v>
      </c>
      <c r="AR2133">
        <v>64</v>
      </c>
      <c r="AZ2133">
        <v>4552</v>
      </c>
      <c r="BA2133">
        <v>1</v>
      </c>
      <c r="BB2133" t="str">
        <f t="shared" si="626"/>
        <v xml:space="preserve">N607SR  </v>
      </c>
      <c r="BC2133">
        <v>1</v>
      </c>
      <c r="BE2133">
        <v>0</v>
      </c>
      <c r="BF2133">
        <v>0</v>
      </c>
      <c r="BG2133">
        <v>0</v>
      </c>
      <c r="BH2133">
        <v>2575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 t="shared" si="637"/>
        <v>06:18:15.315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6</v>
      </c>
      <c r="CP2133" t="s">
        <v>119</v>
      </c>
      <c r="CQ2133">
        <v>465</v>
      </c>
      <c r="CR2133">
        <v>0</v>
      </c>
      <c r="CW2133">
        <v>4724439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 t="shared" si="634"/>
        <v>08/29/2020 06:18:12.090</v>
      </c>
      <c r="C2134" t="str">
        <f t="shared" si="624"/>
        <v>FFDFD3C0</v>
      </c>
      <c r="D2134" t="s">
        <v>121</v>
      </c>
      <c r="E2134">
        <v>11</v>
      </c>
      <c r="F2134">
        <v>1011</v>
      </c>
      <c r="G2134" t="s">
        <v>125</v>
      </c>
      <c r="J2134" t="s">
        <v>123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635"/>
        <v>06:18:15.313</v>
      </c>
      <c r="T2134" t="str">
        <f t="shared" si="636"/>
        <v>06:18:14.813</v>
      </c>
      <c r="U2134" t="str">
        <f t="shared" si="625"/>
        <v>A7E2E0</v>
      </c>
      <c r="V2134">
        <v>0</v>
      </c>
      <c r="W2134">
        <v>0</v>
      </c>
      <c r="X2134">
        <v>1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0</v>
      </c>
      <c r="AI2134" t="s">
        <v>1247</v>
      </c>
      <c r="AJ2134">
        <v>38.958441999999998</v>
      </c>
      <c r="AK2134" t="s">
        <v>1248</v>
      </c>
      <c r="AL2134">
        <v>-87.610881000000006</v>
      </c>
      <c r="AM2134">
        <v>100</v>
      </c>
      <c r="AN2134">
        <v>2800</v>
      </c>
      <c r="AO2134" t="s">
        <v>118</v>
      </c>
      <c r="AP2134">
        <v>-82</v>
      </c>
      <c r="AQ2134">
        <v>-113</v>
      </c>
      <c r="AR2134">
        <v>64</v>
      </c>
      <c r="AZ2134">
        <v>4552</v>
      </c>
      <c r="BA2134">
        <v>1</v>
      </c>
      <c r="BB2134" t="str">
        <f t="shared" si="626"/>
        <v xml:space="preserve">N607SR  </v>
      </c>
      <c r="BC2134">
        <v>1</v>
      </c>
      <c r="BE2134">
        <v>0</v>
      </c>
      <c r="BF2134">
        <v>0</v>
      </c>
      <c r="BG2134">
        <v>0</v>
      </c>
      <c r="BH2134">
        <v>2575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 t="shared" si="637"/>
        <v>06:18:15.315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4</v>
      </c>
      <c r="CP2134" t="s">
        <v>119</v>
      </c>
      <c r="CQ2134">
        <v>457</v>
      </c>
      <c r="CR2134">
        <v>0</v>
      </c>
      <c r="CW2134">
        <v>15519793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 t="shared" si="634"/>
        <v>08/29/2020 06:18:12.090</v>
      </c>
      <c r="C2135" t="str">
        <f t="shared" si="624"/>
        <v>FFDFD3C0</v>
      </c>
      <c r="D2135" t="s">
        <v>121</v>
      </c>
      <c r="E2135">
        <v>13</v>
      </c>
      <c r="F2135">
        <v>1013</v>
      </c>
      <c r="G2135" t="s">
        <v>122</v>
      </c>
      <c r="J2135" t="s">
        <v>123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635"/>
        <v>06:18:15.313</v>
      </c>
      <c r="T2135" t="str">
        <f t="shared" si="636"/>
        <v>06:18:14.813</v>
      </c>
      <c r="U2135" t="str">
        <f t="shared" si="625"/>
        <v>A7E2E0</v>
      </c>
      <c r="V2135">
        <v>0</v>
      </c>
      <c r="W2135">
        <v>0</v>
      </c>
      <c r="X2135">
        <v>1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0</v>
      </c>
      <c r="AI2135" t="s">
        <v>1247</v>
      </c>
      <c r="AJ2135">
        <v>38.958441999999998</v>
      </c>
      <c r="AK2135" t="s">
        <v>1248</v>
      </c>
      <c r="AL2135">
        <v>-87.610881000000006</v>
      </c>
      <c r="AM2135">
        <v>100</v>
      </c>
      <c r="AN2135">
        <v>2800</v>
      </c>
      <c r="AO2135" t="s">
        <v>118</v>
      </c>
      <c r="AP2135">
        <v>-82</v>
      </c>
      <c r="AQ2135">
        <v>-113</v>
      </c>
      <c r="AR2135">
        <v>64</v>
      </c>
      <c r="AZ2135">
        <v>4552</v>
      </c>
      <c r="BA2135">
        <v>1</v>
      </c>
      <c r="BB2135" t="str">
        <f t="shared" si="626"/>
        <v xml:space="preserve">N607SR  </v>
      </c>
      <c r="BC2135">
        <v>1</v>
      </c>
      <c r="BE2135">
        <v>0</v>
      </c>
      <c r="BF2135">
        <v>0</v>
      </c>
      <c r="BG2135">
        <v>0</v>
      </c>
      <c r="BH2135">
        <v>2575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 t="shared" si="637"/>
        <v>06:18:15.315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6</v>
      </c>
      <c r="CP2135" t="s">
        <v>119</v>
      </c>
      <c r="CQ2135">
        <v>465</v>
      </c>
      <c r="CR2135">
        <v>0</v>
      </c>
      <c r="CW2135">
        <v>4724439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 t="shared" ref="A2136:A2141" si="638">"08/29/2020 06:18:13.013"</f>
        <v>08/29/2020 06:18:13.013</v>
      </c>
      <c r="C2136" t="str">
        <f t="shared" si="624"/>
        <v>FFDFD3C0</v>
      </c>
      <c r="D2136" t="s">
        <v>128</v>
      </c>
      <c r="E2136">
        <v>5</v>
      </c>
      <c r="H2136">
        <v>241</v>
      </c>
      <c r="I2136" t="s">
        <v>129</v>
      </c>
      <c r="J2136" t="s">
        <v>130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ref="S2136:S2141" si="639">"06:18:16.273"</f>
        <v>06:18:16.273</v>
      </c>
      <c r="T2136" t="str">
        <f t="shared" ref="T2136:T2141" si="640">"06:18:15.773"</f>
        <v>06:18:15.773</v>
      </c>
      <c r="U2136" t="str">
        <f t="shared" si="625"/>
        <v>A7E2E0</v>
      </c>
      <c r="V2136">
        <v>0</v>
      </c>
      <c r="W2136">
        <v>0</v>
      </c>
      <c r="X2136">
        <v>1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0</v>
      </c>
      <c r="AI2136" t="s">
        <v>1249</v>
      </c>
      <c r="AJ2136">
        <v>38.957948999999999</v>
      </c>
      <c r="AK2136" t="s">
        <v>1250</v>
      </c>
      <c r="AL2136">
        <v>-87.611332000000004</v>
      </c>
      <c r="AM2136">
        <v>100</v>
      </c>
      <c r="AN2136">
        <v>2800</v>
      </c>
      <c r="AO2136" t="s">
        <v>118</v>
      </c>
      <c r="AP2136">
        <v>-81</v>
      </c>
      <c r="AQ2136">
        <v>-113</v>
      </c>
      <c r="AR2136">
        <v>64</v>
      </c>
      <c r="AZ2136">
        <v>4552</v>
      </c>
      <c r="BA2136">
        <v>1</v>
      </c>
      <c r="BB2136" t="str">
        <f t="shared" si="626"/>
        <v xml:space="preserve">N607SR  </v>
      </c>
      <c r="BC2136">
        <v>1</v>
      </c>
      <c r="BE2136">
        <v>0</v>
      </c>
      <c r="BF2136">
        <v>0</v>
      </c>
      <c r="BG2136">
        <v>0</v>
      </c>
      <c r="BH2136">
        <v>2600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>"06:18:16.277"</f>
        <v>06:18:16.277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6</v>
      </c>
      <c r="CP2136" t="s">
        <v>119</v>
      </c>
      <c r="CQ2136">
        <v>465</v>
      </c>
      <c r="CR2136">
        <v>0</v>
      </c>
      <c r="CW2136">
        <v>4724472</v>
      </c>
      <c r="CY2136">
        <v>1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 t="shared" si="638"/>
        <v>08/29/2020 06:18:13.013</v>
      </c>
      <c r="C2137" t="str">
        <f t="shared" si="624"/>
        <v>FFDFD3C0</v>
      </c>
      <c r="D2137" t="s">
        <v>121</v>
      </c>
      <c r="E2137">
        <v>13</v>
      </c>
      <c r="F2137">
        <v>1013</v>
      </c>
      <c r="G2137" t="s">
        <v>122</v>
      </c>
      <c r="J2137" t="s">
        <v>123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639"/>
        <v>06:18:16.273</v>
      </c>
      <c r="T2137" t="str">
        <f t="shared" si="640"/>
        <v>06:18:15.773</v>
      </c>
      <c r="U2137" t="str">
        <f t="shared" si="625"/>
        <v>A7E2E0</v>
      </c>
      <c r="V2137">
        <v>0</v>
      </c>
      <c r="W2137">
        <v>0</v>
      </c>
      <c r="X2137">
        <v>1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0</v>
      </c>
      <c r="AI2137" t="s">
        <v>1249</v>
      </c>
      <c r="AJ2137">
        <v>38.957948999999999</v>
      </c>
      <c r="AK2137" t="s">
        <v>1250</v>
      </c>
      <c r="AL2137">
        <v>-87.611332000000004</v>
      </c>
      <c r="AM2137">
        <v>100</v>
      </c>
      <c r="AN2137">
        <v>2800</v>
      </c>
      <c r="AO2137" t="s">
        <v>118</v>
      </c>
      <c r="AP2137">
        <v>-81</v>
      </c>
      <c r="AQ2137">
        <v>-113</v>
      </c>
      <c r="AR2137">
        <v>64</v>
      </c>
      <c r="AZ2137">
        <v>4552</v>
      </c>
      <c r="BA2137">
        <v>1</v>
      </c>
      <c r="BB2137" t="str">
        <f t="shared" si="626"/>
        <v xml:space="preserve">N607SR  </v>
      </c>
      <c r="BC2137">
        <v>1</v>
      </c>
      <c r="BE2137">
        <v>0</v>
      </c>
      <c r="BF2137">
        <v>0</v>
      </c>
      <c r="BG2137">
        <v>0</v>
      </c>
      <c r="BH2137">
        <v>2600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>"06:18:16.277"</f>
        <v>06:18:16.277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6</v>
      </c>
      <c r="CP2137" t="s">
        <v>119</v>
      </c>
      <c r="CQ2137">
        <v>465</v>
      </c>
      <c r="CR2137">
        <v>0</v>
      </c>
      <c r="CW2137">
        <v>4724472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 t="shared" si="638"/>
        <v>08/29/2020 06:18:13.013</v>
      </c>
      <c r="C2138" t="str">
        <f t="shared" si="624"/>
        <v>FFDFD3C0</v>
      </c>
      <c r="D2138" t="s">
        <v>113</v>
      </c>
      <c r="E2138">
        <v>5</v>
      </c>
      <c r="H2138">
        <v>163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639"/>
        <v>06:18:16.273</v>
      </c>
      <c r="T2138" t="str">
        <f t="shared" si="640"/>
        <v>06:18:15.773</v>
      </c>
      <c r="U2138" t="str">
        <f t="shared" si="625"/>
        <v>A7E2E0</v>
      </c>
      <c r="V2138">
        <v>0</v>
      </c>
      <c r="W2138">
        <v>0</v>
      </c>
      <c r="X2138">
        <v>1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0</v>
      </c>
      <c r="AI2138" t="s">
        <v>1249</v>
      </c>
      <c r="AJ2138">
        <v>38.957948999999999</v>
      </c>
      <c r="AK2138" t="s">
        <v>1250</v>
      </c>
      <c r="AL2138">
        <v>-87.611332000000004</v>
      </c>
      <c r="AM2138">
        <v>100</v>
      </c>
      <c r="AN2138">
        <v>2800</v>
      </c>
      <c r="AO2138" t="s">
        <v>118</v>
      </c>
      <c r="AP2138">
        <v>-81</v>
      </c>
      <c r="AQ2138">
        <v>-113</v>
      </c>
      <c r="AR2138">
        <v>64</v>
      </c>
      <c r="AZ2138">
        <v>4552</v>
      </c>
      <c r="BA2138">
        <v>1</v>
      </c>
      <c r="BB2138" t="str">
        <f t="shared" si="626"/>
        <v xml:space="preserve">N607SR  </v>
      </c>
      <c r="BC2138">
        <v>1</v>
      </c>
      <c r="BE2138">
        <v>0</v>
      </c>
      <c r="BF2138">
        <v>0</v>
      </c>
      <c r="BG2138">
        <v>0</v>
      </c>
      <c r="BH2138">
        <v>2600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>"06:18:16.277"</f>
        <v>06:18:16.277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6</v>
      </c>
      <c r="CP2138" t="s">
        <v>119</v>
      </c>
      <c r="CQ2138">
        <v>465</v>
      </c>
      <c r="CR2138">
        <v>0</v>
      </c>
      <c r="CW2138">
        <v>4724472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 t="shared" si="638"/>
        <v>08/29/2020 06:18:13.013</v>
      </c>
      <c r="C2139" t="str">
        <f t="shared" si="624"/>
        <v>FFDFD3C0</v>
      </c>
      <c r="D2139" t="s">
        <v>939</v>
      </c>
      <c r="E2139">
        <v>10</v>
      </c>
      <c r="H2139">
        <v>79</v>
      </c>
      <c r="I2139" t="s">
        <v>940</v>
      </c>
      <c r="J2139" t="s">
        <v>130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639"/>
        <v>06:18:16.273</v>
      </c>
      <c r="T2139" t="str">
        <f t="shared" si="640"/>
        <v>06:18:15.773</v>
      </c>
      <c r="U2139" t="str">
        <f t="shared" si="625"/>
        <v>A7E2E0</v>
      </c>
      <c r="V2139">
        <v>0</v>
      </c>
      <c r="W2139">
        <v>0</v>
      </c>
      <c r="X2139">
        <v>1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0</v>
      </c>
      <c r="AI2139" t="s">
        <v>1249</v>
      </c>
      <c r="AJ2139">
        <v>38.957948999999999</v>
      </c>
      <c r="AK2139" t="s">
        <v>1250</v>
      </c>
      <c r="AL2139">
        <v>-87.611332000000004</v>
      </c>
      <c r="AM2139">
        <v>100</v>
      </c>
      <c r="AN2139">
        <v>2800</v>
      </c>
      <c r="AO2139" t="s">
        <v>118</v>
      </c>
      <c r="AP2139">
        <v>-81</v>
      </c>
      <c r="AQ2139">
        <v>-113</v>
      </c>
      <c r="AR2139">
        <v>64</v>
      </c>
      <c r="AZ2139">
        <v>4552</v>
      </c>
      <c r="BA2139">
        <v>1</v>
      </c>
      <c r="BB2139" t="str">
        <f t="shared" si="626"/>
        <v xml:space="preserve">N607SR  </v>
      </c>
      <c r="BC2139">
        <v>1</v>
      </c>
      <c r="BE2139">
        <v>0</v>
      </c>
      <c r="BF2139">
        <v>0</v>
      </c>
      <c r="BG2139">
        <v>0</v>
      </c>
      <c r="BH2139">
        <v>2600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>"06:18:16.277"</f>
        <v>06:18:16.277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6</v>
      </c>
      <c r="CP2139" t="s">
        <v>119</v>
      </c>
      <c r="CQ2139">
        <v>465</v>
      </c>
      <c r="CR2139">
        <v>0</v>
      </c>
      <c r="CW2139">
        <v>4724472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 t="shared" si="638"/>
        <v>08/29/2020 06:18:13.013</v>
      </c>
      <c r="C2140" t="str">
        <f t="shared" si="624"/>
        <v>FFDFD3C0</v>
      </c>
      <c r="D2140" t="s">
        <v>121</v>
      </c>
      <c r="E2140">
        <v>10</v>
      </c>
      <c r="F2140">
        <v>1010</v>
      </c>
      <c r="G2140" t="s">
        <v>114</v>
      </c>
      <c r="J2140" t="s">
        <v>123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639"/>
        <v>06:18:16.273</v>
      </c>
      <c r="T2140" t="str">
        <f t="shared" si="640"/>
        <v>06:18:15.773</v>
      </c>
      <c r="U2140" t="str">
        <f t="shared" si="625"/>
        <v>A7E2E0</v>
      </c>
      <c r="V2140">
        <v>0</v>
      </c>
      <c r="W2140">
        <v>0</v>
      </c>
      <c r="X2140">
        <v>1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0</v>
      </c>
      <c r="AI2140" t="s">
        <v>1249</v>
      </c>
      <c r="AJ2140">
        <v>38.957948999999999</v>
      </c>
      <c r="AK2140" t="s">
        <v>1250</v>
      </c>
      <c r="AL2140">
        <v>-87.611332000000004</v>
      </c>
      <c r="AM2140">
        <v>100</v>
      </c>
      <c r="AN2140">
        <v>2800</v>
      </c>
      <c r="AO2140" t="s">
        <v>118</v>
      </c>
      <c r="AP2140">
        <v>-81</v>
      </c>
      <c r="AQ2140">
        <v>-113</v>
      </c>
      <c r="AR2140">
        <v>64</v>
      </c>
      <c r="AZ2140">
        <v>4552</v>
      </c>
      <c r="BA2140">
        <v>1</v>
      </c>
      <c r="BB2140" t="str">
        <f t="shared" si="626"/>
        <v xml:space="preserve">N607SR  </v>
      </c>
      <c r="BC2140">
        <v>1</v>
      </c>
      <c r="BE2140">
        <v>0</v>
      </c>
      <c r="BF2140">
        <v>0</v>
      </c>
      <c r="BG2140">
        <v>0</v>
      </c>
      <c r="BH2140">
        <v>2600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"06:18:16.277"</f>
        <v>06:18:16.277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465</v>
      </c>
      <c r="CR2140">
        <v>0</v>
      </c>
      <c r="CW2140">
        <v>4724472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 t="shared" si="638"/>
        <v>08/29/2020 06:18:13.013</v>
      </c>
      <c r="C2141" t="str">
        <f t="shared" si="624"/>
        <v>FFDFD3C0</v>
      </c>
      <c r="D2141" t="s">
        <v>121</v>
      </c>
      <c r="E2141">
        <v>11</v>
      </c>
      <c r="F2141">
        <v>1011</v>
      </c>
      <c r="G2141" t="s">
        <v>125</v>
      </c>
      <c r="J2141" t="s">
        <v>123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639"/>
        <v>06:18:16.273</v>
      </c>
      <c r="T2141" t="str">
        <f t="shared" si="640"/>
        <v>06:18:15.773</v>
      </c>
      <c r="U2141" t="str">
        <f t="shared" si="625"/>
        <v>A7E2E0</v>
      </c>
      <c r="V2141">
        <v>0</v>
      </c>
      <c r="W2141">
        <v>0</v>
      </c>
      <c r="X2141">
        <v>1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0</v>
      </c>
      <c r="AI2141" t="s">
        <v>1249</v>
      </c>
      <c r="AJ2141">
        <v>38.957948999999999</v>
      </c>
      <c r="AK2141" t="s">
        <v>1250</v>
      </c>
      <c r="AL2141">
        <v>-87.611332000000004</v>
      </c>
      <c r="AM2141">
        <v>100</v>
      </c>
      <c r="AN2141">
        <v>2800</v>
      </c>
      <c r="AO2141" t="s">
        <v>118</v>
      </c>
      <c r="AP2141">
        <v>-81</v>
      </c>
      <c r="AQ2141">
        <v>-113</v>
      </c>
      <c r="AR2141">
        <v>64</v>
      </c>
      <c r="AZ2141">
        <v>4552</v>
      </c>
      <c r="BA2141">
        <v>1</v>
      </c>
      <c r="BB2141" t="str">
        <f t="shared" si="626"/>
        <v xml:space="preserve">N607SR  </v>
      </c>
      <c r="BC2141">
        <v>1</v>
      </c>
      <c r="BE2141">
        <v>0</v>
      </c>
      <c r="BF2141">
        <v>0</v>
      </c>
      <c r="BG2141">
        <v>0</v>
      </c>
      <c r="BH2141">
        <v>2600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"06:18:16.276"</f>
        <v>06:18:16.276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4</v>
      </c>
      <c r="CP2141" t="s">
        <v>119</v>
      </c>
      <c r="CQ2141">
        <v>457</v>
      </c>
      <c r="CR2141">
        <v>0</v>
      </c>
      <c r="CW2141">
        <v>15519816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 t="shared" ref="A2142:A2147" si="641">"08/29/2020 06:18:14.091"</f>
        <v>08/29/2020 06:18:14.091</v>
      </c>
      <c r="C2142" t="str">
        <f t="shared" si="624"/>
        <v>FFDFD3C0</v>
      </c>
      <c r="D2142" t="s">
        <v>121</v>
      </c>
      <c r="E2142">
        <v>13</v>
      </c>
      <c r="F2142">
        <v>1013</v>
      </c>
      <c r="G2142" t="s">
        <v>122</v>
      </c>
      <c r="J2142" t="s">
        <v>123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ref="S2142:S2147" si="642">"06:18:17.352"</f>
        <v>06:18:17.352</v>
      </c>
      <c r="T2142" t="str">
        <f t="shared" ref="T2142:T2147" si="643">"06:18:16.852"</f>
        <v>06:18:16.852</v>
      </c>
      <c r="U2142" t="str">
        <f t="shared" si="625"/>
        <v>A7E2E0</v>
      </c>
      <c r="V2142">
        <v>0</v>
      </c>
      <c r="W2142">
        <v>0</v>
      </c>
      <c r="X2142">
        <v>1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0</v>
      </c>
      <c r="AI2142" t="s">
        <v>1251</v>
      </c>
      <c r="AJ2142">
        <v>38.957391000000001</v>
      </c>
      <c r="AK2142" t="s">
        <v>1252</v>
      </c>
      <c r="AL2142">
        <v>-87.611846999999997</v>
      </c>
      <c r="AM2142">
        <v>100</v>
      </c>
      <c r="AN2142">
        <v>2800</v>
      </c>
      <c r="AO2142" t="s">
        <v>118</v>
      </c>
      <c r="AP2142">
        <v>-81</v>
      </c>
      <c r="AQ2142">
        <v>-114</v>
      </c>
      <c r="AR2142">
        <v>64</v>
      </c>
      <c r="AZ2142">
        <v>4552</v>
      </c>
      <c r="BA2142">
        <v>1</v>
      </c>
      <c r="BB2142" t="str">
        <f t="shared" si="626"/>
        <v xml:space="preserve">N607SR  </v>
      </c>
      <c r="BC2142">
        <v>1</v>
      </c>
      <c r="BE2142">
        <v>0</v>
      </c>
      <c r="BF2142">
        <v>0</v>
      </c>
      <c r="BG2142">
        <v>0</v>
      </c>
      <c r="BH2142">
        <v>2600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 t="shared" ref="BW2142:BW2147" si="644">"06:18:17.353"</f>
        <v>06:18:17.353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6</v>
      </c>
      <c r="CP2142" t="s">
        <v>119</v>
      </c>
      <c r="CQ2142">
        <v>465</v>
      </c>
      <c r="CR2142">
        <v>0</v>
      </c>
      <c r="CW2142">
        <v>4724508</v>
      </c>
      <c r="CY2142">
        <v>1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 t="shared" si="641"/>
        <v>08/29/2020 06:18:14.091</v>
      </c>
      <c r="C2143" t="str">
        <f t="shared" si="624"/>
        <v>FFDFD3C0</v>
      </c>
      <c r="D2143" t="s">
        <v>939</v>
      </c>
      <c r="E2143">
        <v>10</v>
      </c>
      <c r="H2143">
        <v>79</v>
      </c>
      <c r="I2143" t="s">
        <v>940</v>
      </c>
      <c r="J2143" t="s">
        <v>130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642"/>
        <v>06:18:17.352</v>
      </c>
      <c r="T2143" t="str">
        <f t="shared" si="643"/>
        <v>06:18:16.852</v>
      </c>
      <c r="U2143" t="str">
        <f t="shared" si="625"/>
        <v>A7E2E0</v>
      </c>
      <c r="V2143">
        <v>0</v>
      </c>
      <c r="W2143">
        <v>0</v>
      </c>
      <c r="X2143">
        <v>1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0</v>
      </c>
      <c r="AI2143" t="s">
        <v>1251</v>
      </c>
      <c r="AJ2143">
        <v>38.957391000000001</v>
      </c>
      <c r="AK2143" t="s">
        <v>1252</v>
      </c>
      <c r="AL2143">
        <v>-87.611846999999997</v>
      </c>
      <c r="AM2143">
        <v>100</v>
      </c>
      <c r="AN2143">
        <v>2800</v>
      </c>
      <c r="AO2143" t="s">
        <v>118</v>
      </c>
      <c r="AP2143">
        <v>-81</v>
      </c>
      <c r="AQ2143">
        <v>-114</v>
      </c>
      <c r="AR2143">
        <v>64</v>
      </c>
      <c r="AZ2143">
        <v>4552</v>
      </c>
      <c r="BA2143">
        <v>1</v>
      </c>
      <c r="BB2143" t="str">
        <f t="shared" si="626"/>
        <v xml:space="preserve">N607SR  </v>
      </c>
      <c r="BC2143">
        <v>1</v>
      </c>
      <c r="BE2143">
        <v>0</v>
      </c>
      <c r="BF2143">
        <v>0</v>
      </c>
      <c r="BG2143">
        <v>0</v>
      </c>
      <c r="BH2143">
        <v>2600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 t="shared" si="644"/>
        <v>06:18:17.353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6</v>
      </c>
      <c r="CP2143" t="s">
        <v>119</v>
      </c>
      <c r="CQ2143">
        <v>465</v>
      </c>
      <c r="CR2143">
        <v>0</v>
      </c>
      <c r="CW2143">
        <v>4724508</v>
      </c>
      <c r="CY2143">
        <v>1</v>
      </c>
      <c r="CZ2143">
        <v>0</v>
      </c>
      <c r="DA2143">
        <v>1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 t="shared" si="641"/>
        <v>08/29/2020 06:18:14.091</v>
      </c>
      <c r="C2144" t="str">
        <f t="shared" si="624"/>
        <v>FFDFD3C0</v>
      </c>
      <c r="D2144" t="s">
        <v>121</v>
      </c>
      <c r="E2144">
        <v>10</v>
      </c>
      <c r="F2144">
        <v>1010</v>
      </c>
      <c r="G2144" t="s">
        <v>114</v>
      </c>
      <c r="J2144" t="s">
        <v>123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642"/>
        <v>06:18:17.352</v>
      </c>
      <c r="T2144" t="str">
        <f t="shared" si="643"/>
        <v>06:18:16.852</v>
      </c>
      <c r="U2144" t="str">
        <f t="shared" si="625"/>
        <v>A7E2E0</v>
      </c>
      <c r="V2144">
        <v>0</v>
      </c>
      <c r="W2144">
        <v>0</v>
      </c>
      <c r="X2144">
        <v>1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0</v>
      </c>
      <c r="AI2144" t="s">
        <v>1251</v>
      </c>
      <c r="AJ2144">
        <v>38.957391000000001</v>
      </c>
      <c r="AK2144" t="s">
        <v>1252</v>
      </c>
      <c r="AL2144">
        <v>-87.611846999999997</v>
      </c>
      <c r="AM2144">
        <v>100</v>
      </c>
      <c r="AN2144">
        <v>2800</v>
      </c>
      <c r="AO2144" t="s">
        <v>118</v>
      </c>
      <c r="AP2144">
        <v>-81</v>
      </c>
      <c r="AQ2144">
        <v>-114</v>
      </c>
      <c r="AR2144">
        <v>64</v>
      </c>
      <c r="AZ2144">
        <v>4552</v>
      </c>
      <c r="BA2144">
        <v>1</v>
      </c>
      <c r="BB2144" t="str">
        <f t="shared" si="626"/>
        <v xml:space="preserve">N607SR  </v>
      </c>
      <c r="BC2144">
        <v>1</v>
      </c>
      <c r="BE2144">
        <v>0</v>
      </c>
      <c r="BF2144">
        <v>0</v>
      </c>
      <c r="BG2144">
        <v>0</v>
      </c>
      <c r="BH2144">
        <v>2600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 t="shared" si="644"/>
        <v>06:18:17.353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6</v>
      </c>
      <c r="CP2144" t="s">
        <v>119</v>
      </c>
      <c r="CQ2144">
        <v>465</v>
      </c>
      <c r="CR2144">
        <v>0</v>
      </c>
      <c r="CW2144">
        <v>4724508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 t="shared" si="641"/>
        <v>08/29/2020 06:18:14.091</v>
      </c>
      <c r="C2145" t="str">
        <f t="shared" si="624"/>
        <v>FFDFD3C0</v>
      </c>
      <c r="D2145" t="s">
        <v>113</v>
      </c>
      <c r="E2145">
        <v>5</v>
      </c>
      <c r="H2145">
        <v>163</v>
      </c>
      <c r="I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642"/>
        <v>06:18:17.352</v>
      </c>
      <c r="T2145" t="str">
        <f t="shared" si="643"/>
        <v>06:18:16.852</v>
      </c>
      <c r="U2145" t="str">
        <f t="shared" si="625"/>
        <v>A7E2E0</v>
      </c>
      <c r="V2145">
        <v>0</v>
      </c>
      <c r="W2145">
        <v>0</v>
      </c>
      <c r="X2145">
        <v>1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0</v>
      </c>
      <c r="AI2145" t="s">
        <v>1251</v>
      </c>
      <c r="AJ2145">
        <v>38.957391000000001</v>
      </c>
      <c r="AK2145" t="s">
        <v>1252</v>
      </c>
      <c r="AL2145">
        <v>-87.611846999999997</v>
      </c>
      <c r="AM2145">
        <v>100</v>
      </c>
      <c r="AN2145">
        <v>2800</v>
      </c>
      <c r="AO2145" t="s">
        <v>118</v>
      </c>
      <c r="AP2145">
        <v>-81</v>
      </c>
      <c r="AQ2145">
        <v>-114</v>
      </c>
      <c r="AR2145">
        <v>64</v>
      </c>
      <c r="AZ2145">
        <v>4552</v>
      </c>
      <c r="BA2145">
        <v>1</v>
      </c>
      <c r="BB2145" t="str">
        <f t="shared" si="626"/>
        <v xml:space="preserve">N607SR  </v>
      </c>
      <c r="BC2145">
        <v>1</v>
      </c>
      <c r="BE2145">
        <v>0</v>
      </c>
      <c r="BF2145">
        <v>0</v>
      </c>
      <c r="BG2145">
        <v>0</v>
      </c>
      <c r="BH2145">
        <v>2600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 t="shared" si="644"/>
        <v>06:18:17.353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6</v>
      </c>
      <c r="CP2145" t="s">
        <v>119</v>
      </c>
      <c r="CQ2145">
        <v>465</v>
      </c>
      <c r="CR2145">
        <v>0</v>
      </c>
      <c r="CW2145">
        <v>4724508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si="641"/>
        <v>08/29/2020 06:18:14.091</v>
      </c>
      <c r="C2146" t="str">
        <f t="shared" si="624"/>
        <v>FFDFD3C0</v>
      </c>
      <c r="D2146" t="s">
        <v>121</v>
      </c>
      <c r="E2146">
        <v>11</v>
      </c>
      <c r="F2146">
        <v>1011</v>
      </c>
      <c r="G2146" t="s">
        <v>125</v>
      </c>
      <c r="J2146" t="s">
        <v>123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642"/>
        <v>06:18:17.352</v>
      </c>
      <c r="T2146" t="str">
        <f t="shared" si="643"/>
        <v>06:18:16.852</v>
      </c>
      <c r="U2146" t="str">
        <f t="shared" si="625"/>
        <v>A7E2E0</v>
      </c>
      <c r="V2146">
        <v>0</v>
      </c>
      <c r="W2146">
        <v>0</v>
      </c>
      <c r="X2146">
        <v>1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0</v>
      </c>
      <c r="AI2146" t="s">
        <v>1251</v>
      </c>
      <c r="AJ2146">
        <v>38.957391000000001</v>
      </c>
      <c r="AK2146" t="s">
        <v>1252</v>
      </c>
      <c r="AL2146">
        <v>-87.611846999999997</v>
      </c>
      <c r="AM2146">
        <v>100</v>
      </c>
      <c r="AN2146">
        <v>2800</v>
      </c>
      <c r="AO2146" t="s">
        <v>118</v>
      </c>
      <c r="AP2146">
        <v>-81</v>
      </c>
      <c r="AQ2146">
        <v>-114</v>
      </c>
      <c r="AR2146">
        <v>64</v>
      </c>
      <c r="AZ2146">
        <v>4552</v>
      </c>
      <c r="BA2146">
        <v>1</v>
      </c>
      <c r="BB2146" t="str">
        <f t="shared" si="626"/>
        <v xml:space="preserve">N607SR  </v>
      </c>
      <c r="BC2146">
        <v>1</v>
      </c>
      <c r="BE2146">
        <v>0</v>
      </c>
      <c r="BF2146">
        <v>0</v>
      </c>
      <c r="BG2146">
        <v>0</v>
      </c>
      <c r="BH2146">
        <v>2600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 t="shared" si="644"/>
        <v>06:18:17.353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5</v>
      </c>
      <c r="CP2146" t="s">
        <v>119</v>
      </c>
      <c r="CQ2146">
        <v>457</v>
      </c>
      <c r="CR2146">
        <v>0</v>
      </c>
      <c r="CW2146">
        <v>15519844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si="641"/>
        <v>08/29/2020 06:18:14.091</v>
      </c>
      <c r="C2147" t="str">
        <f t="shared" si="624"/>
        <v>FFDFD3C0</v>
      </c>
      <c r="D2147" t="s">
        <v>128</v>
      </c>
      <c r="E2147">
        <v>5</v>
      </c>
      <c r="H2147">
        <v>241</v>
      </c>
      <c r="I2147" t="s">
        <v>129</v>
      </c>
      <c r="J2147" t="s">
        <v>130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642"/>
        <v>06:18:17.352</v>
      </c>
      <c r="T2147" t="str">
        <f t="shared" si="643"/>
        <v>06:18:16.852</v>
      </c>
      <c r="U2147" t="str">
        <f t="shared" si="625"/>
        <v>A7E2E0</v>
      </c>
      <c r="V2147">
        <v>0</v>
      </c>
      <c r="W2147">
        <v>0</v>
      </c>
      <c r="X2147">
        <v>1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0</v>
      </c>
      <c r="AI2147" t="s">
        <v>1251</v>
      </c>
      <c r="AJ2147">
        <v>38.957391000000001</v>
      </c>
      <c r="AK2147" t="s">
        <v>1252</v>
      </c>
      <c r="AL2147">
        <v>-87.611846999999997</v>
      </c>
      <c r="AM2147">
        <v>100</v>
      </c>
      <c r="AN2147">
        <v>2800</v>
      </c>
      <c r="AO2147" t="s">
        <v>118</v>
      </c>
      <c r="AP2147">
        <v>-81</v>
      </c>
      <c r="AQ2147">
        <v>-114</v>
      </c>
      <c r="AR2147">
        <v>64</v>
      </c>
      <c r="AZ2147">
        <v>4552</v>
      </c>
      <c r="BA2147">
        <v>1</v>
      </c>
      <c r="BB2147" t="str">
        <f t="shared" si="626"/>
        <v xml:space="preserve">N607SR  </v>
      </c>
      <c r="BC2147">
        <v>1</v>
      </c>
      <c r="BE2147">
        <v>0</v>
      </c>
      <c r="BF2147">
        <v>0</v>
      </c>
      <c r="BG2147">
        <v>0</v>
      </c>
      <c r="BH2147">
        <v>2600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 t="shared" si="644"/>
        <v>06:18:17.353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465</v>
      </c>
      <c r="CR2147">
        <v>0</v>
      </c>
      <c r="CW2147">
        <v>4724508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"08/29/2020 06:18:15.071"</f>
        <v>08/29/2020 06:18:15.071</v>
      </c>
      <c r="C2148" t="str">
        <f t="shared" si="624"/>
        <v>FFDFD3C0</v>
      </c>
      <c r="D2148" t="s">
        <v>939</v>
      </c>
      <c r="E2148">
        <v>10</v>
      </c>
      <c r="H2148">
        <v>79</v>
      </c>
      <c r="I2148" t="s">
        <v>940</v>
      </c>
      <c r="J2148" t="s">
        <v>130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"06:18:18.281"</f>
        <v>06:18:18.281</v>
      </c>
      <c r="U2148" t="str">
        <f t="shared" si="625"/>
        <v>A7E2E0</v>
      </c>
      <c r="V2148">
        <v>0</v>
      </c>
      <c r="W2148">
        <v>0</v>
      </c>
      <c r="X2148">
        <v>1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0</v>
      </c>
      <c r="AI2148" t="s">
        <v>1253</v>
      </c>
      <c r="AJ2148">
        <v>38.956918999999999</v>
      </c>
      <c r="AK2148" t="s">
        <v>1254</v>
      </c>
      <c r="AL2148">
        <v>-87.612233000000003</v>
      </c>
      <c r="AM2148">
        <v>100</v>
      </c>
      <c r="AN2148">
        <v>2800</v>
      </c>
      <c r="AO2148" t="s">
        <v>118</v>
      </c>
      <c r="AP2148">
        <v>-79</v>
      </c>
      <c r="AQ2148">
        <v>-115</v>
      </c>
      <c r="AR2148">
        <v>64</v>
      </c>
      <c r="AZ2148">
        <v>4552</v>
      </c>
      <c r="BA2148">
        <v>1</v>
      </c>
      <c r="BB2148" t="str">
        <f t="shared" si="626"/>
        <v xml:space="preserve">N607SR  </v>
      </c>
      <c r="BC2148">
        <v>1</v>
      </c>
      <c r="BE2148">
        <v>0</v>
      </c>
      <c r="BF2148">
        <v>0</v>
      </c>
      <c r="BG2148">
        <v>0</v>
      </c>
      <c r="BH2148">
        <v>2600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>"06:18:18.282"</f>
        <v>06:18:18.282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6</v>
      </c>
      <c r="CP2148" t="s">
        <v>119</v>
      </c>
      <c r="CQ2148">
        <v>465</v>
      </c>
      <c r="CR2148">
        <v>0</v>
      </c>
      <c r="CW2148">
        <v>4724544</v>
      </c>
      <c r="CY2148">
        <v>1</v>
      </c>
      <c r="CZ2148">
        <v>0</v>
      </c>
      <c r="DA2148">
        <v>0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"08/29/2020 06:18:15.071"</f>
        <v>08/29/2020 06:18:15.071</v>
      </c>
      <c r="C2149" t="str">
        <f t="shared" si="624"/>
        <v>FFDFD3C0</v>
      </c>
      <c r="D2149" t="s">
        <v>121</v>
      </c>
      <c r="E2149">
        <v>10</v>
      </c>
      <c r="F2149">
        <v>1010</v>
      </c>
      <c r="G2149" t="s">
        <v>114</v>
      </c>
      <c r="J2149" t="s">
        <v>123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"06:18:18.281"</f>
        <v>06:18:18.281</v>
      </c>
      <c r="U2149" t="str">
        <f t="shared" si="625"/>
        <v>A7E2E0</v>
      </c>
      <c r="V2149">
        <v>0</v>
      </c>
      <c r="W2149">
        <v>0</v>
      </c>
      <c r="X2149">
        <v>1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0</v>
      </c>
      <c r="AI2149" t="s">
        <v>1253</v>
      </c>
      <c r="AJ2149">
        <v>38.956918999999999</v>
      </c>
      <c r="AK2149" t="s">
        <v>1254</v>
      </c>
      <c r="AL2149">
        <v>-87.612233000000003</v>
      </c>
      <c r="AM2149">
        <v>100</v>
      </c>
      <c r="AN2149">
        <v>2800</v>
      </c>
      <c r="AO2149" t="s">
        <v>118</v>
      </c>
      <c r="AP2149">
        <v>-79</v>
      </c>
      <c r="AQ2149">
        <v>-115</v>
      </c>
      <c r="AR2149">
        <v>64</v>
      </c>
      <c r="AZ2149">
        <v>4552</v>
      </c>
      <c r="BA2149">
        <v>1</v>
      </c>
      <c r="BB2149" t="str">
        <f t="shared" si="626"/>
        <v xml:space="preserve">N607SR  </v>
      </c>
      <c r="BC2149">
        <v>1</v>
      </c>
      <c r="BE2149">
        <v>0</v>
      </c>
      <c r="BF2149">
        <v>0</v>
      </c>
      <c r="BG2149">
        <v>0</v>
      </c>
      <c r="BH2149">
        <v>2600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>"06:18:18.282"</f>
        <v>06:18:18.282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6</v>
      </c>
      <c r="CP2149" t="s">
        <v>119</v>
      </c>
      <c r="CQ2149">
        <v>465</v>
      </c>
      <c r="CR2149">
        <v>0</v>
      </c>
      <c r="CW2149">
        <v>4724544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"08/29/2020 06:18:15.071"</f>
        <v>08/29/2020 06:18:15.071</v>
      </c>
      <c r="C2150" t="str">
        <f t="shared" si="624"/>
        <v>FFDFD3C0</v>
      </c>
      <c r="D2150" t="s">
        <v>113</v>
      </c>
      <c r="E2150">
        <v>5</v>
      </c>
      <c r="H2150">
        <v>163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"06:18:18.281"</f>
        <v>06:18:18.281</v>
      </c>
      <c r="U2150" t="str">
        <f t="shared" si="625"/>
        <v>A7E2E0</v>
      </c>
      <c r="V2150">
        <v>0</v>
      </c>
      <c r="W2150">
        <v>0</v>
      </c>
      <c r="X2150">
        <v>1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0</v>
      </c>
      <c r="AI2150" t="s">
        <v>1253</v>
      </c>
      <c r="AJ2150">
        <v>38.956918999999999</v>
      </c>
      <c r="AK2150" t="s">
        <v>1254</v>
      </c>
      <c r="AL2150">
        <v>-87.612233000000003</v>
      </c>
      <c r="AM2150">
        <v>100</v>
      </c>
      <c r="AN2150">
        <v>2800</v>
      </c>
      <c r="AO2150" t="s">
        <v>118</v>
      </c>
      <c r="AP2150">
        <v>-79</v>
      </c>
      <c r="AQ2150">
        <v>-115</v>
      </c>
      <c r="AR2150">
        <v>64</v>
      </c>
      <c r="AZ2150">
        <v>4552</v>
      </c>
      <c r="BA2150">
        <v>1</v>
      </c>
      <c r="BB2150" t="str">
        <f t="shared" si="626"/>
        <v xml:space="preserve">N607SR  </v>
      </c>
      <c r="BC2150">
        <v>1</v>
      </c>
      <c r="BE2150">
        <v>0</v>
      </c>
      <c r="BF2150">
        <v>0</v>
      </c>
      <c r="BG2150">
        <v>0</v>
      </c>
      <c r="BH2150">
        <v>2600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>"06:18:18.282"</f>
        <v>06:18:18.282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6</v>
      </c>
      <c r="CP2150" t="s">
        <v>119</v>
      </c>
      <c r="CQ2150">
        <v>465</v>
      </c>
      <c r="CR2150">
        <v>0</v>
      </c>
      <c r="CW2150">
        <v>4724544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"08/29/2020 06:18:15.071"</f>
        <v>08/29/2020 06:18:15.071</v>
      </c>
      <c r="C2151" t="str">
        <f t="shared" si="624"/>
        <v>FFDFD3C0</v>
      </c>
      <c r="D2151" t="s">
        <v>128</v>
      </c>
      <c r="E2151">
        <v>5</v>
      </c>
      <c r="H2151">
        <v>241</v>
      </c>
      <c r="I2151" t="s">
        <v>129</v>
      </c>
      <c r="J2151" t="s">
        <v>130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"06:18:18.281"</f>
        <v>06:18:18.281</v>
      </c>
      <c r="U2151" t="str">
        <f t="shared" si="625"/>
        <v>A7E2E0</v>
      </c>
      <c r="V2151">
        <v>0</v>
      </c>
      <c r="W2151">
        <v>0</v>
      </c>
      <c r="X2151">
        <v>1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0</v>
      </c>
      <c r="AI2151" t="s">
        <v>1253</v>
      </c>
      <c r="AJ2151">
        <v>38.956918999999999</v>
      </c>
      <c r="AK2151" t="s">
        <v>1254</v>
      </c>
      <c r="AL2151">
        <v>-87.612233000000003</v>
      </c>
      <c r="AM2151">
        <v>100</v>
      </c>
      <c r="AN2151">
        <v>2800</v>
      </c>
      <c r="AO2151" t="s">
        <v>118</v>
      </c>
      <c r="AP2151">
        <v>-79</v>
      </c>
      <c r="AQ2151">
        <v>-115</v>
      </c>
      <c r="AR2151">
        <v>64</v>
      </c>
      <c r="AZ2151">
        <v>4552</v>
      </c>
      <c r="BA2151">
        <v>1</v>
      </c>
      <c r="BB2151" t="str">
        <f t="shared" si="626"/>
        <v xml:space="preserve">N607SR  </v>
      </c>
      <c r="BC2151">
        <v>1</v>
      </c>
      <c r="BE2151">
        <v>0</v>
      </c>
      <c r="BF2151">
        <v>0</v>
      </c>
      <c r="BG2151">
        <v>0</v>
      </c>
      <c r="BH2151">
        <v>2600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>"06:18:18.282"</f>
        <v>06:18:18.282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6</v>
      </c>
      <c r="CP2151" t="s">
        <v>119</v>
      </c>
      <c r="CQ2151">
        <v>465</v>
      </c>
      <c r="CR2151">
        <v>0</v>
      </c>
      <c r="CW2151">
        <v>4724544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"08/29/2020 06:18:15.071"</f>
        <v>08/29/2020 06:18:15.071</v>
      </c>
      <c r="C2152" t="str">
        <f t="shared" si="624"/>
        <v>FFDFD3C0</v>
      </c>
      <c r="D2152" t="s">
        <v>121</v>
      </c>
      <c r="E2152">
        <v>13</v>
      </c>
      <c r="F2152">
        <v>1013</v>
      </c>
      <c r="G2152" t="s">
        <v>122</v>
      </c>
      <c r="J2152" t="s">
        <v>123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"06:18:18.281"</f>
        <v>06:18:18.281</v>
      </c>
      <c r="U2152" t="str">
        <f t="shared" si="625"/>
        <v>A7E2E0</v>
      </c>
      <c r="V2152">
        <v>0</v>
      </c>
      <c r="W2152">
        <v>0</v>
      </c>
      <c r="X2152">
        <v>1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0</v>
      </c>
      <c r="AI2152" t="s">
        <v>1253</v>
      </c>
      <c r="AJ2152">
        <v>38.956918999999999</v>
      </c>
      <c r="AK2152" t="s">
        <v>1254</v>
      </c>
      <c r="AL2152">
        <v>-87.612233000000003</v>
      </c>
      <c r="AM2152">
        <v>100</v>
      </c>
      <c r="AN2152">
        <v>2800</v>
      </c>
      <c r="AO2152" t="s">
        <v>118</v>
      </c>
      <c r="AP2152">
        <v>-79</v>
      </c>
      <c r="AQ2152">
        <v>-115</v>
      </c>
      <c r="AR2152">
        <v>64</v>
      </c>
      <c r="AZ2152">
        <v>4552</v>
      </c>
      <c r="BA2152">
        <v>1</v>
      </c>
      <c r="BB2152" t="str">
        <f t="shared" si="626"/>
        <v xml:space="preserve">N607SR  </v>
      </c>
      <c r="BC2152">
        <v>1</v>
      </c>
      <c r="BE2152">
        <v>0</v>
      </c>
      <c r="BF2152">
        <v>0</v>
      </c>
      <c r="BG2152">
        <v>0</v>
      </c>
      <c r="BH2152">
        <v>2600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>"06:18:18.282"</f>
        <v>06:18:18.282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465</v>
      </c>
      <c r="CR2152">
        <v>0</v>
      </c>
      <c r="CW2152">
        <v>4724544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 t="shared" ref="A2153:A2158" si="645">"08/29/2020 06:18:16.027"</f>
        <v>08/29/2020 06:18:16.027</v>
      </c>
      <c r="C2153" t="str">
        <f t="shared" si="624"/>
        <v>FFDFD3C0</v>
      </c>
      <c r="D2153" t="s">
        <v>939</v>
      </c>
      <c r="E2153">
        <v>10</v>
      </c>
      <c r="H2153">
        <v>79</v>
      </c>
      <c r="I2153" t="s">
        <v>940</v>
      </c>
      <c r="J2153" t="s">
        <v>130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ref="S2153:S2158" si="646">"06:18:19.250"</f>
        <v>06:18:19.250</v>
      </c>
      <c r="T2153" t="str">
        <f t="shared" ref="T2153:T2158" si="647">"06:18:18.850"</f>
        <v>06:18:18.850</v>
      </c>
      <c r="U2153" t="str">
        <f t="shared" si="625"/>
        <v>A7E2E0</v>
      </c>
      <c r="V2153">
        <v>0</v>
      </c>
      <c r="W2153">
        <v>0</v>
      </c>
      <c r="X2153">
        <v>1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0</v>
      </c>
      <c r="AI2153" t="s">
        <v>1255</v>
      </c>
      <c r="AJ2153">
        <v>38.956361000000001</v>
      </c>
      <c r="AK2153" t="s">
        <v>1256</v>
      </c>
      <c r="AL2153">
        <v>-87.612727000000007</v>
      </c>
      <c r="AM2153">
        <v>100</v>
      </c>
      <c r="AN2153">
        <v>2800</v>
      </c>
      <c r="AO2153" t="s">
        <v>118</v>
      </c>
      <c r="AP2153">
        <v>-78</v>
      </c>
      <c r="AQ2153">
        <v>-115</v>
      </c>
      <c r="AR2153">
        <v>64</v>
      </c>
      <c r="AZ2153">
        <v>4552</v>
      </c>
      <c r="BA2153">
        <v>1</v>
      </c>
      <c r="BB2153" t="str">
        <f t="shared" si="626"/>
        <v xml:space="preserve">N607SR  </v>
      </c>
      <c r="BC2153">
        <v>1</v>
      </c>
      <c r="BE2153">
        <v>0</v>
      </c>
      <c r="BF2153">
        <v>0</v>
      </c>
      <c r="BG2153">
        <v>0</v>
      </c>
      <c r="BH2153">
        <v>2600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 t="shared" ref="BW2153:BW2158" si="648">"06:18:19.252"</f>
        <v>06:18:19.252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465</v>
      </c>
      <c r="CR2153">
        <v>0</v>
      </c>
      <c r="CW2153">
        <v>4724572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 t="shared" si="645"/>
        <v>08/29/2020 06:18:16.027</v>
      </c>
      <c r="C2154" t="str">
        <f t="shared" si="624"/>
        <v>FFDFD3C0</v>
      </c>
      <c r="D2154" t="s">
        <v>121</v>
      </c>
      <c r="E2154">
        <v>10</v>
      </c>
      <c r="F2154">
        <v>1010</v>
      </c>
      <c r="G2154" t="s">
        <v>114</v>
      </c>
      <c r="J2154" t="s">
        <v>123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646"/>
        <v>06:18:19.250</v>
      </c>
      <c r="T2154" t="str">
        <f t="shared" si="647"/>
        <v>06:18:18.850</v>
      </c>
      <c r="U2154" t="str">
        <f t="shared" si="625"/>
        <v>A7E2E0</v>
      </c>
      <c r="V2154">
        <v>0</v>
      </c>
      <c r="W2154">
        <v>0</v>
      </c>
      <c r="X2154">
        <v>1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0</v>
      </c>
      <c r="AI2154" t="s">
        <v>1255</v>
      </c>
      <c r="AJ2154">
        <v>38.956361000000001</v>
      </c>
      <c r="AK2154" t="s">
        <v>1256</v>
      </c>
      <c r="AL2154">
        <v>-87.612727000000007</v>
      </c>
      <c r="AM2154">
        <v>100</v>
      </c>
      <c r="AN2154">
        <v>2800</v>
      </c>
      <c r="AO2154" t="s">
        <v>118</v>
      </c>
      <c r="AP2154">
        <v>-78</v>
      </c>
      <c r="AQ2154">
        <v>-115</v>
      </c>
      <c r="AR2154">
        <v>64</v>
      </c>
      <c r="AZ2154">
        <v>4552</v>
      </c>
      <c r="BA2154">
        <v>1</v>
      </c>
      <c r="BB2154" t="str">
        <f t="shared" si="626"/>
        <v xml:space="preserve">N607SR  </v>
      </c>
      <c r="BC2154">
        <v>1</v>
      </c>
      <c r="BE2154">
        <v>0</v>
      </c>
      <c r="BF2154">
        <v>0</v>
      </c>
      <c r="BG2154">
        <v>0</v>
      </c>
      <c r="BH2154">
        <v>2600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 t="shared" si="648"/>
        <v>06:18:19.252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465</v>
      </c>
      <c r="CR2154">
        <v>0</v>
      </c>
      <c r="CW2154">
        <v>4724572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 t="shared" si="645"/>
        <v>08/29/2020 06:18:16.027</v>
      </c>
      <c r="C2155" t="str">
        <f t="shared" si="624"/>
        <v>FFDFD3C0</v>
      </c>
      <c r="D2155" t="s">
        <v>113</v>
      </c>
      <c r="E2155">
        <v>5</v>
      </c>
      <c r="H2155">
        <v>163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646"/>
        <v>06:18:19.250</v>
      </c>
      <c r="T2155" t="str">
        <f t="shared" si="647"/>
        <v>06:18:18.850</v>
      </c>
      <c r="U2155" t="str">
        <f t="shared" si="625"/>
        <v>A7E2E0</v>
      </c>
      <c r="V2155">
        <v>0</v>
      </c>
      <c r="W2155">
        <v>0</v>
      </c>
      <c r="X2155">
        <v>1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0</v>
      </c>
      <c r="AI2155" t="s">
        <v>1255</v>
      </c>
      <c r="AJ2155">
        <v>38.956361000000001</v>
      </c>
      <c r="AK2155" t="s">
        <v>1256</v>
      </c>
      <c r="AL2155">
        <v>-87.612727000000007</v>
      </c>
      <c r="AM2155">
        <v>100</v>
      </c>
      <c r="AN2155">
        <v>2800</v>
      </c>
      <c r="AO2155" t="s">
        <v>118</v>
      </c>
      <c r="AP2155">
        <v>-78</v>
      </c>
      <c r="AQ2155">
        <v>-115</v>
      </c>
      <c r="AR2155">
        <v>64</v>
      </c>
      <c r="AZ2155">
        <v>4552</v>
      </c>
      <c r="BA2155">
        <v>1</v>
      </c>
      <c r="BB2155" t="str">
        <f t="shared" si="626"/>
        <v xml:space="preserve">N607SR  </v>
      </c>
      <c r="BC2155">
        <v>1</v>
      </c>
      <c r="BE2155">
        <v>0</v>
      </c>
      <c r="BF2155">
        <v>0</v>
      </c>
      <c r="BG2155">
        <v>0</v>
      </c>
      <c r="BH2155">
        <v>2600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 t="shared" si="648"/>
        <v>06:18:19.252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465</v>
      </c>
      <c r="CR2155">
        <v>0</v>
      </c>
      <c r="CW2155">
        <v>4724572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 t="shared" si="645"/>
        <v>08/29/2020 06:18:16.027</v>
      </c>
      <c r="C2156" t="str">
        <f t="shared" si="624"/>
        <v>FFDFD3C0</v>
      </c>
      <c r="D2156" t="s">
        <v>121</v>
      </c>
      <c r="E2156">
        <v>11</v>
      </c>
      <c r="F2156">
        <v>1011</v>
      </c>
      <c r="G2156" t="s">
        <v>125</v>
      </c>
      <c r="J2156" t="s">
        <v>123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646"/>
        <v>06:18:19.250</v>
      </c>
      <c r="T2156" t="str">
        <f t="shared" si="647"/>
        <v>06:18:18.850</v>
      </c>
      <c r="U2156" t="str">
        <f t="shared" si="625"/>
        <v>A7E2E0</v>
      </c>
      <c r="V2156">
        <v>0</v>
      </c>
      <c r="W2156">
        <v>0</v>
      </c>
      <c r="X2156">
        <v>1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0</v>
      </c>
      <c r="AI2156" t="s">
        <v>1255</v>
      </c>
      <c r="AJ2156">
        <v>38.956361000000001</v>
      </c>
      <c r="AK2156" t="s">
        <v>1256</v>
      </c>
      <c r="AL2156">
        <v>-87.612727000000007</v>
      </c>
      <c r="AM2156">
        <v>100</v>
      </c>
      <c r="AN2156">
        <v>2800</v>
      </c>
      <c r="AO2156" t="s">
        <v>118</v>
      </c>
      <c r="AP2156">
        <v>-78</v>
      </c>
      <c r="AQ2156">
        <v>-115</v>
      </c>
      <c r="AR2156">
        <v>64</v>
      </c>
      <c r="AZ2156">
        <v>4552</v>
      </c>
      <c r="BA2156">
        <v>1</v>
      </c>
      <c r="BB2156" t="str">
        <f t="shared" si="626"/>
        <v xml:space="preserve">N607SR  </v>
      </c>
      <c r="BC2156">
        <v>1</v>
      </c>
      <c r="BE2156">
        <v>0</v>
      </c>
      <c r="BF2156">
        <v>0</v>
      </c>
      <c r="BG2156">
        <v>0</v>
      </c>
      <c r="BH2156">
        <v>2600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 t="shared" si="648"/>
        <v>06:18:19.252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5</v>
      </c>
      <c r="CP2156" t="s">
        <v>119</v>
      </c>
      <c r="CQ2156">
        <v>457</v>
      </c>
      <c r="CR2156">
        <v>0</v>
      </c>
      <c r="CW2156">
        <v>15519890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 t="shared" si="645"/>
        <v>08/29/2020 06:18:16.027</v>
      </c>
      <c r="C2157" t="str">
        <f t="shared" si="624"/>
        <v>FFDFD3C0</v>
      </c>
      <c r="D2157" t="s">
        <v>128</v>
      </c>
      <c r="E2157">
        <v>5</v>
      </c>
      <c r="H2157">
        <v>241</v>
      </c>
      <c r="I2157" t="s">
        <v>129</v>
      </c>
      <c r="J2157" t="s">
        <v>130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646"/>
        <v>06:18:19.250</v>
      </c>
      <c r="T2157" t="str">
        <f t="shared" si="647"/>
        <v>06:18:18.850</v>
      </c>
      <c r="U2157" t="str">
        <f t="shared" si="625"/>
        <v>A7E2E0</v>
      </c>
      <c r="V2157">
        <v>0</v>
      </c>
      <c r="W2157">
        <v>0</v>
      </c>
      <c r="X2157">
        <v>1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0</v>
      </c>
      <c r="AI2157" t="s">
        <v>1255</v>
      </c>
      <c r="AJ2157">
        <v>38.956361000000001</v>
      </c>
      <c r="AK2157" t="s">
        <v>1256</v>
      </c>
      <c r="AL2157">
        <v>-87.612727000000007</v>
      </c>
      <c r="AM2157">
        <v>100</v>
      </c>
      <c r="AN2157">
        <v>2800</v>
      </c>
      <c r="AO2157" t="s">
        <v>118</v>
      </c>
      <c r="AP2157">
        <v>-78</v>
      </c>
      <c r="AQ2157">
        <v>-115</v>
      </c>
      <c r="AR2157">
        <v>64</v>
      </c>
      <c r="AZ2157">
        <v>4552</v>
      </c>
      <c r="BA2157">
        <v>1</v>
      </c>
      <c r="BB2157" t="str">
        <f t="shared" si="626"/>
        <v xml:space="preserve">N607SR  </v>
      </c>
      <c r="BC2157">
        <v>1</v>
      </c>
      <c r="BE2157">
        <v>0</v>
      </c>
      <c r="BF2157">
        <v>0</v>
      </c>
      <c r="BG2157">
        <v>0</v>
      </c>
      <c r="BH2157">
        <v>2600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 t="shared" si="648"/>
        <v>06:18:19.252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119</v>
      </c>
      <c r="CQ2157">
        <v>465</v>
      </c>
      <c r="CR2157">
        <v>0</v>
      </c>
      <c r="CW2157">
        <v>4724572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 t="shared" si="645"/>
        <v>08/29/2020 06:18:16.027</v>
      </c>
      <c r="C2158" t="str">
        <f t="shared" si="624"/>
        <v>FFDFD3C0</v>
      </c>
      <c r="D2158" t="s">
        <v>121</v>
      </c>
      <c r="E2158">
        <v>13</v>
      </c>
      <c r="F2158">
        <v>1013</v>
      </c>
      <c r="G2158" t="s">
        <v>122</v>
      </c>
      <c r="J2158" t="s">
        <v>123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646"/>
        <v>06:18:19.250</v>
      </c>
      <c r="T2158" t="str">
        <f t="shared" si="647"/>
        <v>06:18:18.850</v>
      </c>
      <c r="U2158" t="str">
        <f t="shared" si="625"/>
        <v>A7E2E0</v>
      </c>
      <c r="V2158">
        <v>0</v>
      </c>
      <c r="W2158">
        <v>0</v>
      </c>
      <c r="X2158">
        <v>1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0</v>
      </c>
      <c r="AI2158" t="s">
        <v>1255</v>
      </c>
      <c r="AJ2158">
        <v>38.956361000000001</v>
      </c>
      <c r="AK2158" t="s">
        <v>1256</v>
      </c>
      <c r="AL2158">
        <v>-87.612727000000007</v>
      </c>
      <c r="AM2158">
        <v>100</v>
      </c>
      <c r="AN2158">
        <v>2800</v>
      </c>
      <c r="AO2158" t="s">
        <v>118</v>
      </c>
      <c r="AP2158">
        <v>-78</v>
      </c>
      <c r="AQ2158">
        <v>-115</v>
      </c>
      <c r="AR2158">
        <v>64</v>
      </c>
      <c r="AZ2158">
        <v>4552</v>
      </c>
      <c r="BA2158">
        <v>1</v>
      </c>
      <c r="BB2158" t="str">
        <f t="shared" si="626"/>
        <v xml:space="preserve">N607SR  </v>
      </c>
      <c r="BC2158">
        <v>1</v>
      </c>
      <c r="BE2158">
        <v>0</v>
      </c>
      <c r="BF2158">
        <v>0</v>
      </c>
      <c r="BG2158">
        <v>0</v>
      </c>
      <c r="BH2158">
        <v>2600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 t="shared" si="648"/>
        <v>06:18:19.252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465</v>
      </c>
      <c r="CR2158">
        <v>0</v>
      </c>
      <c r="CW2158">
        <v>4724572</v>
      </c>
      <c r="CY2158">
        <v>1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 t="shared" ref="A2159:A2164" si="649">"08/29/2020 06:18:16.881"</f>
        <v>08/29/2020 06:18:16.881</v>
      </c>
      <c r="C2159" t="str">
        <f t="shared" si="624"/>
        <v>FFDFD3C0</v>
      </c>
      <c r="D2159" t="s">
        <v>939</v>
      </c>
      <c r="E2159">
        <v>10</v>
      </c>
      <c r="H2159">
        <v>79</v>
      </c>
      <c r="I2159" t="s">
        <v>940</v>
      </c>
      <c r="J2159" t="s">
        <v>130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ref="S2159:S2164" si="650">"06:18:20.117"</f>
        <v>06:18:20.117</v>
      </c>
      <c r="U2159" t="str">
        <f t="shared" si="625"/>
        <v>A7E2E0</v>
      </c>
      <c r="V2159">
        <v>0</v>
      </c>
      <c r="W2159">
        <v>0</v>
      </c>
      <c r="X2159">
        <v>1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0</v>
      </c>
      <c r="AI2159" t="s">
        <v>1257</v>
      </c>
      <c r="AJ2159">
        <v>38.955866999999998</v>
      </c>
      <c r="AK2159" t="s">
        <v>1258</v>
      </c>
      <c r="AL2159">
        <v>-87.613090999999997</v>
      </c>
      <c r="AM2159">
        <v>100</v>
      </c>
      <c r="AN2159">
        <v>2800</v>
      </c>
      <c r="AO2159" t="s">
        <v>118</v>
      </c>
      <c r="AP2159">
        <v>-74</v>
      </c>
      <c r="AQ2159">
        <v>-118</v>
      </c>
      <c r="AR2159">
        <v>0</v>
      </c>
      <c r="AZ2159">
        <v>4552</v>
      </c>
      <c r="BA2159">
        <v>1</v>
      </c>
      <c r="BB2159" t="str">
        <f t="shared" si="626"/>
        <v xml:space="preserve">N607SR  </v>
      </c>
      <c r="BC2159">
        <v>1</v>
      </c>
      <c r="BE2159">
        <v>0</v>
      </c>
      <c r="BF2159">
        <v>0</v>
      </c>
      <c r="BG2159">
        <v>0</v>
      </c>
      <c r="BH2159">
        <v>2600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 t="shared" ref="BW2159:BW2164" si="651">"06:18:20.120"</f>
        <v>06:18:20.120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465</v>
      </c>
      <c r="CR2159">
        <v>0</v>
      </c>
      <c r="CW2159">
        <v>4724603</v>
      </c>
      <c r="CY2159">
        <v>1</v>
      </c>
      <c r="CZ2159">
        <v>0</v>
      </c>
      <c r="DA2159">
        <v>0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 t="shared" si="649"/>
        <v>08/29/2020 06:18:16.881</v>
      </c>
      <c r="C2160" t="str">
        <f t="shared" si="624"/>
        <v>FFDFD3C0</v>
      </c>
      <c r="D2160" t="s">
        <v>121</v>
      </c>
      <c r="E2160">
        <v>10</v>
      </c>
      <c r="F2160">
        <v>1010</v>
      </c>
      <c r="G2160" t="s">
        <v>114</v>
      </c>
      <c r="J2160" t="s">
        <v>123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650"/>
        <v>06:18:20.117</v>
      </c>
      <c r="U2160" t="str">
        <f t="shared" si="625"/>
        <v>A7E2E0</v>
      </c>
      <c r="V2160">
        <v>0</v>
      </c>
      <c r="W2160">
        <v>0</v>
      </c>
      <c r="X2160">
        <v>1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0</v>
      </c>
      <c r="AI2160" t="s">
        <v>1257</v>
      </c>
      <c r="AJ2160">
        <v>38.955866999999998</v>
      </c>
      <c r="AK2160" t="s">
        <v>1258</v>
      </c>
      <c r="AL2160">
        <v>-87.613090999999997</v>
      </c>
      <c r="AM2160">
        <v>100</v>
      </c>
      <c r="AN2160">
        <v>2800</v>
      </c>
      <c r="AO2160" t="s">
        <v>118</v>
      </c>
      <c r="AP2160">
        <v>-74</v>
      </c>
      <c r="AQ2160">
        <v>-118</v>
      </c>
      <c r="AR2160">
        <v>0</v>
      </c>
      <c r="AZ2160">
        <v>4552</v>
      </c>
      <c r="BA2160">
        <v>1</v>
      </c>
      <c r="BB2160" t="str">
        <f t="shared" si="626"/>
        <v xml:space="preserve">N607SR  </v>
      </c>
      <c r="BC2160">
        <v>1</v>
      </c>
      <c r="BE2160">
        <v>0</v>
      </c>
      <c r="BF2160">
        <v>0</v>
      </c>
      <c r="BG2160">
        <v>0</v>
      </c>
      <c r="BH2160">
        <v>2600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 t="shared" si="651"/>
        <v>06:18:20.120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465</v>
      </c>
      <c r="CR2160">
        <v>0</v>
      </c>
      <c r="CW2160">
        <v>4724603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 t="shared" si="649"/>
        <v>08/29/2020 06:18:16.881</v>
      </c>
      <c r="C2161" t="str">
        <f t="shared" si="624"/>
        <v>FFDFD3C0</v>
      </c>
      <c r="D2161" t="s">
        <v>113</v>
      </c>
      <c r="E2161">
        <v>5</v>
      </c>
      <c r="H2161">
        <v>163</v>
      </c>
      <c r="I2161" t="s">
        <v>114</v>
      </c>
      <c r="J2161" t="s">
        <v>115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650"/>
        <v>06:18:20.117</v>
      </c>
      <c r="U2161" t="str">
        <f t="shared" si="625"/>
        <v>A7E2E0</v>
      </c>
      <c r="V2161">
        <v>0</v>
      </c>
      <c r="W2161">
        <v>0</v>
      </c>
      <c r="X2161">
        <v>1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0</v>
      </c>
      <c r="AI2161" t="s">
        <v>1257</v>
      </c>
      <c r="AJ2161">
        <v>38.955866999999998</v>
      </c>
      <c r="AK2161" t="s">
        <v>1258</v>
      </c>
      <c r="AL2161">
        <v>-87.613090999999997</v>
      </c>
      <c r="AM2161">
        <v>100</v>
      </c>
      <c r="AN2161">
        <v>2800</v>
      </c>
      <c r="AO2161" t="s">
        <v>118</v>
      </c>
      <c r="AP2161">
        <v>-74</v>
      </c>
      <c r="AQ2161">
        <v>-118</v>
      </c>
      <c r="AR2161">
        <v>0</v>
      </c>
      <c r="AZ2161">
        <v>4552</v>
      </c>
      <c r="BA2161">
        <v>1</v>
      </c>
      <c r="BB2161" t="str">
        <f t="shared" si="626"/>
        <v xml:space="preserve">N607SR  </v>
      </c>
      <c r="BC2161">
        <v>1</v>
      </c>
      <c r="BE2161">
        <v>0</v>
      </c>
      <c r="BF2161">
        <v>0</v>
      </c>
      <c r="BG2161">
        <v>0</v>
      </c>
      <c r="BH2161">
        <v>2600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 t="shared" si="651"/>
        <v>06:18:20.120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465</v>
      </c>
      <c r="CR2161">
        <v>0</v>
      </c>
      <c r="CW2161">
        <v>4724603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 t="shared" si="649"/>
        <v>08/29/2020 06:18:16.881</v>
      </c>
      <c r="C2162" t="str">
        <f t="shared" si="624"/>
        <v>FFDFD3C0</v>
      </c>
      <c r="D2162" t="s">
        <v>121</v>
      </c>
      <c r="E2162">
        <v>11</v>
      </c>
      <c r="F2162">
        <v>1011</v>
      </c>
      <c r="G2162" t="s">
        <v>125</v>
      </c>
      <c r="J2162" t="s">
        <v>123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650"/>
        <v>06:18:20.117</v>
      </c>
      <c r="T2162" t="str">
        <f>"06:18:19.717"</f>
        <v>06:18:19.717</v>
      </c>
      <c r="U2162" t="str">
        <f t="shared" si="625"/>
        <v>A7E2E0</v>
      </c>
      <c r="V2162">
        <v>0</v>
      </c>
      <c r="W2162">
        <v>0</v>
      </c>
      <c r="X2162">
        <v>1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0</v>
      </c>
      <c r="AI2162" t="s">
        <v>1257</v>
      </c>
      <c r="AJ2162">
        <v>38.955866999999998</v>
      </c>
      <c r="AK2162" t="s">
        <v>1258</v>
      </c>
      <c r="AL2162">
        <v>-87.613090999999997</v>
      </c>
      <c r="AM2162">
        <v>100</v>
      </c>
      <c r="AN2162">
        <v>2800</v>
      </c>
      <c r="AO2162" t="s">
        <v>118</v>
      </c>
      <c r="AP2162">
        <v>-76</v>
      </c>
      <c r="AQ2162">
        <v>-117</v>
      </c>
      <c r="AR2162">
        <v>0</v>
      </c>
      <c r="AZ2162">
        <v>4552</v>
      </c>
      <c r="BA2162">
        <v>1</v>
      </c>
      <c r="BB2162" t="str">
        <f t="shared" si="626"/>
        <v xml:space="preserve">N607SR  </v>
      </c>
      <c r="BC2162">
        <v>1</v>
      </c>
      <c r="BE2162">
        <v>0</v>
      </c>
      <c r="BF2162">
        <v>0</v>
      </c>
      <c r="BG2162">
        <v>0</v>
      </c>
      <c r="BH2162">
        <v>2600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 t="shared" si="651"/>
        <v>06:18:20.120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5</v>
      </c>
      <c r="CP2162" t="s">
        <v>119</v>
      </c>
      <c r="CQ2162">
        <v>457</v>
      </c>
      <c r="CR2162">
        <v>0</v>
      </c>
      <c r="CW2162">
        <v>15519910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 t="shared" si="649"/>
        <v>08/29/2020 06:18:16.881</v>
      </c>
      <c r="C2163" t="str">
        <f t="shared" si="624"/>
        <v>FFDFD3C0</v>
      </c>
      <c r="D2163" t="s">
        <v>128</v>
      </c>
      <c r="E2163">
        <v>5</v>
      </c>
      <c r="H2163">
        <v>241</v>
      </c>
      <c r="I2163" t="s">
        <v>129</v>
      </c>
      <c r="J2163" t="s">
        <v>130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650"/>
        <v>06:18:20.117</v>
      </c>
      <c r="U2163" t="str">
        <f t="shared" si="625"/>
        <v>A7E2E0</v>
      </c>
      <c r="V2163">
        <v>0</v>
      </c>
      <c r="W2163">
        <v>0</v>
      </c>
      <c r="X2163">
        <v>1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0</v>
      </c>
      <c r="AI2163" t="s">
        <v>1257</v>
      </c>
      <c r="AJ2163">
        <v>38.955866999999998</v>
      </c>
      <c r="AK2163" t="s">
        <v>1258</v>
      </c>
      <c r="AL2163">
        <v>-87.613090999999997</v>
      </c>
      <c r="AM2163">
        <v>100</v>
      </c>
      <c r="AN2163">
        <v>2800</v>
      </c>
      <c r="AO2163" t="s">
        <v>118</v>
      </c>
      <c r="AP2163">
        <v>-74</v>
      </c>
      <c r="AQ2163">
        <v>-118</v>
      </c>
      <c r="AR2163">
        <v>0</v>
      </c>
      <c r="AZ2163">
        <v>4552</v>
      </c>
      <c r="BA2163">
        <v>1</v>
      </c>
      <c r="BB2163" t="str">
        <f t="shared" si="626"/>
        <v xml:space="preserve">N607SR  </v>
      </c>
      <c r="BC2163">
        <v>1</v>
      </c>
      <c r="BE2163">
        <v>0</v>
      </c>
      <c r="BF2163">
        <v>0</v>
      </c>
      <c r="BG2163">
        <v>0</v>
      </c>
      <c r="BH2163">
        <v>2600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 t="shared" si="651"/>
        <v>06:18:20.120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6</v>
      </c>
      <c r="CP2163" t="s">
        <v>119</v>
      </c>
      <c r="CQ2163">
        <v>465</v>
      </c>
      <c r="CR2163">
        <v>0</v>
      </c>
      <c r="CW2163">
        <v>4724603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 t="shared" si="649"/>
        <v>08/29/2020 06:18:16.881</v>
      </c>
      <c r="C2164" t="str">
        <f t="shared" si="624"/>
        <v>FFDFD3C0</v>
      </c>
      <c r="D2164" t="s">
        <v>121</v>
      </c>
      <c r="E2164">
        <v>13</v>
      </c>
      <c r="F2164">
        <v>1013</v>
      </c>
      <c r="G2164" t="s">
        <v>122</v>
      </c>
      <c r="J2164" t="s">
        <v>123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650"/>
        <v>06:18:20.117</v>
      </c>
      <c r="U2164" t="str">
        <f t="shared" si="625"/>
        <v>A7E2E0</v>
      </c>
      <c r="V2164">
        <v>0</v>
      </c>
      <c r="W2164">
        <v>0</v>
      </c>
      <c r="X2164">
        <v>1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0</v>
      </c>
      <c r="AI2164" t="s">
        <v>1257</v>
      </c>
      <c r="AJ2164">
        <v>38.955866999999998</v>
      </c>
      <c r="AK2164" t="s">
        <v>1258</v>
      </c>
      <c r="AL2164">
        <v>-87.613090999999997</v>
      </c>
      <c r="AM2164">
        <v>100</v>
      </c>
      <c r="AN2164">
        <v>2800</v>
      </c>
      <c r="AO2164" t="s">
        <v>118</v>
      </c>
      <c r="AP2164">
        <v>-74</v>
      </c>
      <c r="AQ2164">
        <v>-118</v>
      </c>
      <c r="AR2164">
        <v>0</v>
      </c>
      <c r="AZ2164">
        <v>4552</v>
      </c>
      <c r="BA2164">
        <v>1</v>
      </c>
      <c r="BB2164" t="str">
        <f t="shared" si="626"/>
        <v xml:space="preserve">N607SR  </v>
      </c>
      <c r="BC2164">
        <v>1</v>
      </c>
      <c r="BE2164">
        <v>0</v>
      </c>
      <c r="BF2164">
        <v>0</v>
      </c>
      <c r="BG2164">
        <v>0</v>
      </c>
      <c r="BH2164">
        <v>2600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 t="shared" si="651"/>
        <v>06:18:20.120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6</v>
      </c>
      <c r="CP2164" t="s">
        <v>119</v>
      </c>
      <c r="CQ2164">
        <v>465</v>
      </c>
      <c r="CR2164">
        <v>0</v>
      </c>
      <c r="CW2164">
        <v>4724603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 t="shared" ref="A2165:A2170" si="652">"08/29/2020 06:18:17.888"</f>
        <v>08/29/2020 06:18:17.888</v>
      </c>
      <c r="C2165" t="str">
        <f t="shared" si="624"/>
        <v>FFDFD3C0</v>
      </c>
      <c r="D2165" t="s">
        <v>939</v>
      </c>
      <c r="E2165">
        <v>10</v>
      </c>
      <c r="H2165">
        <v>79</v>
      </c>
      <c r="I2165" t="s">
        <v>940</v>
      </c>
      <c r="J2165" t="s">
        <v>130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ref="S2165:S2170" si="653">"06:18:21.125"</f>
        <v>06:18:21.125</v>
      </c>
      <c r="T2165" t="str">
        <f t="shared" ref="T2165:T2170" si="654">"06:18:20.625"</f>
        <v>06:18:20.625</v>
      </c>
      <c r="U2165" t="str">
        <f t="shared" si="625"/>
        <v>A7E2E0</v>
      </c>
      <c r="V2165">
        <v>0</v>
      </c>
      <c r="W2165">
        <v>0</v>
      </c>
      <c r="X2165">
        <v>1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0</v>
      </c>
      <c r="AI2165" t="s">
        <v>1259</v>
      </c>
      <c r="AJ2165">
        <v>38.955331000000001</v>
      </c>
      <c r="AK2165" t="s">
        <v>1260</v>
      </c>
      <c r="AL2165">
        <v>-87.613521000000006</v>
      </c>
      <c r="AM2165">
        <v>100</v>
      </c>
      <c r="AN2165">
        <v>2800</v>
      </c>
      <c r="AO2165" t="s">
        <v>118</v>
      </c>
      <c r="AP2165">
        <v>-73</v>
      </c>
      <c r="AQ2165">
        <v>-120</v>
      </c>
      <c r="AR2165">
        <v>0</v>
      </c>
      <c r="AZ2165">
        <v>4552</v>
      </c>
      <c r="BA2165">
        <v>1</v>
      </c>
      <c r="BB2165" t="str">
        <f t="shared" si="626"/>
        <v xml:space="preserve">N607SR  </v>
      </c>
      <c r="BC2165">
        <v>1</v>
      </c>
      <c r="BE2165">
        <v>0</v>
      </c>
      <c r="BF2165">
        <v>0</v>
      </c>
      <c r="BG2165">
        <v>0</v>
      </c>
      <c r="BH2165">
        <v>2600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 t="shared" ref="BW2165:BW2170" si="655">"06:18:21.126"</f>
        <v>06:18:21.126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6</v>
      </c>
      <c r="CP2165" t="s">
        <v>119</v>
      </c>
      <c r="CQ2165">
        <v>465</v>
      </c>
      <c r="CR2165">
        <v>0</v>
      </c>
      <c r="CW2165">
        <v>4724642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 t="shared" si="652"/>
        <v>08/29/2020 06:18:17.888</v>
      </c>
      <c r="C2166" t="str">
        <f t="shared" si="624"/>
        <v>FFDFD3C0</v>
      </c>
      <c r="D2166" t="s">
        <v>121</v>
      </c>
      <c r="E2166">
        <v>13</v>
      </c>
      <c r="F2166">
        <v>1013</v>
      </c>
      <c r="G2166" t="s">
        <v>122</v>
      </c>
      <c r="J2166" t="s">
        <v>123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653"/>
        <v>06:18:21.125</v>
      </c>
      <c r="T2166" t="str">
        <f t="shared" si="654"/>
        <v>06:18:20.625</v>
      </c>
      <c r="U2166" t="str">
        <f t="shared" si="625"/>
        <v>A7E2E0</v>
      </c>
      <c r="V2166">
        <v>0</v>
      </c>
      <c r="W2166">
        <v>0</v>
      </c>
      <c r="X2166">
        <v>1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0</v>
      </c>
      <c r="AI2166" t="s">
        <v>1259</v>
      </c>
      <c r="AJ2166">
        <v>38.955331000000001</v>
      </c>
      <c r="AK2166" t="s">
        <v>1260</v>
      </c>
      <c r="AL2166">
        <v>-87.613521000000006</v>
      </c>
      <c r="AM2166">
        <v>100</v>
      </c>
      <c r="AN2166">
        <v>2800</v>
      </c>
      <c r="AO2166" t="s">
        <v>118</v>
      </c>
      <c r="AP2166">
        <v>-73</v>
      </c>
      <c r="AQ2166">
        <v>-120</v>
      </c>
      <c r="AR2166">
        <v>0</v>
      </c>
      <c r="AZ2166">
        <v>4552</v>
      </c>
      <c r="BA2166">
        <v>1</v>
      </c>
      <c r="BB2166" t="str">
        <f t="shared" si="626"/>
        <v xml:space="preserve">N607SR  </v>
      </c>
      <c r="BC2166">
        <v>1</v>
      </c>
      <c r="BE2166">
        <v>0</v>
      </c>
      <c r="BF2166">
        <v>0</v>
      </c>
      <c r="BG2166">
        <v>0</v>
      </c>
      <c r="BH2166">
        <v>2600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 t="shared" si="655"/>
        <v>06:18:21.126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465</v>
      </c>
      <c r="CR2166">
        <v>0</v>
      </c>
      <c r="CW2166">
        <v>4724642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 t="shared" si="652"/>
        <v>08/29/2020 06:18:17.888</v>
      </c>
      <c r="C2167" t="str">
        <f t="shared" si="624"/>
        <v>FFDFD3C0</v>
      </c>
      <c r="D2167" t="s">
        <v>121</v>
      </c>
      <c r="E2167">
        <v>10</v>
      </c>
      <c r="F2167">
        <v>1010</v>
      </c>
      <c r="G2167" t="s">
        <v>114</v>
      </c>
      <c r="J2167" t="s">
        <v>123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653"/>
        <v>06:18:21.125</v>
      </c>
      <c r="T2167" t="str">
        <f t="shared" si="654"/>
        <v>06:18:20.625</v>
      </c>
      <c r="U2167" t="str">
        <f t="shared" si="625"/>
        <v>A7E2E0</v>
      </c>
      <c r="V2167">
        <v>0</v>
      </c>
      <c r="W2167">
        <v>0</v>
      </c>
      <c r="X2167">
        <v>1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0</v>
      </c>
      <c r="AI2167" t="s">
        <v>1259</v>
      </c>
      <c r="AJ2167">
        <v>38.955331000000001</v>
      </c>
      <c r="AK2167" t="s">
        <v>1260</v>
      </c>
      <c r="AL2167">
        <v>-87.613521000000006</v>
      </c>
      <c r="AM2167">
        <v>100</v>
      </c>
      <c r="AN2167">
        <v>2800</v>
      </c>
      <c r="AO2167" t="s">
        <v>118</v>
      </c>
      <c r="AP2167">
        <v>-73</v>
      </c>
      <c r="AQ2167">
        <v>-120</v>
      </c>
      <c r="AR2167">
        <v>0</v>
      </c>
      <c r="AZ2167">
        <v>4552</v>
      </c>
      <c r="BA2167">
        <v>1</v>
      </c>
      <c r="BB2167" t="str">
        <f t="shared" si="626"/>
        <v xml:space="preserve">N607SR  </v>
      </c>
      <c r="BC2167">
        <v>1</v>
      </c>
      <c r="BE2167">
        <v>0</v>
      </c>
      <c r="BF2167">
        <v>0</v>
      </c>
      <c r="BG2167">
        <v>0</v>
      </c>
      <c r="BH2167">
        <v>2600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 t="shared" si="655"/>
        <v>06:18:21.126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465</v>
      </c>
      <c r="CR2167">
        <v>0</v>
      </c>
      <c r="CW2167">
        <v>4724642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 t="shared" si="652"/>
        <v>08/29/2020 06:18:17.888</v>
      </c>
      <c r="C2168" t="str">
        <f t="shared" si="624"/>
        <v>FFDFD3C0</v>
      </c>
      <c r="D2168" t="s">
        <v>113</v>
      </c>
      <c r="E2168">
        <v>5</v>
      </c>
      <c r="H2168">
        <v>163</v>
      </c>
      <c r="I2168" t="s">
        <v>114</v>
      </c>
      <c r="J2168" t="s">
        <v>115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653"/>
        <v>06:18:21.125</v>
      </c>
      <c r="T2168" t="str">
        <f t="shared" si="654"/>
        <v>06:18:20.625</v>
      </c>
      <c r="U2168" t="str">
        <f t="shared" si="625"/>
        <v>A7E2E0</v>
      </c>
      <c r="V2168">
        <v>0</v>
      </c>
      <c r="W2168">
        <v>0</v>
      </c>
      <c r="X2168">
        <v>1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0</v>
      </c>
      <c r="AI2168" t="s">
        <v>1259</v>
      </c>
      <c r="AJ2168">
        <v>38.955331000000001</v>
      </c>
      <c r="AK2168" t="s">
        <v>1260</v>
      </c>
      <c r="AL2168">
        <v>-87.613521000000006</v>
      </c>
      <c r="AM2168">
        <v>100</v>
      </c>
      <c r="AN2168">
        <v>2800</v>
      </c>
      <c r="AO2168" t="s">
        <v>118</v>
      </c>
      <c r="AP2168">
        <v>-73</v>
      </c>
      <c r="AQ2168">
        <v>-120</v>
      </c>
      <c r="AR2168">
        <v>0</v>
      </c>
      <c r="AZ2168">
        <v>4552</v>
      </c>
      <c r="BA2168">
        <v>1</v>
      </c>
      <c r="BB2168" t="str">
        <f t="shared" si="626"/>
        <v xml:space="preserve">N607SR  </v>
      </c>
      <c r="BC2168">
        <v>1</v>
      </c>
      <c r="BE2168">
        <v>0</v>
      </c>
      <c r="BF2168">
        <v>0</v>
      </c>
      <c r="BG2168">
        <v>0</v>
      </c>
      <c r="BH2168">
        <v>2600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 t="shared" si="655"/>
        <v>06:18:21.126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465</v>
      </c>
      <c r="CR2168">
        <v>0</v>
      </c>
      <c r="CW2168">
        <v>4724642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 t="shared" si="652"/>
        <v>08/29/2020 06:18:17.888</v>
      </c>
      <c r="C2169" t="str">
        <f t="shared" si="624"/>
        <v>FFDFD3C0</v>
      </c>
      <c r="D2169" t="s">
        <v>128</v>
      </c>
      <c r="E2169">
        <v>5</v>
      </c>
      <c r="H2169">
        <v>241</v>
      </c>
      <c r="I2169" t="s">
        <v>129</v>
      </c>
      <c r="J2169" t="s">
        <v>130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653"/>
        <v>06:18:21.125</v>
      </c>
      <c r="T2169" t="str">
        <f t="shared" si="654"/>
        <v>06:18:20.625</v>
      </c>
      <c r="U2169" t="str">
        <f t="shared" si="625"/>
        <v>A7E2E0</v>
      </c>
      <c r="V2169">
        <v>0</v>
      </c>
      <c r="W2169">
        <v>0</v>
      </c>
      <c r="X2169">
        <v>1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0</v>
      </c>
      <c r="AI2169" t="s">
        <v>1259</v>
      </c>
      <c r="AJ2169">
        <v>38.955331000000001</v>
      </c>
      <c r="AK2169" t="s">
        <v>1260</v>
      </c>
      <c r="AL2169">
        <v>-87.613521000000006</v>
      </c>
      <c r="AM2169">
        <v>100</v>
      </c>
      <c r="AN2169">
        <v>2800</v>
      </c>
      <c r="AO2169" t="s">
        <v>118</v>
      </c>
      <c r="AP2169">
        <v>-73</v>
      </c>
      <c r="AQ2169">
        <v>-120</v>
      </c>
      <c r="AR2169">
        <v>0</v>
      </c>
      <c r="AZ2169">
        <v>4552</v>
      </c>
      <c r="BA2169">
        <v>1</v>
      </c>
      <c r="BB2169" t="str">
        <f t="shared" si="626"/>
        <v xml:space="preserve">N607SR  </v>
      </c>
      <c r="BC2169">
        <v>1</v>
      </c>
      <c r="BE2169">
        <v>0</v>
      </c>
      <c r="BF2169">
        <v>0</v>
      </c>
      <c r="BG2169">
        <v>0</v>
      </c>
      <c r="BH2169">
        <v>2600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 t="shared" si="655"/>
        <v>06:18:21.126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465</v>
      </c>
      <c r="CR2169">
        <v>0</v>
      </c>
      <c r="CW2169">
        <v>4724642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 t="shared" si="652"/>
        <v>08/29/2020 06:18:17.888</v>
      </c>
      <c r="C2170" t="str">
        <f t="shared" si="624"/>
        <v>FFDFD3C0</v>
      </c>
      <c r="D2170" t="s">
        <v>121</v>
      </c>
      <c r="E2170">
        <v>11</v>
      </c>
      <c r="F2170">
        <v>1011</v>
      </c>
      <c r="G2170" t="s">
        <v>125</v>
      </c>
      <c r="J2170" t="s">
        <v>123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653"/>
        <v>06:18:21.125</v>
      </c>
      <c r="T2170" t="str">
        <f t="shared" si="654"/>
        <v>06:18:20.625</v>
      </c>
      <c r="U2170" t="str">
        <f t="shared" si="625"/>
        <v>A7E2E0</v>
      </c>
      <c r="V2170">
        <v>0</v>
      </c>
      <c r="W2170">
        <v>0</v>
      </c>
      <c r="X2170">
        <v>1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0</v>
      </c>
      <c r="AI2170" t="s">
        <v>1259</v>
      </c>
      <c r="AJ2170">
        <v>38.955331000000001</v>
      </c>
      <c r="AK2170" t="s">
        <v>1260</v>
      </c>
      <c r="AL2170">
        <v>-87.613521000000006</v>
      </c>
      <c r="AM2170">
        <v>100</v>
      </c>
      <c r="AN2170">
        <v>2800</v>
      </c>
      <c r="AO2170" t="s">
        <v>118</v>
      </c>
      <c r="AP2170">
        <v>-73</v>
      </c>
      <c r="AQ2170">
        <v>-120</v>
      </c>
      <c r="AR2170">
        <v>0</v>
      </c>
      <c r="AZ2170">
        <v>4552</v>
      </c>
      <c r="BA2170">
        <v>1</v>
      </c>
      <c r="BB2170" t="str">
        <f t="shared" si="626"/>
        <v xml:space="preserve">N607SR  </v>
      </c>
      <c r="BC2170">
        <v>1</v>
      </c>
      <c r="BE2170">
        <v>0</v>
      </c>
      <c r="BF2170">
        <v>0</v>
      </c>
      <c r="BG2170">
        <v>0</v>
      </c>
      <c r="BH2170">
        <v>2600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 t="shared" si="655"/>
        <v>06:18:21.126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5</v>
      </c>
      <c r="CP2170" t="s">
        <v>119</v>
      </c>
      <c r="CQ2170">
        <v>457</v>
      </c>
      <c r="CR2170">
        <v>0</v>
      </c>
      <c r="CW2170">
        <v>15519931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 t="shared" ref="A2171:A2176" si="656">"08/29/2020 06:18:18.869"</f>
        <v>08/29/2020 06:18:18.869</v>
      </c>
      <c r="C2171" t="str">
        <f t="shared" si="624"/>
        <v>FFDFD3C0</v>
      </c>
      <c r="D2171" t="s">
        <v>121</v>
      </c>
      <c r="E2171">
        <v>10</v>
      </c>
      <c r="F2171">
        <v>1010</v>
      </c>
      <c r="G2171" t="s">
        <v>114</v>
      </c>
      <c r="J2171" t="s">
        <v>123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ref="S2171:S2176" si="657">"06:18:22.102"</f>
        <v>06:18:22.102</v>
      </c>
      <c r="T2171" t="str">
        <f t="shared" ref="T2171:T2176" si="658">"06:18:21.702"</f>
        <v>06:18:21.702</v>
      </c>
      <c r="U2171" t="str">
        <f t="shared" si="625"/>
        <v>A7E2E0</v>
      </c>
      <c r="V2171">
        <v>0</v>
      </c>
      <c r="W2171">
        <v>0</v>
      </c>
      <c r="X2171">
        <v>1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0</v>
      </c>
      <c r="AI2171" t="s">
        <v>1261</v>
      </c>
      <c r="AJ2171">
        <v>38.954773000000003</v>
      </c>
      <c r="AK2171" t="s">
        <v>1262</v>
      </c>
      <c r="AL2171">
        <v>-87.613884999999996</v>
      </c>
      <c r="AM2171">
        <v>100</v>
      </c>
      <c r="AN2171">
        <v>2800</v>
      </c>
      <c r="AO2171" t="s">
        <v>118</v>
      </c>
      <c r="AP2171">
        <v>-67</v>
      </c>
      <c r="AQ2171">
        <v>-124</v>
      </c>
      <c r="AR2171">
        <v>-128</v>
      </c>
      <c r="AZ2171">
        <v>4552</v>
      </c>
      <c r="BA2171">
        <v>1</v>
      </c>
      <c r="BB2171" t="str">
        <f t="shared" si="626"/>
        <v xml:space="preserve">N607SR  </v>
      </c>
      <c r="BC2171">
        <v>1</v>
      </c>
      <c r="BE2171">
        <v>0</v>
      </c>
      <c r="BF2171">
        <v>0</v>
      </c>
      <c r="BG2171">
        <v>0</v>
      </c>
      <c r="BH2171">
        <v>2600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>"06:18:22.105"</f>
        <v>06:18:22.105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465</v>
      </c>
      <c r="CR2171">
        <v>0</v>
      </c>
      <c r="CW2171">
        <v>4724674</v>
      </c>
      <c r="CY2171">
        <v>1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si="656"/>
        <v>08/29/2020 06:18:18.869</v>
      </c>
      <c r="C2172" t="str">
        <f t="shared" si="624"/>
        <v>FFDFD3C0</v>
      </c>
      <c r="D2172" t="s">
        <v>113</v>
      </c>
      <c r="E2172">
        <v>5</v>
      </c>
      <c r="H2172">
        <v>163</v>
      </c>
      <c r="I2172" t="s">
        <v>114</v>
      </c>
      <c r="J2172" t="s">
        <v>115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657"/>
        <v>06:18:22.102</v>
      </c>
      <c r="T2172" t="str">
        <f t="shared" si="658"/>
        <v>06:18:21.702</v>
      </c>
      <c r="U2172" t="str">
        <f t="shared" si="625"/>
        <v>A7E2E0</v>
      </c>
      <c r="V2172">
        <v>0</v>
      </c>
      <c r="W2172">
        <v>0</v>
      </c>
      <c r="X2172">
        <v>1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0</v>
      </c>
      <c r="AI2172" t="s">
        <v>1261</v>
      </c>
      <c r="AJ2172">
        <v>38.954773000000003</v>
      </c>
      <c r="AK2172" t="s">
        <v>1262</v>
      </c>
      <c r="AL2172">
        <v>-87.613884999999996</v>
      </c>
      <c r="AM2172">
        <v>100</v>
      </c>
      <c r="AN2172">
        <v>2800</v>
      </c>
      <c r="AO2172" t="s">
        <v>118</v>
      </c>
      <c r="AP2172">
        <v>-67</v>
      </c>
      <c r="AQ2172">
        <v>-124</v>
      </c>
      <c r="AR2172">
        <v>-128</v>
      </c>
      <c r="AZ2172">
        <v>4552</v>
      </c>
      <c r="BA2172">
        <v>1</v>
      </c>
      <c r="BB2172" t="str">
        <f t="shared" si="626"/>
        <v xml:space="preserve">N607SR  </v>
      </c>
      <c r="BC2172">
        <v>1</v>
      </c>
      <c r="BE2172">
        <v>0</v>
      </c>
      <c r="BF2172">
        <v>0</v>
      </c>
      <c r="BG2172">
        <v>0</v>
      </c>
      <c r="BH2172">
        <v>2600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>"06:18:22.105"</f>
        <v>06:18:22.105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465</v>
      </c>
      <c r="CR2172">
        <v>0</v>
      </c>
      <c r="CW2172">
        <v>4724674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656"/>
        <v>08/29/2020 06:18:18.869</v>
      </c>
      <c r="C2173" t="str">
        <f t="shared" si="624"/>
        <v>FFDFD3C0</v>
      </c>
      <c r="D2173" t="s">
        <v>128</v>
      </c>
      <c r="E2173">
        <v>5</v>
      </c>
      <c r="H2173">
        <v>241</v>
      </c>
      <c r="I2173" t="s">
        <v>129</v>
      </c>
      <c r="J2173" t="s">
        <v>130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657"/>
        <v>06:18:22.102</v>
      </c>
      <c r="T2173" t="str">
        <f t="shared" si="658"/>
        <v>06:18:21.702</v>
      </c>
      <c r="U2173" t="str">
        <f t="shared" si="625"/>
        <v>A7E2E0</v>
      </c>
      <c r="V2173">
        <v>0</v>
      </c>
      <c r="W2173">
        <v>0</v>
      </c>
      <c r="X2173">
        <v>1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0</v>
      </c>
      <c r="AI2173" t="s">
        <v>1261</v>
      </c>
      <c r="AJ2173">
        <v>38.954773000000003</v>
      </c>
      <c r="AK2173" t="s">
        <v>1262</v>
      </c>
      <c r="AL2173">
        <v>-87.613884999999996</v>
      </c>
      <c r="AM2173">
        <v>100</v>
      </c>
      <c r="AN2173">
        <v>2800</v>
      </c>
      <c r="AO2173" t="s">
        <v>118</v>
      </c>
      <c r="AP2173">
        <v>-67</v>
      </c>
      <c r="AQ2173">
        <v>-124</v>
      </c>
      <c r="AR2173">
        <v>-128</v>
      </c>
      <c r="AZ2173">
        <v>4552</v>
      </c>
      <c r="BA2173">
        <v>1</v>
      </c>
      <c r="BB2173" t="str">
        <f t="shared" si="626"/>
        <v xml:space="preserve">N607SR  </v>
      </c>
      <c r="BC2173">
        <v>1</v>
      </c>
      <c r="BE2173">
        <v>0</v>
      </c>
      <c r="BF2173">
        <v>0</v>
      </c>
      <c r="BG2173">
        <v>0</v>
      </c>
      <c r="BH2173">
        <v>2600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>"06:18:22.105"</f>
        <v>06:18:22.105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465</v>
      </c>
      <c r="CR2173">
        <v>0</v>
      </c>
      <c r="CW2173">
        <v>4724674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si="656"/>
        <v>08/29/2020 06:18:18.869</v>
      </c>
      <c r="C2174" t="str">
        <f t="shared" si="624"/>
        <v>FFDFD3C0</v>
      </c>
      <c r="D2174" t="s">
        <v>939</v>
      </c>
      <c r="E2174">
        <v>10</v>
      </c>
      <c r="H2174">
        <v>79</v>
      </c>
      <c r="I2174" t="s">
        <v>940</v>
      </c>
      <c r="J2174" t="s">
        <v>130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657"/>
        <v>06:18:22.102</v>
      </c>
      <c r="T2174" t="str">
        <f t="shared" si="658"/>
        <v>06:18:21.702</v>
      </c>
      <c r="U2174" t="str">
        <f t="shared" si="625"/>
        <v>A7E2E0</v>
      </c>
      <c r="V2174">
        <v>0</v>
      </c>
      <c r="W2174">
        <v>0</v>
      </c>
      <c r="X2174">
        <v>1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0</v>
      </c>
      <c r="AI2174" t="s">
        <v>1261</v>
      </c>
      <c r="AJ2174">
        <v>38.954773000000003</v>
      </c>
      <c r="AK2174" t="s">
        <v>1262</v>
      </c>
      <c r="AL2174">
        <v>-87.613884999999996</v>
      </c>
      <c r="AM2174">
        <v>100</v>
      </c>
      <c r="AN2174">
        <v>2800</v>
      </c>
      <c r="AO2174" t="s">
        <v>118</v>
      </c>
      <c r="AP2174">
        <v>-67</v>
      </c>
      <c r="AQ2174">
        <v>-124</v>
      </c>
      <c r="AR2174">
        <v>-128</v>
      </c>
      <c r="AZ2174">
        <v>4552</v>
      </c>
      <c r="BA2174">
        <v>1</v>
      </c>
      <c r="BB2174" t="str">
        <f t="shared" si="626"/>
        <v xml:space="preserve">N607SR  </v>
      </c>
      <c r="BC2174">
        <v>1</v>
      </c>
      <c r="BE2174">
        <v>0</v>
      </c>
      <c r="BF2174">
        <v>0</v>
      </c>
      <c r="BG2174">
        <v>0</v>
      </c>
      <c r="BH2174">
        <v>2600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>"06:18:22.105"</f>
        <v>06:18:22.105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465</v>
      </c>
      <c r="CR2174">
        <v>0</v>
      </c>
      <c r="CW2174">
        <v>4724674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656"/>
        <v>08/29/2020 06:18:18.869</v>
      </c>
      <c r="C2175" t="str">
        <f t="shared" si="624"/>
        <v>FFDFD3C0</v>
      </c>
      <c r="D2175" t="s">
        <v>121</v>
      </c>
      <c r="E2175">
        <v>11</v>
      </c>
      <c r="F2175">
        <v>1011</v>
      </c>
      <c r="G2175" t="s">
        <v>125</v>
      </c>
      <c r="J2175" t="s">
        <v>123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657"/>
        <v>06:18:22.102</v>
      </c>
      <c r="T2175" t="str">
        <f t="shared" si="658"/>
        <v>06:18:21.702</v>
      </c>
      <c r="U2175" t="str">
        <f t="shared" si="625"/>
        <v>A7E2E0</v>
      </c>
      <c r="V2175">
        <v>0</v>
      </c>
      <c r="W2175">
        <v>0</v>
      </c>
      <c r="X2175">
        <v>1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0</v>
      </c>
      <c r="AI2175" t="s">
        <v>1261</v>
      </c>
      <c r="AJ2175">
        <v>38.954773000000003</v>
      </c>
      <c r="AK2175" t="s">
        <v>1262</v>
      </c>
      <c r="AL2175">
        <v>-87.613884999999996</v>
      </c>
      <c r="AM2175">
        <v>100</v>
      </c>
      <c r="AN2175">
        <v>2800</v>
      </c>
      <c r="AO2175" t="s">
        <v>118</v>
      </c>
      <c r="AP2175">
        <v>-67</v>
      </c>
      <c r="AQ2175">
        <v>-124</v>
      </c>
      <c r="AR2175">
        <v>-128</v>
      </c>
      <c r="AZ2175">
        <v>4552</v>
      </c>
      <c r="BA2175">
        <v>1</v>
      </c>
      <c r="BB2175" t="str">
        <f t="shared" si="626"/>
        <v xml:space="preserve">N607SR  </v>
      </c>
      <c r="BC2175">
        <v>1</v>
      </c>
      <c r="BE2175">
        <v>0</v>
      </c>
      <c r="BF2175">
        <v>0</v>
      </c>
      <c r="BG2175">
        <v>0</v>
      </c>
      <c r="BH2175">
        <v>2600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>"06:18:22.104"</f>
        <v>06:18:22.104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4</v>
      </c>
      <c r="CP2175" t="s">
        <v>119</v>
      </c>
      <c r="CQ2175">
        <v>457</v>
      </c>
      <c r="CR2175">
        <v>0</v>
      </c>
      <c r="CW2175">
        <v>15519955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656"/>
        <v>08/29/2020 06:18:18.869</v>
      </c>
      <c r="C2176" t="str">
        <f t="shared" si="624"/>
        <v>FFDFD3C0</v>
      </c>
      <c r="D2176" t="s">
        <v>121</v>
      </c>
      <c r="E2176">
        <v>13</v>
      </c>
      <c r="F2176">
        <v>1013</v>
      </c>
      <c r="G2176" t="s">
        <v>122</v>
      </c>
      <c r="J2176" t="s">
        <v>123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657"/>
        <v>06:18:22.102</v>
      </c>
      <c r="T2176" t="str">
        <f t="shared" si="658"/>
        <v>06:18:21.702</v>
      </c>
      <c r="U2176" t="str">
        <f t="shared" si="625"/>
        <v>A7E2E0</v>
      </c>
      <c r="V2176">
        <v>0</v>
      </c>
      <c r="W2176">
        <v>0</v>
      </c>
      <c r="X2176">
        <v>1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0</v>
      </c>
      <c r="AI2176" t="s">
        <v>1261</v>
      </c>
      <c r="AJ2176">
        <v>38.954773000000003</v>
      </c>
      <c r="AK2176" t="s">
        <v>1262</v>
      </c>
      <c r="AL2176">
        <v>-87.613884999999996</v>
      </c>
      <c r="AM2176">
        <v>100</v>
      </c>
      <c r="AN2176">
        <v>2800</v>
      </c>
      <c r="AO2176" t="s">
        <v>118</v>
      </c>
      <c r="AP2176">
        <v>-67</v>
      </c>
      <c r="AQ2176">
        <v>-124</v>
      </c>
      <c r="AR2176">
        <v>-128</v>
      </c>
      <c r="AZ2176">
        <v>4552</v>
      </c>
      <c r="BA2176">
        <v>1</v>
      </c>
      <c r="BB2176" t="str">
        <f t="shared" si="626"/>
        <v xml:space="preserve">N607SR  </v>
      </c>
      <c r="BC2176">
        <v>1</v>
      </c>
      <c r="BE2176">
        <v>0</v>
      </c>
      <c r="BF2176">
        <v>0</v>
      </c>
      <c r="BG2176">
        <v>0</v>
      </c>
      <c r="BH2176">
        <v>2600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>"06:18:22.105"</f>
        <v>06:18:22.105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6</v>
      </c>
      <c r="CP2176" t="s">
        <v>119</v>
      </c>
      <c r="CQ2176">
        <v>465</v>
      </c>
      <c r="CR2176">
        <v>0</v>
      </c>
      <c r="CW2176">
        <v>4724674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ref="A2177:A2182" si="659">"08/29/2020 06:18:19.830"</f>
        <v>08/29/2020 06:18:19.830</v>
      </c>
      <c r="C2177" t="str">
        <f t="shared" si="624"/>
        <v>FFDFD3C0</v>
      </c>
      <c r="D2177" t="s">
        <v>121</v>
      </c>
      <c r="E2177">
        <v>10</v>
      </c>
      <c r="F2177">
        <v>1010</v>
      </c>
      <c r="G2177" t="s">
        <v>114</v>
      </c>
      <c r="J2177" t="s">
        <v>123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ref="S2177:S2182" si="660">"06:18:23.031"</f>
        <v>06:18:23.031</v>
      </c>
      <c r="U2177" t="str">
        <f t="shared" si="625"/>
        <v>A7E2E0</v>
      </c>
      <c r="V2177">
        <v>0</v>
      </c>
      <c r="W2177">
        <v>0</v>
      </c>
      <c r="X2177">
        <v>1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0</v>
      </c>
      <c r="AI2177" t="s">
        <v>1263</v>
      </c>
      <c r="AJ2177">
        <v>38.954214999999998</v>
      </c>
      <c r="AK2177" t="s">
        <v>1264</v>
      </c>
      <c r="AL2177">
        <v>-87.614249999999998</v>
      </c>
      <c r="AM2177">
        <v>100</v>
      </c>
      <c r="AN2177">
        <v>2800</v>
      </c>
      <c r="AO2177" t="s">
        <v>118</v>
      </c>
      <c r="AP2177">
        <v>-60</v>
      </c>
      <c r="AQ2177">
        <v>-129</v>
      </c>
      <c r="AR2177">
        <v>-256</v>
      </c>
      <c r="AZ2177">
        <v>4552</v>
      </c>
      <c r="BA2177">
        <v>1</v>
      </c>
      <c r="BB2177" t="str">
        <f t="shared" si="626"/>
        <v xml:space="preserve">N607SR  </v>
      </c>
      <c r="BC2177">
        <v>1</v>
      </c>
      <c r="BE2177">
        <v>0</v>
      </c>
      <c r="BF2177">
        <v>0</v>
      </c>
      <c r="BG2177">
        <v>0</v>
      </c>
      <c r="BH2177">
        <v>2575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 t="shared" ref="BW2177:BW2182" si="661">"06:18:23.038"</f>
        <v>06:18:23.038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5</v>
      </c>
      <c r="CP2177" t="s">
        <v>119</v>
      </c>
      <c r="CQ2177">
        <v>517</v>
      </c>
      <c r="CR2177">
        <v>1</v>
      </c>
      <c r="CW2177">
        <v>2484898</v>
      </c>
      <c r="CY2177">
        <v>1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 t="shared" si="659"/>
        <v>08/29/2020 06:18:19.830</v>
      </c>
      <c r="C2178" t="str">
        <f t="shared" ref="C2178:C2241" si="662">"FFDFD3C0"</f>
        <v>FFDFD3C0</v>
      </c>
      <c r="D2178" t="s">
        <v>939</v>
      </c>
      <c r="E2178">
        <v>10</v>
      </c>
      <c r="H2178">
        <v>79</v>
      </c>
      <c r="I2178" t="s">
        <v>940</v>
      </c>
      <c r="J2178" t="s">
        <v>130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660"/>
        <v>06:18:23.031</v>
      </c>
      <c r="T2178" t="str">
        <f>"06:18:22.631"</f>
        <v>06:18:22.631</v>
      </c>
      <c r="U2178" t="str">
        <f t="shared" ref="U2178:U2241" si="663">"A7E2E0"</f>
        <v>A7E2E0</v>
      </c>
      <c r="V2178">
        <v>0</v>
      </c>
      <c r="W2178">
        <v>0</v>
      </c>
      <c r="X2178">
        <v>1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0</v>
      </c>
      <c r="AI2178" t="s">
        <v>1263</v>
      </c>
      <c r="AJ2178">
        <v>38.954214999999998</v>
      </c>
      <c r="AK2178" t="s">
        <v>1264</v>
      </c>
      <c r="AL2178">
        <v>-87.614249999999998</v>
      </c>
      <c r="AM2178">
        <v>100</v>
      </c>
      <c r="AN2178">
        <v>2800</v>
      </c>
      <c r="AO2178" t="s">
        <v>118</v>
      </c>
      <c r="AP2178">
        <v>-63</v>
      </c>
      <c r="AQ2178">
        <v>-127</v>
      </c>
      <c r="AR2178">
        <v>-192</v>
      </c>
      <c r="AZ2178">
        <v>4552</v>
      </c>
      <c r="BA2178">
        <v>1</v>
      </c>
      <c r="BB2178" t="str">
        <f t="shared" ref="BB2178:BB2241" si="664">"N607SR  "</f>
        <v xml:space="preserve">N607SR  </v>
      </c>
      <c r="BC2178">
        <v>1</v>
      </c>
      <c r="BE2178">
        <v>0</v>
      </c>
      <c r="BF2178">
        <v>0</v>
      </c>
      <c r="BG2178">
        <v>0</v>
      </c>
      <c r="BH2178">
        <v>2575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 t="shared" si="661"/>
        <v>06:18:23.038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5</v>
      </c>
      <c r="CP2178" t="s">
        <v>119</v>
      </c>
      <c r="CQ2178">
        <v>465</v>
      </c>
      <c r="CR2178">
        <v>0</v>
      </c>
      <c r="CW2178">
        <v>4724703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 t="shared" si="659"/>
        <v>08/29/2020 06:18:19.830</v>
      </c>
      <c r="C2179" t="str">
        <f t="shared" si="662"/>
        <v>FFDFD3C0</v>
      </c>
      <c r="D2179" t="s">
        <v>113</v>
      </c>
      <c r="E2179">
        <v>5</v>
      </c>
      <c r="H2179">
        <v>163</v>
      </c>
      <c r="I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660"/>
        <v>06:18:23.031</v>
      </c>
      <c r="U2179" t="str">
        <f t="shared" si="663"/>
        <v>A7E2E0</v>
      </c>
      <c r="V2179">
        <v>0</v>
      </c>
      <c r="W2179">
        <v>0</v>
      </c>
      <c r="X2179">
        <v>1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0</v>
      </c>
      <c r="AI2179" t="s">
        <v>1263</v>
      </c>
      <c r="AJ2179">
        <v>38.954214999999998</v>
      </c>
      <c r="AK2179" t="s">
        <v>1264</v>
      </c>
      <c r="AL2179">
        <v>-87.614249999999998</v>
      </c>
      <c r="AM2179">
        <v>100</v>
      </c>
      <c r="AN2179">
        <v>2800</v>
      </c>
      <c r="AO2179" t="s">
        <v>118</v>
      </c>
      <c r="AP2179">
        <v>-60</v>
      </c>
      <c r="AQ2179">
        <v>-129</v>
      </c>
      <c r="AR2179">
        <v>-256</v>
      </c>
      <c r="AZ2179">
        <v>4552</v>
      </c>
      <c r="BA2179">
        <v>1</v>
      </c>
      <c r="BB2179" t="str">
        <f t="shared" si="664"/>
        <v xml:space="preserve">N607SR  </v>
      </c>
      <c r="BC2179">
        <v>1</v>
      </c>
      <c r="BE2179">
        <v>0</v>
      </c>
      <c r="BF2179">
        <v>0</v>
      </c>
      <c r="BG2179">
        <v>0</v>
      </c>
      <c r="BH2179">
        <v>2575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 t="shared" si="661"/>
        <v>06:18:23.038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5</v>
      </c>
      <c r="CP2179" t="s">
        <v>119</v>
      </c>
      <c r="CQ2179">
        <v>517</v>
      </c>
      <c r="CR2179">
        <v>1</v>
      </c>
      <c r="CW2179">
        <v>2484898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 t="shared" si="659"/>
        <v>08/29/2020 06:18:19.830</v>
      </c>
      <c r="C2180" t="str">
        <f t="shared" si="662"/>
        <v>FFDFD3C0</v>
      </c>
      <c r="D2180" t="s">
        <v>128</v>
      </c>
      <c r="E2180">
        <v>5</v>
      </c>
      <c r="H2180">
        <v>241</v>
      </c>
      <c r="I2180" t="s">
        <v>129</v>
      </c>
      <c r="J2180" t="s">
        <v>130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660"/>
        <v>06:18:23.031</v>
      </c>
      <c r="U2180" t="str">
        <f t="shared" si="663"/>
        <v>A7E2E0</v>
      </c>
      <c r="V2180">
        <v>0</v>
      </c>
      <c r="W2180">
        <v>0</v>
      </c>
      <c r="X2180">
        <v>1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0</v>
      </c>
      <c r="AI2180" t="s">
        <v>1263</v>
      </c>
      <c r="AJ2180">
        <v>38.954214999999998</v>
      </c>
      <c r="AK2180" t="s">
        <v>1264</v>
      </c>
      <c r="AL2180">
        <v>-87.614249999999998</v>
      </c>
      <c r="AM2180">
        <v>100</v>
      </c>
      <c r="AN2180">
        <v>2800</v>
      </c>
      <c r="AO2180" t="s">
        <v>118</v>
      </c>
      <c r="AP2180">
        <v>-60</v>
      </c>
      <c r="AQ2180">
        <v>-129</v>
      </c>
      <c r="AR2180">
        <v>-256</v>
      </c>
      <c r="AZ2180">
        <v>4552</v>
      </c>
      <c r="BA2180">
        <v>1</v>
      </c>
      <c r="BB2180" t="str">
        <f t="shared" si="664"/>
        <v xml:space="preserve">N607SR  </v>
      </c>
      <c r="BC2180">
        <v>1</v>
      </c>
      <c r="BE2180">
        <v>0</v>
      </c>
      <c r="BF2180">
        <v>0</v>
      </c>
      <c r="BG2180">
        <v>0</v>
      </c>
      <c r="BH2180">
        <v>2575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 t="shared" si="661"/>
        <v>06:18:23.038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5</v>
      </c>
      <c r="CP2180" t="s">
        <v>119</v>
      </c>
      <c r="CQ2180">
        <v>517</v>
      </c>
      <c r="CR2180">
        <v>1</v>
      </c>
      <c r="CW2180">
        <v>2484898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 t="shared" si="659"/>
        <v>08/29/2020 06:18:19.830</v>
      </c>
      <c r="C2181" t="str">
        <f t="shared" si="662"/>
        <v>FFDFD3C0</v>
      </c>
      <c r="D2181" t="s">
        <v>121</v>
      </c>
      <c r="E2181">
        <v>11</v>
      </c>
      <c r="F2181">
        <v>1011</v>
      </c>
      <c r="G2181" t="s">
        <v>125</v>
      </c>
      <c r="J2181" t="s">
        <v>123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660"/>
        <v>06:18:23.031</v>
      </c>
      <c r="T2181" t="str">
        <f>"06:18:22.631"</f>
        <v>06:18:22.631</v>
      </c>
      <c r="U2181" t="str">
        <f t="shared" si="663"/>
        <v>A7E2E0</v>
      </c>
      <c r="V2181">
        <v>0</v>
      </c>
      <c r="W2181">
        <v>0</v>
      </c>
      <c r="X2181">
        <v>1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0</v>
      </c>
      <c r="AI2181" t="s">
        <v>1263</v>
      </c>
      <c r="AJ2181">
        <v>38.954214999999998</v>
      </c>
      <c r="AK2181" t="s">
        <v>1264</v>
      </c>
      <c r="AL2181">
        <v>-87.614249999999998</v>
      </c>
      <c r="AM2181">
        <v>100</v>
      </c>
      <c r="AN2181">
        <v>2800</v>
      </c>
      <c r="AO2181" t="s">
        <v>118</v>
      </c>
      <c r="AP2181">
        <v>-63</v>
      </c>
      <c r="AQ2181">
        <v>-127</v>
      </c>
      <c r="AR2181">
        <v>-192</v>
      </c>
      <c r="AZ2181">
        <v>4552</v>
      </c>
      <c r="BA2181">
        <v>1</v>
      </c>
      <c r="BB2181" t="str">
        <f t="shared" si="664"/>
        <v xml:space="preserve">N607SR  </v>
      </c>
      <c r="BC2181">
        <v>1</v>
      </c>
      <c r="BE2181">
        <v>0</v>
      </c>
      <c r="BF2181">
        <v>0</v>
      </c>
      <c r="BG2181">
        <v>0</v>
      </c>
      <c r="BH2181">
        <v>2575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 t="shared" si="661"/>
        <v>06:18:23.038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5</v>
      </c>
      <c r="CP2181" t="s">
        <v>119</v>
      </c>
      <c r="CQ2181">
        <v>457</v>
      </c>
      <c r="CR2181">
        <v>0</v>
      </c>
      <c r="CW2181">
        <v>15519978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 t="shared" si="659"/>
        <v>08/29/2020 06:18:19.830</v>
      </c>
      <c r="C2182" t="str">
        <f t="shared" si="662"/>
        <v>FFDFD3C0</v>
      </c>
      <c r="D2182" t="s">
        <v>121</v>
      </c>
      <c r="E2182">
        <v>13</v>
      </c>
      <c r="F2182">
        <v>1013</v>
      </c>
      <c r="G2182" t="s">
        <v>122</v>
      </c>
      <c r="J2182" t="s">
        <v>123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660"/>
        <v>06:18:23.031</v>
      </c>
      <c r="U2182" t="str">
        <f t="shared" si="663"/>
        <v>A7E2E0</v>
      </c>
      <c r="V2182">
        <v>0</v>
      </c>
      <c r="W2182">
        <v>0</v>
      </c>
      <c r="X2182">
        <v>1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0</v>
      </c>
      <c r="AI2182" t="s">
        <v>1263</v>
      </c>
      <c r="AJ2182">
        <v>38.954214999999998</v>
      </c>
      <c r="AK2182" t="s">
        <v>1264</v>
      </c>
      <c r="AL2182">
        <v>-87.614249999999998</v>
      </c>
      <c r="AM2182">
        <v>100</v>
      </c>
      <c r="AN2182">
        <v>2800</v>
      </c>
      <c r="AO2182" t="s">
        <v>118</v>
      </c>
      <c r="AP2182">
        <v>-60</v>
      </c>
      <c r="AQ2182">
        <v>-129</v>
      </c>
      <c r="AR2182">
        <v>-256</v>
      </c>
      <c r="AZ2182">
        <v>4552</v>
      </c>
      <c r="BA2182">
        <v>1</v>
      </c>
      <c r="BB2182" t="str">
        <f t="shared" si="664"/>
        <v xml:space="preserve">N607SR  </v>
      </c>
      <c r="BC2182">
        <v>1</v>
      </c>
      <c r="BE2182">
        <v>0</v>
      </c>
      <c r="BF2182">
        <v>0</v>
      </c>
      <c r="BG2182">
        <v>0</v>
      </c>
      <c r="BH2182">
        <v>2575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 t="shared" si="661"/>
        <v>06:18:23.038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5</v>
      </c>
      <c r="CP2182" t="s">
        <v>119</v>
      </c>
      <c r="CQ2182">
        <v>517</v>
      </c>
      <c r="CR2182">
        <v>1</v>
      </c>
      <c r="CW2182">
        <v>2484898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 t="shared" ref="A2183:A2188" si="665">"08/29/2020 06:18:20.690"</f>
        <v>08/29/2020 06:18:20.690</v>
      </c>
      <c r="C2183" t="str">
        <f t="shared" si="662"/>
        <v>FFDFD3C0</v>
      </c>
      <c r="D2183" t="s">
        <v>121</v>
      </c>
      <c r="E2183">
        <v>10</v>
      </c>
      <c r="F2183">
        <v>1010</v>
      </c>
      <c r="G2183" t="s">
        <v>114</v>
      </c>
      <c r="J2183" t="s">
        <v>123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ref="S2183:S2188" si="666">"06:18:23.906"</f>
        <v>06:18:23.906</v>
      </c>
      <c r="U2183" t="str">
        <f t="shared" si="663"/>
        <v>A7E2E0</v>
      </c>
      <c r="V2183">
        <v>0</v>
      </c>
      <c r="W2183">
        <v>0</v>
      </c>
      <c r="X2183">
        <v>1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0</v>
      </c>
      <c r="AI2183" t="s">
        <v>1265</v>
      </c>
      <c r="AJ2183">
        <v>38.953679000000001</v>
      </c>
      <c r="AK2183" t="s">
        <v>1266</v>
      </c>
      <c r="AL2183">
        <v>-87.614529000000005</v>
      </c>
      <c r="AM2183">
        <v>100</v>
      </c>
      <c r="AN2183">
        <v>2700</v>
      </c>
      <c r="AO2183" t="s">
        <v>118</v>
      </c>
      <c r="AP2183">
        <v>-55</v>
      </c>
      <c r="AQ2183">
        <v>-132</v>
      </c>
      <c r="AR2183">
        <v>-320</v>
      </c>
      <c r="AZ2183">
        <v>4552</v>
      </c>
      <c r="BA2183">
        <v>1</v>
      </c>
      <c r="BB2183" t="str">
        <f t="shared" si="664"/>
        <v xml:space="preserve">N607SR  </v>
      </c>
      <c r="BC2183">
        <v>1</v>
      </c>
      <c r="BE2183">
        <v>0</v>
      </c>
      <c r="BF2183">
        <v>0</v>
      </c>
      <c r="BG2183">
        <v>0</v>
      </c>
      <c r="BH2183">
        <v>2575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 t="shared" ref="BW2183:BW2188" si="667">"06:18:23.908"</f>
        <v>06:18:23.908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5</v>
      </c>
      <c r="CP2183" t="s">
        <v>119</v>
      </c>
      <c r="CQ2183">
        <v>465</v>
      </c>
      <c r="CR2183">
        <v>0</v>
      </c>
      <c r="CW2183">
        <v>4724730</v>
      </c>
      <c r="CY2183">
        <v>1</v>
      </c>
      <c r="CZ2183">
        <v>0</v>
      </c>
      <c r="DA2183">
        <v>0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 t="shared" si="665"/>
        <v>08/29/2020 06:18:20.690</v>
      </c>
      <c r="C2184" t="str">
        <f t="shared" si="662"/>
        <v>FFDFD3C0</v>
      </c>
      <c r="D2184" t="s">
        <v>939</v>
      </c>
      <c r="E2184">
        <v>10</v>
      </c>
      <c r="H2184">
        <v>79</v>
      </c>
      <c r="I2184" t="s">
        <v>940</v>
      </c>
      <c r="J2184" t="s">
        <v>130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666"/>
        <v>06:18:23.906</v>
      </c>
      <c r="U2184" t="str">
        <f t="shared" si="663"/>
        <v>A7E2E0</v>
      </c>
      <c r="V2184">
        <v>0</v>
      </c>
      <c r="W2184">
        <v>0</v>
      </c>
      <c r="X2184">
        <v>1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0</v>
      </c>
      <c r="AI2184" t="s">
        <v>1265</v>
      </c>
      <c r="AJ2184">
        <v>38.953679000000001</v>
      </c>
      <c r="AK2184" t="s">
        <v>1266</v>
      </c>
      <c r="AL2184">
        <v>-87.614529000000005</v>
      </c>
      <c r="AM2184">
        <v>100</v>
      </c>
      <c r="AN2184">
        <v>2700</v>
      </c>
      <c r="AO2184" t="s">
        <v>118</v>
      </c>
      <c r="AP2184">
        <v>-55</v>
      </c>
      <c r="AQ2184">
        <v>-132</v>
      </c>
      <c r="AR2184">
        <v>-320</v>
      </c>
      <c r="AZ2184">
        <v>4552</v>
      </c>
      <c r="BA2184">
        <v>1</v>
      </c>
      <c r="BB2184" t="str">
        <f t="shared" si="664"/>
        <v xml:space="preserve">N607SR  </v>
      </c>
      <c r="BC2184">
        <v>1</v>
      </c>
      <c r="BE2184">
        <v>0</v>
      </c>
      <c r="BF2184">
        <v>0</v>
      </c>
      <c r="BG2184">
        <v>0</v>
      </c>
      <c r="BH2184">
        <v>2575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 t="shared" si="667"/>
        <v>06:18:23.908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5</v>
      </c>
      <c r="CP2184" t="s">
        <v>119</v>
      </c>
      <c r="CQ2184">
        <v>465</v>
      </c>
      <c r="CR2184">
        <v>0</v>
      </c>
      <c r="CW2184">
        <v>4724730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 t="shared" si="665"/>
        <v>08/29/2020 06:18:20.690</v>
      </c>
      <c r="C2185" t="str">
        <f t="shared" si="662"/>
        <v>FFDFD3C0</v>
      </c>
      <c r="D2185" t="s">
        <v>113</v>
      </c>
      <c r="E2185">
        <v>5</v>
      </c>
      <c r="H2185">
        <v>163</v>
      </c>
      <c r="I2185" t="s">
        <v>114</v>
      </c>
      <c r="J2185" t="s">
        <v>115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666"/>
        <v>06:18:23.906</v>
      </c>
      <c r="U2185" t="str">
        <f t="shared" si="663"/>
        <v>A7E2E0</v>
      </c>
      <c r="V2185">
        <v>0</v>
      </c>
      <c r="W2185">
        <v>0</v>
      </c>
      <c r="X2185">
        <v>1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0</v>
      </c>
      <c r="AI2185" t="s">
        <v>1265</v>
      </c>
      <c r="AJ2185">
        <v>38.953679000000001</v>
      </c>
      <c r="AK2185" t="s">
        <v>1266</v>
      </c>
      <c r="AL2185">
        <v>-87.614529000000005</v>
      </c>
      <c r="AM2185">
        <v>100</v>
      </c>
      <c r="AN2185">
        <v>2700</v>
      </c>
      <c r="AO2185" t="s">
        <v>118</v>
      </c>
      <c r="AP2185">
        <v>-55</v>
      </c>
      <c r="AQ2185">
        <v>-132</v>
      </c>
      <c r="AR2185">
        <v>-320</v>
      </c>
      <c r="AZ2185">
        <v>4552</v>
      </c>
      <c r="BA2185">
        <v>1</v>
      </c>
      <c r="BB2185" t="str">
        <f t="shared" si="664"/>
        <v xml:space="preserve">N607SR  </v>
      </c>
      <c r="BC2185">
        <v>1</v>
      </c>
      <c r="BE2185">
        <v>0</v>
      </c>
      <c r="BF2185">
        <v>0</v>
      </c>
      <c r="BG2185">
        <v>0</v>
      </c>
      <c r="BH2185">
        <v>2575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 t="shared" si="667"/>
        <v>06:18:23.908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5</v>
      </c>
      <c r="CP2185" t="s">
        <v>119</v>
      </c>
      <c r="CQ2185">
        <v>465</v>
      </c>
      <c r="CR2185">
        <v>0</v>
      </c>
      <c r="CW2185">
        <v>4724730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si="665"/>
        <v>08/29/2020 06:18:20.690</v>
      </c>
      <c r="C2186" t="str">
        <f t="shared" si="662"/>
        <v>FFDFD3C0</v>
      </c>
      <c r="D2186" t="s">
        <v>128</v>
      </c>
      <c r="E2186">
        <v>5</v>
      </c>
      <c r="H2186">
        <v>241</v>
      </c>
      <c r="I2186" t="s">
        <v>129</v>
      </c>
      <c r="J2186" t="s">
        <v>130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666"/>
        <v>06:18:23.906</v>
      </c>
      <c r="U2186" t="str">
        <f t="shared" si="663"/>
        <v>A7E2E0</v>
      </c>
      <c r="V2186">
        <v>0</v>
      </c>
      <c r="W2186">
        <v>0</v>
      </c>
      <c r="X2186">
        <v>1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0</v>
      </c>
      <c r="AI2186" t="s">
        <v>1265</v>
      </c>
      <c r="AJ2186">
        <v>38.953679000000001</v>
      </c>
      <c r="AK2186" t="s">
        <v>1266</v>
      </c>
      <c r="AL2186">
        <v>-87.614529000000005</v>
      </c>
      <c r="AM2186">
        <v>100</v>
      </c>
      <c r="AN2186">
        <v>2700</v>
      </c>
      <c r="AO2186" t="s">
        <v>118</v>
      </c>
      <c r="AP2186">
        <v>-55</v>
      </c>
      <c r="AQ2186">
        <v>-132</v>
      </c>
      <c r="AR2186">
        <v>-320</v>
      </c>
      <c r="AZ2186">
        <v>4552</v>
      </c>
      <c r="BA2186">
        <v>1</v>
      </c>
      <c r="BB2186" t="str">
        <f t="shared" si="664"/>
        <v xml:space="preserve">N607SR  </v>
      </c>
      <c r="BC2186">
        <v>1</v>
      </c>
      <c r="BE2186">
        <v>0</v>
      </c>
      <c r="BF2186">
        <v>0</v>
      </c>
      <c r="BG2186">
        <v>0</v>
      </c>
      <c r="BH2186">
        <v>2575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 t="shared" si="667"/>
        <v>06:18:23.908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5</v>
      </c>
      <c r="CP2186" t="s">
        <v>119</v>
      </c>
      <c r="CQ2186">
        <v>465</v>
      </c>
      <c r="CR2186">
        <v>0</v>
      </c>
      <c r="CW2186">
        <v>4724730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665"/>
        <v>08/29/2020 06:18:20.690</v>
      </c>
      <c r="C2187" t="str">
        <f t="shared" si="662"/>
        <v>FFDFD3C0</v>
      </c>
      <c r="D2187" t="s">
        <v>121</v>
      </c>
      <c r="E2187">
        <v>11</v>
      </c>
      <c r="F2187">
        <v>1011</v>
      </c>
      <c r="G2187" t="s">
        <v>125</v>
      </c>
      <c r="J2187" t="s">
        <v>123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666"/>
        <v>06:18:23.906</v>
      </c>
      <c r="T2187" t="str">
        <f>"06:18:23.506"</f>
        <v>06:18:23.506</v>
      </c>
      <c r="U2187" t="str">
        <f t="shared" si="663"/>
        <v>A7E2E0</v>
      </c>
      <c r="V2187">
        <v>0</v>
      </c>
      <c r="W2187">
        <v>0</v>
      </c>
      <c r="X2187">
        <v>1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0</v>
      </c>
      <c r="AI2187" t="s">
        <v>1265</v>
      </c>
      <c r="AJ2187">
        <v>38.953679000000001</v>
      </c>
      <c r="AK2187" t="s">
        <v>1266</v>
      </c>
      <c r="AL2187">
        <v>-87.614529000000005</v>
      </c>
      <c r="AM2187">
        <v>100</v>
      </c>
      <c r="AN2187">
        <v>2700</v>
      </c>
      <c r="AO2187" t="s">
        <v>118</v>
      </c>
      <c r="AP2187">
        <v>-58</v>
      </c>
      <c r="AQ2187">
        <v>-130</v>
      </c>
      <c r="AR2187">
        <v>-256</v>
      </c>
      <c r="AZ2187">
        <v>4552</v>
      </c>
      <c r="BA2187">
        <v>1</v>
      </c>
      <c r="BB2187" t="str">
        <f t="shared" si="664"/>
        <v xml:space="preserve">N607SR  </v>
      </c>
      <c r="BC2187">
        <v>1</v>
      </c>
      <c r="BE2187">
        <v>0</v>
      </c>
      <c r="BF2187">
        <v>0</v>
      </c>
      <c r="BG2187">
        <v>0</v>
      </c>
      <c r="BH2187">
        <v>2475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 t="shared" si="667"/>
        <v>06:18:23.908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4</v>
      </c>
      <c r="CP2187" t="s">
        <v>119</v>
      </c>
      <c r="CQ2187">
        <v>457</v>
      </c>
      <c r="CR2187">
        <v>0</v>
      </c>
      <c r="CW2187">
        <v>15520001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665"/>
        <v>08/29/2020 06:18:20.690</v>
      </c>
      <c r="C2188" t="str">
        <f t="shared" si="662"/>
        <v>FFDFD3C0</v>
      </c>
      <c r="D2188" t="s">
        <v>121</v>
      </c>
      <c r="E2188">
        <v>13</v>
      </c>
      <c r="F2188">
        <v>1013</v>
      </c>
      <c r="G2188" t="s">
        <v>122</v>
      </c>
      <c r="J2188" t="s">
        <v>123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666"/>
        <v>06:18:23.906</v>
      </c>
      <c r="U2188" t="str">
        <f t="shared" si="663"/>
        <v>A7E2E0</v>
      </c>
      <c r="V2188">
        <v>0</v>
      </c>
      <c r="W2188">
        <v>0</v>
      </c>
      <c r="X2188">
        <v>1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0</v>
      </c>
      <c r="AI2188" t="s">
        <v>1265</v>
      </c>
      <c r="AJ2188">
        <v>38.953679000000001</v>
      </c>
      <c r="AK2188" t="s">
        <v>1266</v>
      </c>
      <c r="AL2188">
        <v>-87.614529000000005</v>
      </c>
      <c r="AM2188">
        <v>100</v>
      </c>
      <c r="AN2188">
        <v>2700</v>
      </c>
      <c r="AO2188" t="s">
        <v>118</v>
      </c>
      <c r="AP2188">
        <v>-55</v>
      </c>
      <c r="AQ2188">
        <v>-132</v>
      </c>
      <c r="AR2188">
        <v>-320</v>
      </c>
      <c r="AZ2188">
        <v>4552</v>
      </c>
      <c r="BA2188">
        <v>1</v>
      </c>
      <c r="BB2188" t="str">
        <f t="shared" si="664"/>
        <v xml:space="preserve">N607SR  </v>
      </c>
      <c r="BC2188">
        <v>1</v>
      </c>
      <c r="BE2188">
        <v>0</v>
      </c>
      <c r="BF2188">
        <v>0</v>
      </c>
      <c r="BG2188">
        <v>0</v>
      </c>
      <c r="BH2188">
        <v>2575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 t="shared" si="667"/>
        <v>06:18:23.908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5</v>
      </c>
      <c r="CP2188" t="s">
        <v>119</v>
      </c>
      <c r="CQ2188">
        <v>465</v>
      </c>
      <c r="CR2188">
        <v>0</v>
      </c>
      <c r="CW2188">
        <v>4724730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ref="A2189:A2194" si="668">"08/29/2020 06:18:21.505"</f>
        <v>08/29/2020 06:18:21.505</v>
      </c>
      <c r="C2189" t="str">
        <f t="shared" si="662"/>
        <v>FFDFD3C0</v>
      </c>
      <c r="D2189" t="s">
        <v>939</v>
      </c>
      <c r="E2189">
        <v>10</v>
      </c>
      <c r="H2189">
        <v>79</v>
      </c>
      <c r="I2189" t="s">
        <v>940</v>
      </c>
      <c r="J2189" t="s">
        <v>130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ref="S2189:S2194" si="669">"06:18:24.719"</f>
        <v>06:18:24.719</v>
      </c>
      <c r="U2189" t="str">
        <f t="shared" si="663"/>
        <v>A7E2E0</v>
      </c>
      <c r="V2189">
        <v>0</v>
      </c>
      <c r="W2189">
        <v>0</v>
      </c>
      <c r="X2189">
        <v>1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0</v>
      </c>
      <c r="AI2189" t="s">
        <v>1267</v>
      </c>
      <c r="AJ2189">
        <v>38.953164000000001</v>
      </c>
      <c r="AK2189" t="s">
        <v>1268</v>
      </c>
      <c r="AL2189">
        <v>-87.614829999999998</v>
      </c>
      <c r="AM2189">
        <v>100</v>
      </c>
      <c r="AN2189">
        <v>2700</v>
      </c>
      <c r="AO2189" t="s">
        <v>118</v>
      </c>
      <c r="AP2189">
        <v>-51</v>
      </c>
      <c r="AQ2189">
        <v>-134</v>
      </c>
      <c r="AR2189">
        <v>-384</v>
      </c>
      <c r="AZ2189">
        <v>4552</v>
      </c>
      <c r="BA2189">
        <v>1</v>
      </c>
      <c r="BB2189" t="str">
        <f t="shared" si="664"/>
        <v xml:space="preserve">N607SR  </v>
      </c>
      <c r="BC2189">
        <v>1</v>
      </c>
      <c r="BE2189">
        <v>0</v>
      </c>
      <c r="BF2189">
        <v>0</v>
      </c>
      <c r="BG2189">
        <v>0</v>
      </c>
      <c r="BH2189">
        <v>2575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 t="shared" ref="BW2189:BW2194" si="670">"06:18:24.719"</f>
        <v>06:18:24.719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5</v>
      </c>
      <c r="CP2189" t="s">
        <v>119</v>
      </c>
      <c r="CQ2189">
        <v>465</v>
      </c>
      <c r="CR2189">
        <v>0</v>
      </c>
      <c r="CW2189">
        <v>4724756</v>
      </c>
      <c r="CY2189">
        <v>1</v>
      </c>
      <c r="CZ2189">
        <v>0</v>
      </c>
      <c r="DA2189">
        <v>0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 t="shared" si="668"/>
        <v>08/29/2020 06:18:21.505</v>
      </c>
      <c r="C2190" t="str">
        <f t="shared" si="662"/>
        <v>FFDFD3C0</v>
      </c>
      <c r="D2190" t="s">
        <v>113</v>
      </c>
      <c r="E2190">
        <v>5</v>
      </c>
      <c r="H2190">
        <v>163</v>
      </c>
      <c r="I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669"/>
        <v>06:18:24.719</v>
      </c>
      <c r="U2190" t="str">
        <f t="shared" si="663"/>
        <v>A7E2E0</v>
      </c>
      <c r="V2190">
        <v>0</v>
      </c>
      <c r="W2190">
        <v>0</v>
      </c>
      <c r="X2190">
        <v>1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0</v>
      </c>
      <c r="AI2190" t="s">
        <v>1267</v>
      </c>
      <c r="AJ2190">
        <v>38.953164000000001</v>
      </c>
      <c r="AK2190" t="s">
        <v>1268</v>
      </c>
      <c r="AL2190">
        <v>-87.614829999999998</v>
      </c>
      <c r="AM2190">
        <v>100</v>
      </c>
      <c r="AN2190">
        <v>2700</v>
      </c>
      <c r="AO2190" t="s">
        <v>118</v>
      </c>
      <c r="AP2190">
        <v>-51</v>
      </c>
      <c r="AQ2190">
        <v>-134</v>
      </c>
      <c r="AR2190">
        <v>-384</v>
      </c>
      <c r="AZ2190">
        <v>4552</v>
      </c>
      <c r="BA2190">
        <v>1</v>
      </c>
      <c r="BB2190" t="str">
        <f t="shared" si="664"/>
        <v xml:space="preserve">N607SR  </v>
      </c>
      <c r="BC2190">
        <v>1</v>
      </c>
      <c r="BE2190">
        <v>0</v>
      </c>
      <c r="BF2190">
        <v>0</v>
      </c>
      <c r="BG2190">
        <v>0</v>
      </c>
      <c r="BH2190">
        <v>2575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 t="shared" si="670"/>
        <v>06:18:24.719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5</v>
      </c>
      <c r="CP2190" t="s">
        <v>119</v>
      </c>
      <c r="CQ2190">
        <v>465</v>
      </c>
      <c r="CR2190">
        <v>0</v>
      </c>
      <c r="CW2190">
        <v>4724756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 t="shared" si="668"/>
        <v>08/29/2020 06:18:21.505</v>
      </c>
      <c r="C2191" t="str">
        <f t="shared" si="662"/>
        <v>FFDFD3C0</v>
      </c>
      <c r="D2191" t="s">
        <v>128</v>
      </c>
      <c r="E2191">
        <v>5</v>
      </c>
      <c r="H2191">
        <v>241</v>
      </c>
      <c r="I2191" t="s">
        <v>129</v>
      </c>
      <c r="J2191" t="s">
        <v>130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669"/>
        <v>06:18:24.719</v>
      </c>
      <c r="U2191" t="str">
        <f t="shared" si="663"/>
        <v>A7E2E0</v>
      </c>
      <c r="V2191">
        <v>0</v>
      </c>
      <c r="W2191">
        <v>0</v>
      </c>
      <c r="X2191">
        <v>1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0</v>
      </c>
      <c r="AI2191" t="s">
        <v>1267</v>
      </c>
      <c r="AJ2191">
        <v>38.953164000000001</v>
      </c>
      <c r="AK2191" t="s">
        <v>1268</v>
      </c>
      <c r="AL2191">
        <v>-87.614829999999998</v>
      </c>
      <c r="AM2191">
        <v>100</v>
      </c>
      <c r="AN2191">
        <v>2700</v>
      </c>
      <c r="AO2191" t="s">
        <v>118</v>
      </c>
      <c r="AP2191">
        <v>-51</v>
      </c>
      <c r="AQ2191">
        <v>-134</v>
      </c>
      <c r="AR2191">
        <v>-384</v>
      </c>
      <c r="AZ2191">
        <v>4552</v>
      </c>
      <c r="BA2191">
        <v>1</v>
      </c>
      <c r="BB2191" t="str">
        <f t="shared" si="664"/>
        <v xml:space="preserve">N607SR  </v>
      </c>
      <c r="BC2191">
        <v>1</v>
      </c>
      <c r="BE2191">
        <v>0</v>
      </c>
      <c r="BF2191">
        <v>0</v>
      </c>
      <c r="BG2191">
        <v>0</v>
      </c>
      <c r="BH2191">
        <v>2575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 t="shared" si="670"/>
        <v>06:18:24.719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5</v>
      </c>
      <c r="CP2191" t="s">
        <v>119</v>
      </c>
      <c r="CQ2191">
        <v>465</v>
      </c>
      <c r="CR2191">
        <v>0</v>
      </c>
      <c r="CW2191">
        <v>4724756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 t="shared" si="668"/>
        <v>08/29/2020 06:18:21.505</v>
      </c>
      <c r="C2192" t="str">
        <f t="shared" si="662"/>
        <v>FFDFD3C0</v>
      </c>
      <c r="D2192" t="s">
        <v>121</v>
      </c>
      <c r="E2192">
        <v>11</v>
      </c>
      <c r="F2192">
        <v>1011</v>
      </c>
      <c r="G2192" t="s">
        <v>125</v>
      </c>
      <c r="J2192" t="s">
        <v>123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669"/>
        <v>06:18:24.719</v>
      </c>
      <c r="T2192" t="str">
        <f>"06:18:24.319"</f>
        <v>06:18:24.319</v>
      </c>
      <c r="U2192" t="str">
        <f t="shared" si="663"/>
        <v>A7E2E0</v>
      </c>
      <c r="V2192">
        <v>0</v>
      </c>
      <c r="W2192">
        <v>0</v>
      </c>
      <c r="X2192">
        <v>1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0</v>
      </c>
      <c r="AI2192" t="s">
        <v>1267</v>
      </c>
      <c r="AJ2192">
        <v>38.953164000000001</v>
      </c>
      <c r="AK2192" t="s">
        <v>1268</v>
      </c>
      <c r="AL2192">
        <v>-87.614829999999998</v>
      </c>
      <c r="AM2192">
        <v>100</v>
      </c>
      <c r="AN2192">
        <v>2700</v>
      </c>
      <c r="AO2192" t="s">
        <v>118</v>
      </c>
      <c r="AP2192">
        <v>-53</v>
      </c>
      <c r="AQ2192">
        <v>-133</v>
      </c>
      <c r="AR2192">
        <v>-384</v>
      </c>
      <c r="AZ2192">
        <v>4552</v>
      </c>
      <c r="BA2192">
        <v>1</v>
      </c>
      <c r="BB2192" t="str">
        <f t="shared" si="664"/>
        <v xml:space="preserve">N607SR  </v>
      </c>
      <c r="BC2192">
        <v>1</v>
      </c>
      <c r="BE2192">
        <v>0</v>
      </c>
      <c r="BF2192">
        <v>0</v>
      </c>
      <c r="BG2192">
        <v>0</v>
      </c>
      <c r="BH2192">
        <v>2475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 t="shared" si="670"/>
        <v>06:18:24.719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4</v>
      </c>
      <c r="CP2192" t="s">
        <v>119</v>
      </c>
      <c r="CQ2192">
        <v>457</v>
      </c>
      <c r="CR2192">
        <v>0</v>
      </c>
      <c r="CW2192">
        <v>15520024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 t="shared" si="668"/>
        <v>08/29/2020 06:18:21.505</v>
      </c>
      <c r="C2193" t="str">
        <f t="shared" si="662"/>
        <v>FFDFD3C0</v>
      </c>
      <c r="D2193" t="s">
        <v>121</v>
      </c>
      <c r="E2193">
        <v>13</v>
      </c>
      <c r="F2193">
        <v>1013</v>
      </c>
      <c r="G2193" t="s">
        <v>122</v>
      </c>
      <c r="J2193" t="s">
        <v>123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669"/>
        <v>06:18:24.719</v>
      </c>
      <c r="U2193" t="str">
        <f t="shared" si="663"/>
        <v>A7E2E0</v>
      </c>
      <c r="V2193">
        <v>0</v>
      </c>
      <c r="W2193">
        <v>0</v>
      </c>
      <c r="X2193">
        <v>1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0</v>
      </c>
      <c r="AI2193" t="s">
        <v>1267</v>
      </c>
      <c r="AJ2193">
        <v>38.953164000000001</v>
      </c>
      <c r="AK2193" t="s">
        <v>1268</v>
      </c>
      <c r="AL2193">
        <v>-87.614829999999998</v>
      </c>
      <c r="AM2193">
        <v>100</v>
      </c>
      <c r="AN2193">
        <v>2700</v>
      </c>
      <c r="AO2193" t="s">
        <v>118</v>
      </c>
      <c r="AP2193">
        <v>-51</v>
      </c>
      <c r="AQ2193">
        <v>-134</v>
      </c>
      <c r="AR2193">
        <v>-384</v>
      </c>
      <c r="AZ2193">
        <v>4552</v>
      </c>
      <c r="BA2193">
        <v>1</v>
      </c>
      <c r="BB2193" t="str">
        <f t="shared" si="664"/>
        <v xml:space="preserve">N607SR  </v>
      </c>
      <c r="BC2193">
        <v>1</v>
      </c>
      <c r="BE2193">
        <v>0</v>
      </c>
      <c r="BF2193">
        <v>0</v>
      </c>
      <c r="BG2193">
        <v>0</v>
      </c>
      <c r="BH2193">
        <v>2575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 t="shared" si="670"/>
        <v>06:18:24.719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5</v>
      </c>
      <c r="CP2193" t="s">
        <v>119</v>
      </c>
      <c r="CQ2193">
        <v>465</v>
      </c>
      <c r="CR2193">
        <v>0</v>
      </c>
      <c r="CW2193">
        <v>4724756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 t="shared" si="668"/>
        <v>08/29/2020 06:18:21.505</v>
      </c>
      <c r="C2194" t="str">
        <f t="shared" si="662"/>
        <v>FFDFD3C0</v>
      </c>
      <c r="D2194" t="s">
        <v>121</v>
      </c>
      <c r="E2194">
        <v>10</v>
      </c>
      <c r="F2194">
        <v>1010</v>
      </c>
      <c r="G2194" t="s">
        <v>114</v>
      </c>
      <c r="J2194" t="s">
        <v>123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669"/>
        <v>06:18:24.719</v>
      </c>
      <c r="U2194" t="str">
        <f t="shared" si="663"/>
        <v>A7E2E0</v>
      </c>
      <c r="V2194">
        <v>0</v>
      </c>
      <c r="W2194">
        <v>0</v>
      </c>
      <c r="X2194">
        <v>1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0</v>
      </c>
      <c r="AI2194" t="s">
        <v>1267</v>
      </c>
      <c r="AJ2194">
        <v>38.953164000000001</v>
      </c>
      <c r="AK2194" t="s">
        <v>1268</v>
      </c>
      <c r="AL2194">
        <v>-87.614829999999998</v>
      </c>
      <c r="AM2194">
        <v>100</v>
      </c>
      <c r="AN2194">
        <v>2700</v>
      </c>
      <c r="AO2194" t="s">
        <v>118</v>
      </c>
      <c r="AP2194">
        <v>-51</v>
      </c>
      <c r="AQ2194">
        <v>-134</v>
      </c>
      <c r="AR2194">
        <v>-384</v>
      </c>
      <c r="AZ2194">
        <v>4552</v>
      </c>
      <c r="BA2194">
        <v>1</v>
      </c>
      <c r="BB2194" t="str">
        <f t="shared" si="664"/>
        <v xml:space="preserve">N607SR  </v>
      </c>
      <c r="BC2194">
        <v>1</v>
      </c>
      <c r="BE2194">
        <v>0</v>
      </c>
      <c r="BF2194">
        <v>0</v>
      </c>
      <c r="BG2194">
        <v>0</v>
      </c>
      <c r="BH2194">
        <v>2575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 t="shared" si="670"/>
        <v>06:18:24.719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5</v>
      </c>
      <c r="CP2194" t="s">
        <v>119</v>
      </c>
      <c r="CQ2194">
        <v>465</v>
      </c>
      <c r="CR2194">
        <v>0</v>
      </c>
      <c r="CW2194">
        <v>4724756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 t="shared" ref="A2195:A2200" si="671">"08/29/2020 06:18:22.541"</f>
        <v>08/29/2020 06:18:22.541</v>
      </c>
      <c r="C2195" t="str">
        <f t="shared" si="662"/>
        <v>FFDFD3C0</v>
      </c>
      <c r="D2195" t="s">
        <v>128</v>
      </c>
      <c r="E2195">
        <v>5</v>
      </c>
      <c r="H2195">
        <v>241</v>
      </c>
      <c r="I2195" t="s">
        <v>129</v>
      </c>
      <c r="J2195" t="s">
        <v>130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ref="S2195:S2200" si="672">"06:18:25.789"</f>
        <v>06:18:25.789</v>
      </c>
      <c r="T2195" t="str">
        <f>"06:18:25.289"</f>
        <v>06:18:25.289</v>
      </c>
      <c r="U2195" t="str">
        <f t="shared" si="663"/>
        <v>A7E2E0</v>
      </c>
      <c r="V2195">
        <v>0</v>
      </c>
      <c r="W2195">
        <v>0</v>
      </c>
      <c r="X2195">
        <v>1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0</v>
      </c>
      <c r="AI2195" t="s">
        <v>1269</v>
      </c>
      <c r="AJ2195">
        <v>38.95252</v>
      </c>
      <c r="AK2195" t="s">
        <v>1270</v>
      </c>
      <c r="AL2195">
        <v>-87.615065999999999</v>
      </c>
      <c r="AM2195">
        <v>100</v>
      </c>
      <c r="AN2195">
        <v>2700</v>
      </c>
      <c r="AO2195" t="s">
        <v>118</v>
      </c>
      <c r="AP2195">
        <v>-48</v>
      </c>
      <c r="AQ2195">
        <v>-136</v>
      </c>
      <c r="AR2195">
        <v>-448</v>
      </c>
      <c r="AZ2195">
        <v>4552</v>
      </c>
      <c r="BA2195">
        <v>1</v>
      </c>
      <c r="BB2195" t="str">
        <f t="shared" si="664"/>
        <v xml:space="preserve">N607SR  </v>
      </c>
      <c r="BC2195">
        <v>1</v>
      </c>
      <c r="BE2195">
        <v>0</v>
      </c>
      <c r="BF2195">
        <v>0</v>
      </c>
      <c r="BG2195">
        <v>0</v>
      </c>
      <c r="BH2195">
        <v>2475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 t="shared" ref="BW2195:BW2200" si="673">"06:18:25.791"</f>
        <v>06:18:25.791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465</v>
      </c>
      <c r="CR2195">
        <v>0</v>
      </c>
      <c r="CW2195">
        <v>4724791</v>
      </c>
      <c r="CY2195">
        <v>1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 t="shared" si="671"/>
        <v>08/29/2020 06:18:22.541</v>
      </c>
      <c r="C2196" t="str">
        <f t="shared" si="662"/>
        <v>FFDFD3C0</v>
      </c>
      <c r="D2196" t="s">
        <v>121</v>
      </c>
      <c r="E2196">
        <v>11</v>
      </c>
      <c r="F2196">
        <v>1011</v>
      </c>
      <c r="G2196" t="s">
        <v>125</v>
      </c>
      <c r="J2196" t="s">
        <v>123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672"/>
        <v>06:18:25.789</v>
      </c>
      <c r="T2196" t="str">
        <f>"06:18:24.789"</f>
        <v>06:18:24.789</v>
      </c>
      <c r="U2196" t="str">
        <f t="shared" si="663"/>
        <v>A7E2E0</v>
      </c>
      <c r="V2196">
        <v>0</v>
      </c>
      <c r="W2196">
        <v>0</v>
      </c>
      <c r="X2196">
        <v>1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0</v>
      </c>
      <c r="AI2196" t="s">
        <v>1269</v>
      </c>
      <c r="AJ2196">
        <v>38.95252</v>
      </c>
      <c r="AK2196" t="s">
        <v>1270</v>
      </c>
      <c r="AL2196">
        <v>-87.615065999999999</v>
      </c>
      <c r="AM2196">
        <v>100</v>
      </c>
      <c r="AN2196">
        <v>2700</v>
      </c>
      <c r="AO2196" t="s">
        <v>118</v>
      </c>
      <c r="AP2196">
        <v>-51</v>
      </c>
      <c r="AQ2196">
        <v>-134</v>
      </c>
      <c r="AR2196">
        <v>-384</v>
      </c>
      <c r="AZ2196">
        <v>4552</v>
      </c>
      <c r="BA2196">
        <v>1</v>
      </c>
      <c r="BB2196" t="str">
        <f t="shared" si="664"/>
        <v xml:space="preserve">N607SR  </v>
      </c>
      <c r="BC2196">
        <v>1</v>
      </c>
      <c r="BE2196">
        <v>0</v>
      </c>
      <c r="BF2196">
        <v>0</v>
      </c>
      <c r="BG2196">
        <v>0</v>
      </c>
      <c r="BH2196">
        <v>2575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 t="shared" si="673"/>
        <v>06:18:25.791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2</v>
      </c>
      <c r="CP2196" t="s">
        <v>119</v>
      </c>
      <c r="CQ2196">
        <v>528</v>
      </c>
      <c r="CR2196">
        <v>0</v>
      </c>
      <c r="CW2196">
        <v>13100548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 t="shared" si="671"/>
        <v>08/29/2020 06:18:22.541</v>
      </c>
      <c r="C2197" t="str">
        <f t="shared" si="662"/>
        <v>FFDFD3C0</v>
      </c>
      <c r="D2197" t="s">
        <v>121</v>
      </c>
      <c r="E2197">
        <v>13</v>
      </c>
      <c r="F2197">
        <v>1013</v>
      </c>
      <c r="G2197" t="s">
        <v>122</v>
      </c>
      <c r="J2197" t="s">
        <v>123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672"/>
        <v>06:18:25.789</v>
      </c>
      <c r="T2197" t="str">
        <f>"06:18:25.289"</f>
        <v>06:18:25.289</v>
      </c>
      <c r="U2197" t="str">
        <f t="shared" si="663"/>
        <v>A7E2E0</v>
      </c>
      <c r="V2197">
        <v>0</v>
      </c>
      <c r="W2197">
        <v>0</v>
      </c>
      <c r="X2197">
        <v>1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0</v>
      </c>
      <c r="AI2197" t="s">
        <v>1269</v>
      </c>
      <c r="AJ2197">
        <v>38.95252</v>
      </c>
      <c r="AK2197" t="s">
        <v>1270</v>
      </c>
      <c r="AL2197">
        <v>-87.615065999999999</v>
      </c>
      <c r="AM2197">
        <v>100</v>
      </c>
      <c r="AN2197">
        <v>2700</v>
      </c>
      <c r="AO2197" t="s">
        <v>118</v>
      </c>
      <c r="AP2197">
        <v>-48</v>
      </c>
      <c r="AQ2197">
        <v>-136</v>
      </c>
      <c r="AR2197">
        <v>-448</v>
      </c>
      <c r="AZ2197">
        <v>4552</v>
      </c>
      <c r="BA2197">
        <v>1</v>
      </c>
      <c r="BB2197" t="str">
        <f t="shared" si="664"/>
        <v xml:space="preserve">N607SR  </v>
      </c>
      <c r="BC2197">
        <v>1</v>
      </c>
      <c r="BE2197">
        <v>0</v>
      </c>
      <c r="BF2197">
        <v>0</v>
      </c>
      <c r="BG2197">
        <v>0</v>
      </c>
      <c r="BH2197">
        <v>2475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 t="shared" si="673"/>
        <v>06:18:25.791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465</v>
      </c>
      <c r="CR2197">
        <v>0</v>
      </c>
      <c r="CW2197">
        <v>4724791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 t="shared" si="671"/>
        <v>08/29/2020 06:18:22.541</v>
      </c>
      <c r="C2198" t="str">
        <f t="shared" si="662"/>
        <v>FFDFD3C0</v>
      </c>
      <c r="D2198" t="s">
        <v>121</v>
      </c>
      <c r="E2198">
        <v>10</v>
      </c>
      <c r="F2198">
        <v>1010</v>
      </c>
      <c r="G2198" t="s">
        <v>114</v>
      </c>
      <c r="J2198" t="s">
        <v>123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672"/>
        <v>06:18:25.789</v>
      </c>
      <c r="T2198" t="str">
        <f>"06:18:25.289"</f>
        <v>06:18:25.289</v>
      </c>
      <c r="U2198" t="str">
        <f t="shared" si="663"/>
        <v>A7E2E0</v>
      </c>
      <c r="V2198">
        <v>0</v>
      </c>
      <c r="W2198">
        <v>0</v>
      </c>
      <c r="X2198">
        <v>1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0</v>
      </c>
      <c r="AI2198" t="s">
        <v>1269</v>
      </c>
      <c r="AJ2198">
        <v>38.95252</v>
      </c>
      <c r="AK2198" t="s">
        <v>1270</v>
      </c>
      <c r="AL2198">
        <v>-87.615065999999999</v>
      </c>
      <c r="AM2198">
        <v>100</v>
      </c>
      <c r="AN2198">
        <v>2700</v>
      </c>
      <c r="AO2198" t="s">
        <v>118</v>
      </c>
      <c r="AP2198">
        <v>-48</v>
      </c>
      <c r="AQ2198">
        <v>-136</v>
      </c>
      <c r="AR2198">
        <v>-448</v>
      </c>
      <c r="AZ2198">
        <v>4552</v>
      </c>
      <c r="BA2198">
        <v>1</v>
      </c>
      <c r="BB2198" t="str">
        <f t="shared" si="664"/>
        <v xml:space="preserve">N607SR  </v>
      </c>
      <c r="BC2198">
        <v>1</v>
      </c>
      <c r="BE2198">
        <v>0</v>
      </c>
      <c r="BF2198">
        <v>0</v>
      </c>
      <c r="BG2198">
        <v>0</v>
      </c>
      <c r="BH2198">
        <v>2475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 t="shared" si="673"/>
        <v>06:18:25.791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465</v>
      </c>
      <c r="CR2198">
        <v>0</v>
      </c>
      <c r="CW2198">
        <v>4724791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 t="shared" si="671"/>
        <v>08/29/2020 06:18:22.541</v>
      </c>
      <c r="C2199" t="str">
        <f t="shared" si="662"/>
        <v>FFDFD3C0</v>
      </c>
      <c r="D2199" t="s">
        <v>939</v>
      </c>
      <c r="E2199">
        <v>10</v>
      </c>
      <c r="H2199">
        <v>79</v>
      </c>
      <c r="I2199" t="s">
        <v>940</v>
      </c>
      <c r="J2199" t="s">
        <v>130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672"/>
        <v>06:18:25.789</v>
      </c>
      <c r="T2199" t="str">
        <f>"06:18:25.289"</f>
        <v>06:18:25.289</v>
      </c>
      <c r="U2199" t="str">
        <f t="shared" si="663"/>
        <v>A7E2E0</v>
      </c>
      <c r="V2199">
        <v>0</v>
      </c>
      <c r="W2199">
        <v>0</v>
      </c>
      <c r="X2199">
        <v>1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0</v>
      </c>
      <c r="AI2199" t="s">
        <v>1269</v>
      </c>
      <c r="AJ2199">
        <v>38.95252</v>
      </c>
      <c r="AK2199" t="s">
        <v>1270</v>
      </c>
      <c r="AL2199">
        <v>-87.615065999999999</v>
      </c>
      <c r="AM2199">
        <v>100</v>
      </c>
      <c r="AN2199">
        <v>2700</v>
      </c>
      <c r="AO2199" t="s">
        <v>118</v>
      </c>
      <c r="AP2199">
        <v>-48</v>
      </c>
      <c r="AQ2199">
        <v>-136</v>
      </c>
      <c r="AR2199">
        <v>-448</v>
      </c>
      <c r="AZ2199">
        <v>4552</v>
      </c>
      <c r="BA2199">
        <v>1</v>
      </c>
      <c r="BB2199" t="str">
        <f t="shared" si="664"/>
        <v xml:space="preserve">N607SR  </v>
      </c>
      <c r="BC2199">
        <v>1</v>
      </c>
      <c r="BE2199">
        <v>0</v>
      </c>
      <c r="BF2199">
        <v>0</v>
      </c>
      <c r="BG2199">
        <v>0</v>
      </c>
      <c r="BH2199">
        <v>2475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 t="shared" si="673"/>
        <v>06:18:25.791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465</v>
      </c>
      <c r="CR2199">
        <v>0</v>
      </c>
      <c r="CW2199">
        <v>4724791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si="671"/>
        <v>08/29/2020 06:18:22.541</v>
      </c>
      <c r="C2200" t="str">
        <f t="shared" si="662"/>
        <v>FFDFD3C0</v>
      </c>
      <c r="D2200" t="s">
        <v>113</v>
      </c>
      <c r="E2200">
        <v>5</v>
      </c>
      <c r="H2200">
        <v>163</v>
      </c>
      <c r="I2200" t="s">
        <v>114</v>
      </c>
      <c r="J2200" t="s">
        <v>115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672"/>
        <v>06:18:25.789</v>
      </c>
      <c r="T2200" t="str">
        <f>"06:18:25.289"</f>
        <v>06:18:25.289</v>
      </c>
      <c r="U2200" t="str">
        <f t="shared" si="663"/>
        <v>A7E2E0</v>
      </c>
      <c r="V2200">
        <v>0</v>
      </c>
      <c r="W2200">
        <v>0</v>
      </c>
      <c r="X2200">
        <v>1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0</v>
      </c>
      <c r="AI2200" t="s">
        <v>1269</v>
      </c>
      <c r="AJ2200">
        <v>38.95252</v>
      </c>
      <c r="AK2200" t="s">
        <v>1270</v>
      </c>
      <c r="AL2200">
        <v>-87.615065999999999</v>
      </c>
      <c r="AM2200">
        <v>100</v>
      </c>
      <c r="AN2200">
        <v>2700</v>
      </c>
      <c r="AO2200" t="s">
        <v>118</v>
      </c>
      <c r="AP2200">
        <v>-48</v>
      </c>
      <c r="AQ2200">
        <v>-136</v>
      </c>
      <c r="AR2200">
        <v>-448</v>
      </c>
      <c r="AZ2200">
        <v>4552</v>
      </c>
      <c r="BA2200">
        <v>1</v>
      </c>
      <c r="BB2200" t="str">
        <f t="shared" si="664"/>
        <v xml:space="preserve">N607SR  </v>
      </c>
      <c r="BC2200">
        <v>1</v>
      </c>
      <c r="BE2200">
        <v>0</v>
      </c>
      <c r="BF2200">
        <v>0</v>
      </c>
      <c r="BG2200">
        <v>0</v>
      </c>
      <c r="BH2200">
        <v>2475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 t="shared" si="673"/>
        <v>06:18:25.791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465</v>
      </c>
      <c r="CR2200">
        <v>0</v>
      </c>
      <c r="CW2200">
        <v>4724791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ref="A2201:A2206" si="674">"08/29/2020 06:18:23.550"</f>
        <v>08/29/2020 06:18:23.550</v>
      </c>
      <c r="C2201" t="str">
        <f t="shared" si="662"/>
        <v>FFDFD3C0</v>
      </c>
      <c r="D2201" t="s">
        <v>113</v>
      </c>
      <c r="E2201">
        <v>5</v>
      </c>
      <c r="H2201">
        <v>163</v>
      </c>
      <c r="I2201" t="s">
        <v>114</v>
      </c>
      <c r="J2201" t="s">
        <v>115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ref="S2201:S2206" si="675">"06:18:26.797"</f>
        <v>06:18:26.797</v>
      </c>
      <c r="T2201" t="str">
        <f>"06:18:26.297"</f>
        <v>06:18:26.297</v>
      </c>
      <c r="U2201" t="str">
        <f t="shared" si="663"/>
        <v>A7E2E0</v>
      </c>
      <c r="V2201">
        <v>0</v>
      </c>
      <c r="W2201">
        <v>0</v>
      </c>
      <c r="X2201">
        <v>1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0</v>
      </c>
      <c r="AI2201" t="s">
        <v>1271</v>
      </c>
      <c r="AJ2201">
        <v>38.951898</v>
      </c>
      <c r="AK2201" t="s">
        <v>1272</v>
      </c>
      <c r="AL2201">
        <v>-87.615302</v>
      </c>
      <c r="AM2201">
        <v>100</v>
      </c>
      <c r="AN2201">
        <v>2700</v>
      </c>
      <c r="AO2201" t="s">
        <v>118</v>
      </c>
      <c r="AP2201">
        <v>-42</v>
      </c>
      <c r="AQ2201">
        <v>-139</v>
      </c>
      <c r="AR2201">
        <v>-512</v>
      </c>
      <c r="AZ2201">
        <v>4552</v>
      </c>
      <c r="BA2201">
        <v>1</v>
      </c>
      <c r="BB2201" t="str">
        <f t="shared" si="664"/>
        <v xml:space="preserve">N607SR  </v>
      </c>
      <c r="BC2201">
        <v>1</v>
      </c>
      <c r="BE2201">
        <v>0</v>
      </c>
      <c r="BF2201">
        <v>0</v>
      </c>
      <c r="BG2201">
        <v>0</v>
      </c>
      <c r="BH2201">
        <v>2575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 t="shared" ref="BW2201:BW2206" si="676">"06:18:26.797"</f>
        <v>06:18:26.797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465</v>
      </c>
      <c r="CR2201">
        <v>0</v>
      </c>
      <c r="CW2201">
        <v>4724822</v>
      </c>
      <c r="CY2201">
        <v>1</v>
      </c>
      <c r="CZ2201">
        <v>0</v>
      </c>
      <c r="DA2201">
        <v>0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 t="shared" si="674"/>
        <v>08/29/2020 06:18:23.550</v>
      </c>
      <c r="C2202" t="str">
        <f t="shared" si="662"/>
        <v>FFDFD3C0</v>
      </c>
      <c r="D2202" t="s">
        <v>128</v>
      </c>
      <c r="E2202">
        <v>5</v>
      </c>
      <c r="H2202">
        <v>241</v>
      </c>
      <c r="I2202" t="s">
        <v>129</v>
      </c>
      <c r="J2202" t="s">
        <v>130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675"/>
        <v>06:18:26.797</v>
      </c>
      <c r="T2202" t="str">
        <f>"06:18:26.297"</f>
        <v>06:18:26.297</v>
      </c>
      <c r="U2202" t="str">
        <f t="shared" si="663"/>
        <v>A7E2E0</v>
      </c>
      <c r="V2202">
        <v>0</v>
      </c>
      <c r="W2202">
        <v>0</v>
      </c>
      <c r="X2202">
        <v>1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0</v>
      </c>
      <c r="AI2202" t="s">
        <v>1271</v>
      </c>
      <c r="AJ2202">
        <v>38.951898</v>
      </c>
      <c r="AK2202" t="s">
        <v>1272</v>
      </c>
      <c r="AL2202">
        <v>-87.615302</v>
      </c>
      <c r="AM2202">
        <v>100</v>
      </c>
      <c r="AN2202">
        <v>2700</v>
      </c>
      <c r="AO2202" t="s">
        <v>118</v>
      </c>
      <c r="AP2202">
        <v>-42</v>
      </c>
      <c r="AQ2202">
        <v>-139</v>
      </c>
      <c r="AR2202">
        <v>-512</v>
      </c>
      <c r="AZ2202">
        <v>4552</v>
      </c>
      <c r="BA2202">
        <v>1</v>
      </c>
      <c r="BB2202" t="str">
        <f t="shared" si="664"/>
        <v xml:space="preserve">N607SR  </v>
      </c>
      <c r="BC2202">
        <v>1</v>
      </c>
      <c r="BE2202">
        <v>0</v>
      </c>
      <c r="BF2202">
        <v>0</v>
      </c>
      <c r="BG2202">
        <v>0</v>
      </c>
      <c r="BH2202">
        <v>2575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 t="shared" si="676"/>
        <v>06:18:26.797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465</v>
      </c>
      <c r="CR2202">
        <v>0</v>
      </c>
      <c r="CW2202">
        <v>4724822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 t="shared" si="674"/>
        <v>08/29/2020 06:18:23.550</v>
      </c>
      <c r="C2203" t="str">
        <f t="shared" si="662"/>
        <v>FFDFD3C0</v>
      </c>
      <c r="D2203" t="s">
        <v>121</v>
      </c>
      <c r="E2203">
        <v>11</v>
      </c>
      <c r="F2203">
        <v>1011</v>
      </c>
      <c r="G2203" t="s">
        <v>125</v>
      </c>
      <c r="J2203" t="s">
        <v>123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675"/>
        <v>06:18:26.797</v>
      </c>
      <c r="T2203" t="str">
        <f>"06:18:25.797"</f>
        <v>06:18:25.797</v>
      </c>
      <c r="U2203" t="str">
        <f t="shared" si="663"/>
        <v>A7E2E0</v>
      </c>
      <c r="V2203">
        <v>0</v>
      </c>
      <c r="W2203">
        <v>0</v>
      </c>
      <c r="X2203">
        <v>1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0</v>
      </c>
      <c r="AI2203" t="s">
        <v>1271</v>
      </c>
      <c r="AJ2203">
        <v>38.951898</v>
      </c>
      <c r="AK2203" t="s">
        <v>1272</v>
      </c>
      <c r="AL2203">
        <v>-87.615302</v>
      </c>
      <c r="AM2203">
        <v>100</v>
      </c>
      <c r="AN2203">
        <v>2700</v>
      </c>
      <c r="AO2203" t="s">
        <v>118</v>
      </c>
      <c r="AP2203">
        <v>-45</v>
      </c>
      <c r="AQ2203">
        <v>-137</v>
      </c>
      <c r="AR2203">
        <v>-448</v>
      </c>
      <c r="AZ2203">
        <v>4552</v>
      </c>
      <c r="BA2203">
        <v>1</v>
      </c>
      <c r="BB2203" t="str">
        <f t="shared" si="664"/>
        <v xml:space="preserve">N607SR  </v>
      </c>
      <c r="BC2203">
        <v>1</v>
      </c>
      <c r="BE2203">
        <v>0</v>
      </c>
      <c r="BF2203">
        <v>0</v>
      </c>
      <c r="BG2203">
        <v>0</v>
      </c>
      <c r="BH2203">
        <v>2575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 t="shared" si="676"/>
        <v>06:18:26.797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5</v>
      </c>
      <c r="CP2203" t="s">
        <v>119</v>
      </c>
      <c r="CQ2203">
        <v>457</v>
      </c>
      <c r="CR2203">
        <v>0</v>
      </c>
      <c r="CW2203">
        <v>15520078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 t="shared" si="674"/>
        <v>08/29/2020 06:18:23.550</v>
      </c>
      <c r="C2204" t="str">
        <f t="shared" si="662"/>
        <v>FFDFD3C0</v>
      </c>
      <c r="D2204" t="s">
        <v>121</v>
      </c>
      <c r="E2204">
        <v>13</v>
      </c>
      <c r="F2204">
        <v>1013</v>
      </c>
      <c r="G2204" t="s">
        <v>122</v>
      </c>
      <c r="J2204" t="s">
        <v>123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675"/>
        <v>06:18:26.797</v>
      </c>
      <c r="T2204" t="str">
        <f>"06:18:26.297"</f>
        <v>06:18:26.297</v>
      </c>
      <c r="U2204" t="str">
        <f t="shared" si="663"/>
        <v>A7E2E0</v>
      </c>
      <c r="V2204">
        <v>0</v>
      </c>
      <c r="W2204">
        <v>0</v>
      </c>
      <c r="X2204">
        <v>1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0</v>
      </c>
      <c r="AI2204" t="s">
        <v>1271</v>
      </c>
      <c r="AJ2204">
        <v>38.951898</v>
      </c>
      <c r="AK2204" t="s">
        <v>1272</v>
      </c>
      <c r="AL2204">
        <v>-87.615302</v>
      </c>
      <c r="AM2204">
        <v>100</v>
      </c>
      <c r="AN2204">
        <v>2700</v>
      </c>
      <c r="AO2204" t="s">
        <v>118</v>
      </c>
      <c r="AP2204">
        <v>-42</v>
      </c>
      <c r="AQ2204">
        <v>-139</v>
      </c>
      <c r="AR2204">
        <v>-512</v>
      </c>
      <c r="AZ2204">
        <v>4552</v>
      </c>
      <c r="BA2204">
        <v>1</v>
      </c>
      <c r="BB2204" t="str">
        <f t="shared" si="664"/>
        <v xml:space="preserve">N607SR  </v>
      </c>
      <c r="BC2204">
        <v>1</v>
      </c>
      <c r="BE2204">
        <v>0</v>
      </c>
      <c r="BF2204">
        <v>0</v>
      </c>
      <c r="BG2204">
        <v>0</v>
      </c>
      <c r="BH2204">
        <v>2575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 t="shared" si="676"/>
        <v>06:18:26.797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465</v>
      </c>
      <c r="CR2204">
        <v>0</v>
      </c>
      <c r="CW2204">
        <v>4724822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 t="shared" si="674"/>
        <v>08/29/2020 06:18:23.550</v>
      </c>
      <c r="C2205" t="str">
        <f t="shared" si="662"/>
        <v>FFDFD3C0</v>
      </c>
      <c r="D2205" t="s">
        <v>939</v>
      </c>
      <c r="E2205">
        <v>10</v>
      </c>
      <c r="H2205">
        <v>79</v>
      </c>
      <c r="I2205" t="s">
        <v>940</v>
      </c>
      <c r="J2205" t="s">
        <v>130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675"/>
        <v>06:18:26.797</v>
      </c>
      <c r="T2205" t="str">
        <f>"06:18:26.297"</f>
        <v>06:18:26.297</v>
      </c>
      <c r="U2205" t="str">
        <f t="shared" si="663"/>
        <v>A7E2E0</v>
      </c>
      <c r="V2205">
        <v>0</v>
      </c>
      <c r="W2205">
        <v>0</v>
      </c>
      <c r="X2205">
        <v>1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0</v>
      </c>
      <c r="AI2205" t="s">
        <v>1271</v>
      </c>
      <c r="AJ2205">
        <v>38.951898</v>
      </c>
      <c r="AK2205" t="s">
        <v>1272</v>
      </c>
      <c r="AL2205">
        <v>-87.615302</v>
      </c>
      <c r="AM2205">
        <v>100</v>
      </c>
      <c r="AN2205">
        <v>2700</v>
      </c>
      <c r="AO2205" t="s">
        <v>118</v>
      </c>
      <c r="AP2205">
        <v>-42</v>
      </c>
      <c r="AQ2205">
        <v>-139</v>
      </c>
      <c r="AR2205">
        <v>-512</v>
      </c>
      <c r="AZ2205">
        <v>4552</v>
      </c>
      <c r="BA2205">
        <v>1</v>
      </c>
      <c r="BB2205" t="str">
        <f t="shared" si="664"/>
        <v xml:space="preserve">N607SR  </v>
      </c>
      <c r="BC2205">
        <v>1</v>
      </c>
      <c r="BE2205">
        <v>0</v>
      </c>
      <c r="BF2205">
        <v>0</v>
      </c>
      <c r="BG2205">
        <v>0</v>
      </c>
      <c r="BH2205">
        <v>2575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 t="shared" si="676"/>
        <v>06:18:26.797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465</v>
      </c>
      <c r="CR2205">
        <v>0</v>
      </c>
      <c r="CW2205">
        <v>4724822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 t="shared" si="674"/>
        <v>08/29/2020 06:18:23.550</v>
      </c>
      <c r="C2206" t="str">
        <f t="shared" si="662"/>
        <v>FFDFD3C0</v>
      </c>
      <c r="D2206" t="s">
        <v>121</v>
      </c>
      <c r="E2206">
        <v>10</v>
      </c>
      <c r="F2206">
        <v>1010</v>
      </c>
      <c r="G2206" t="s">
        <v>114</v>
      </c>
      <c r="J2206" t="s">
        <v>123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675"/>
        <v>06:18:26.797</v>
      </c>
      <c r="T2206" t="str">
        <f>"06:18:26.297"</f>
        <v>06:18:26.297</v>
      </c>
      <c r="U2206" t="str">
        <f t="shared" si="663"/>
        <v>A7E2E0</v>
      </c>
      <c r="V2206">
        <v>0</v>
      </c>
      <c r="W2206">
        <v>0</v>
      </c>
      <c r="X2206">
        <v>1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0</v>
      </c>
      <c r="AI2206" t="s">
        <v>1271</v>
      </c>
      <c r="AJ2206">
        <v>38.951898</v>
      </c>
      <c r="AK2206" t="s">
        <v>1272</v>
      </c>
      <c r="AL2206">
        <v>-87.615302</v>
      </c>
      <c r="AM2206">
        <v>100</v>
      </c>
      <c r="AN2206">
        <v>2700</v>
      </c>
      <c r="AO2206" t="s">
        <v>118</v>
      </c>
      <c r="AP2206">
        <v>-42</v>
      </c>
      <c r="AQ2206">
        <v>-139</v>
      </c>
      <c r="AR2206">
        <v>-512</v>
      </c>
      <c r="AZ2206">
        <v>4552</v>
      </c>
      <c r="BA2206">
        <v>1</v>
      </c>
      <c r="BB2206" t="str">
        <f t="shared" si="664"/>
        <v xml:space="preserve">N607SR  </v>
      </c>
      <c r="BC2206">
        <v>1</v>
      </c>
      <c r="BE2206">
        <v>0</v>
      </c>
      <c r="BF2206">
        <v>0</v>
      </c>
      <c r="BG2206">
        <v>0</v>
      </c>
      <c r="BH2206">
        <v>2575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 t="shared" si="676"/>
        <v>06:18:26.797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465</v>
      </c>
      <c r="CR2206">
        <v>0</v>
      </c>
      <c r="CW2206">
        <v>4724822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 t="shared" ref="A2207:A2212" si="677">"08/29/2020 06:18:24.477"</f>
        <v>08/29/2020 06:18:24.477</v>
      </c>
      <c r="C2207" t="str">
        <f t="shared" si="662"/>
        <v>FFDFD3C0</v>
      </c>
      <c r="D2207" t="s">
        <v>121</v>
      </c>
      <c r="E2207">
        <v>13</v>
      </c>
      <c r="F2207">
        <v>1013</v>
      </c>
      <c r="G2207" t="s">
        <v>122</v>
      </c>
      <c r="J2207" t="s">
        <v>123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ref="S2207:S2212" si="678">"06:18:27.695"</f>
        <v>06:18:27.695</v>
      </c>
      <c r="T2207" t="str">
        <f t="shared" ref="T2207:T2212" si="679">"06:18:27.295"</f>
        <v>06:18:27.295</v>
      </c>
      <c r="U2207" t="str">
        <f t="shared" si="663"/>
        <v>A7E2E0</v>
      </c>
      <c r="V2207">
        <v>0</v>
      </c>
      <c r="W2207">
        <v>0</v>
      </c>
      <c r="X2207">
        <v>1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0</v>
      </c>
      <c r="AI2207" t="s">
        <v>1273</v>
      </c>
      <c r="AJ2207">
        <v>38.951275000000003</v>
      </c>
      <c r="AK2207" t="s">
        <v>1274</v>
      </c>
      <c r="AL2207">
        <v>-87.615472999999994</v>
      </c>
      <c r="AM2207">
        <v>100</v>
      </c>
      <c r="AN2207">
        <v>2700</v>
      </c>
      <c r="AO2207" t="s">
        <v>118</v>
      </c>
      <c r="AP2207">
        <v>-35</v>
      </c>
      <c r="AQ2207">
        <v>-142</v>
      </c>
      <c r="AR2207">
        <v>-576</v>
      </c>
      <c r="AZ2207">
        <v>4552</v>
      </c>
      <c r="BA2207">
        <v>1</v>
      </c>
      <c r="BB2207" t="str">
        <f t="shared" si="664"/>
        <v xml:space="preserve">N607SR  </v>
      </c>
      <c r="BC2207">
        <v>1</v>
      </c>
      <c r="BE2207">
        <v>0</v>
      </c>
      <c r="BF2207">
        <v>0</v>
      </c>
      <c r="BG2207">
        <v>0</v>
      </c>
      <c r="BH2207">
        <v>2550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 t="shared" ref="BW2207:BW2212" si="680">"06:18:27.700"</f>
        <v>06:18:27.700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5</v>
      </c>
      <c r="CP2207" t="s">
        <v>119</v>
      </c>
      <c r="CQ2207">
        <v>465</v>
      </c>
      <c r="CR2207">
        <v>0</v>
      </c>
      <c r="CW2207">
        <v>4724851</v>
      </c>
      <c r="CY2207">
        <v>1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 t="shared" si="677"/>
        <v>08/29/2020 06:18:24.477</v>
      </c>
      <c r="C2208" t="str">
        <f t="shared" si="662"/>
        <v>FFDFD3C0</v>
      </c>
      <c r="D2208" t="s">
        <v>121</v>
      </c>
      <c r="E2208">
        <v>10</v>
      </c>
      <c r="F2208">
        <v>1010</v>
      </c>
      <c r="G2208" t="s">
        <v>114</v>
      </c>
      <c r="J2208" t="s">
        <v>123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678"/>
        <v>06:18:27.695</v>
      </c>
      <c r="T2208" t="str">
        <f t="shared" si="679"/>
        <v>06:18:27.295</v>
      </c>
      <c r="U2208" t="str">
        <f t="shared" si="663"/>
        <v>A7E2E0</v>
      </c>
      <c r="V2208">
        <v>0</v>
      </c>
      <c r="W2208">
        <v>0</v>
      </c>
      <c r="X2208">
        <v>1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0</v>
      </c>
      <c r="AI2208" t="s">
        <v>1273</v>
      </c>
      <c r="AJ2208">
        <v>38.951275000000003</v>
      </c>
      <c r="AK2208" t="s">
        <v>1274</v>
      </c>
      <c r="AL2208">
        <v>-87.615472999999994</v>
      </c>
      <c r="AM2208">
        <v>100</v>
      </c>
      <c r="AN2208">
        <v>2700</v>
      </c>
      <c r="AO2208" t="s">
        <v>118</v>
      </c>
      <c r="AP2208">
        <v>-35</v>
      </c>
      <c r="AQ2208">
        <v>-142</v>
      </c>
      <c r="AR2208">
        <v>-576</v>
      </c>
      <c r="AZ2208">
        <v>4552</v>
      </c>
      <c r="BA2208">
        <v>1</v>
      </c>
      <c r="BB2208" t="str">
        <f t="shared" si="664"/>
        <v xml:space="preserve">N607SR  </v>
      </c>
      <c r="BC2208">
        <v>1</v>
      </c>
      <c r="BE2208">
        <v>0</v>
      </c>
      <c r="BF2208">
        <v>0</v>
      </c>
      <c r="BG2208">
        <v>0</v>
      </c>
      <c r="BH2208">
        <v>2550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 t="shared" si="680"/>
        <v>06:18:27.700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5</v>
      </c>
      <c r="CP2208" t="s">
        <v>119</v>
      </c>
      <c r="CQ2208">
        <v>465</v>
      </c>
      <c r="CR2208">
        <v>0</v>
      </c>
      <c r="CW2208">
        <v>4724851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 t="shared" si="677"/>
        <v>08/29/2020 06:18:24.477</v>
      </c>
      <c r="C2209" t="str">
        <f t="shared" si="662"/>
        <v>FFDFD3C0</v>
      </c>
      <c r="D2209" t="s">
        <v>113</v>
      </c>
      <c r="E2209">
        <v>5</v>
      </c>
      <c r="H2209">
        <v>163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678"/>
        <v>06:18:27.695</v>
      </c>
      <c r="T2209" t="str">
        <f t="shared" si="679"/>
        <v>06:18:27.295</v>
      </c>
      <c r="U2209" t="str">
        <f t="shared" si="663"/>
        <v>A7E2E0</v>
      </c>
      <c r="V2209">
        <v>0</v>
      </c>
      <c r="W2209">
        <v>0</v>
      </c>
      <c r="X2209">
        <v>1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0</v>
      </c>
      <c r="AI2209" t="s">
        <v>1273</v>
      </c>
      <c r="AJ2209">
        <v>38.951275000000003</v>
      </c>
      <c r="AK2209" t="s">
        <v>1274</v>
      </c>
      <c r="AL2209">
        <v>-87.615472999999994</v>
      </c>
      <c r="AM2209">
        <v>100</v>
      </c>
      <c r="AN2209">
        <v>2700</v>
      </c>
      <c r="AO2209" t="s">
        <v>118</v>
      </c>
      <c r="AP2209">
        <v>-35</v>
      </c>
      <c r="AQ2209">
        <v>-142</v>
      </c>
      <c r="AR2209">
        <v>-576</v>
      </c>
      <c r="AZ2209">
        <v>4552</v>
      </c>
      <c r="BA2209">
        <v>1</v>
      </c>
      <c r="BB2209" t="str">
        <f t="shared" si="664"/>
        <v xml:space="preserve">N607SR  </v>
      </c>
      <c r="BC2209">
        <v>1</v>
      </c>
      <c r="BE2209">
        <v>0</v>
      </c>
      <c r="BF2209">
        <v>0</v>
      </c>
      <c r="BG2209">
        <v>0</v>
      </c>
      <c r="BH2209">
        <v>2550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 t="shared" si="680"/>
        <v>06:18:27.700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5</v>
      </c>
      <c r="CP2209" t="s">
        <v>119</v>
      </c>
      <c r="CQ2209">
        <v>465</v>
      </c>
      <c r="CR2209">
        <v>0</v>
      </c>
      <c r="CW2209">
        <v>4724851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 t="shared" si="677"/>
        <v>08/29/2020 06:18:24.477</v>
      </c>
      <c r="C2210" t="str">
        <f t="shared" si="662"/>
        <v>FFDFD3C0</v>
      </c>
      <c r="D2210" t="s">
        <v>128</v>
      </c>
      <c r="E2210">
        <v>5</v>
      </c>
      <c r="H2210">
        <v>241</v>
      </c>
      <c r="I2210" t="s">
        <v>129</v>
      </c>
      <c r="J2210" t="s">
        <v>130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678"/>
        <v>06:18:27.695</v>
      </c>
      <c r="T2210" t="str">
        <f t="shared" si="679"/>
        <v>06:18:27.295</v>
      </c>
      <c r="U2210" t="str">
        <f t="shared" si="663"/>
        <v>A7E2E0</v>
      </c>
      <c r="V2210">
        <v>0</v>
      </c>
      <c r="W2210">
        <v>0</v>
      </c>
      <c r="X2210">
        <v>1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0</v>
      </c>
      <c r="AI2210" t="s">
        <v>1273</v>
      </c>
      <c r="AJ2210">
        <v>38.951275000000003</v>
      </c>
      <c r="AK2210" t="s">
        <v>1274</v>
      </c>
      <c r="AL2210">
        <v>-87.615472999999994</v>
      </c>
      <c r="AM2210">
        <v>100</v>
      </c>
      <c r="AN2210">
        <v>2700</v>
      </c>
      <c r="AO2210" t="s">
        <v>118</v>
      </c>
      <c r="AP2210">
        <v>-35</v>
      </c>
      <c r="AQ2210">
        <v>-142</v>
      </c>
      <c r="AR2210">
        <v>-576</v>
      </c>
      <c r="AZ2210">
        <v>4552</v>
      </c>
      <c r="BA2210">
        <v>1</v>
      </c>
      <c r="BB2210" t="str">
        <f t="shared" si="664"/>
        <v xml:space="preserve">N607SR  </v>
      </c>
      <c r="BC2210">
        <v>1</v>
      </c>
      <c r="BE2210">
        <v>0</v>
      </c>
      <c r="BF2210">
        <v>0</v>
      </c>
      <c r="BG2210">
        <v>0</v>
      </c>
      <c r="BH2210">
        <v>2550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 t="shared" si="680"/>
        <v>06:18:27.700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5</v>
      </c>
      <c r="CP2210" t="s">
        <v>119</v>
      </c>
      <c r="CQ2210">
        <v>465</v>
      </c>
      <c r="CR2210">
        <v>0</v>
      </c>
      <c r="CW2210">
        <v>4724851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 t="shared" si="677"/>
        <v>08/29/2020 06:18:24.477</v>
      </c>
      <c r="C2211" t="str">
        <f t="shared" si="662"/>
        <v>FFDFD3C0</v>
      </c>
      <c r="D2211" t="s">
        <v>939</v>
      </c>
      <c r="E2211">
        <v>10</v>
      </c>
      <c r="H2211">
        <v>79</v>
      </c>
      <c r="I2211" t="s">
        <v>940</v>
      </c>
      <c r="J2211" t="s">
        <v>130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678"/>
        <v>06:18:27.695</v>
      </c>
      <c r="T2211" t="str">
        <f t="shared" si="679"/>
        <v>06:18:27.295</v>
      </c>
      <c r="U2211" t="str">
        <f t="shared" si="663"/>
        <v>A7E2E0</v>
      </c>
      <c r="V2211">
        <v>0</v>
      </c>
      <c r="W2211">
        <v>0</v>
      </c>
      <c r="X2211">
        <v>1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0</v>
      </c>
      <c r="AI2211" t="s">
        <v>1273</v>
      </c>
      <c r="AJ2211">
        <v>38.951275000000003</v>
      </c>
      <c r="AK2211" t="s">
        <v>1274</v>
      </c>
      <c r="AL2211">
        <v>-87.615472999999994</v>
      </c>
      <c r="AM2211">
        <v>100</v>
      </c>
      <c r="AN2211">
        <v>2700</v>
      </c>
      <c r="AO2211" t="s">
        <v>118</v>
      </c>
      <c r="AP2211">
        <v>-35</v>
      </c>
      <c r="AQ2211">
        <v>-142</v>
      </c>
      <c r="AR2211">
        <v>-576</v>
      </c>
      <c r="AZ2211">
        <v>4552</v>
      </c>
      <c r="BA2211">
        <v>1</v>
      </c>
      <c r="BB2211" t="str">
        <f t="shared" si="664"/>
        <v xml:space="preserve">N607SR  </v>
      </c>
      <c r="BC2211">
        <v>1</v>
      </c>
      <c r="BE2211">
        <v>0</v>
      </c>
      <c r="BF2211">
        <v>0</v>
      </c>
      <c r="BG2211">
        <v>0</v>
      </c>
      <c r="BH2211">
        <v>2550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 t="shared" si="680"/>
        <v>06:18:27.700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5</v>
      </c>
      <c r="CP2211" t="s">
        <v>119</v>
      </c>
      <c r="CQ2211">
        <v>465</v>
      </c>
      <c r="CR2211">
        <v>0</v>
      </c>
      <c r="CW2211">
        <v>4724851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 t="shared" si="677"/>
        <v>08/29/2020 06:18:24.477</v>
      </c>
      <c r="C2212" t="str">
        <f t="shared" si="662"/>
        <v>FFDFD3C0</v>
      </c>
      <c r="D2212" t="s">
        <v>121</v>
      </c>
      <c r="E2212">
        <v>11</v>
      </c>
      <c r="F2212">
        <v>1011</v>
      </c>
      <c r="G2212" t="s">
        <v>125</v>
      </c>
      <c r="J2212" t="s">
        <v>123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678"/>
        <v>06:18:27.695</v>
      </c>
      <c r="T2212" t="str">
        <f t="shared" si="679"/>
        <v>06:18:27.295</v>
      </c>
      <c r="U2212" t="str">
        <f t="shared" si="663"/>
        <v>A7E2E0</v>
      </c>
      <c r="V2212">
        <v>0</v>
      </c>
      <c r="W2212">
        <v>0</v>
      </c>
      <c r="X2212">
        <v>1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0</v>
      </c>
      <c r="AI2212" t="s">
        <v>1273</v>
      </c>
      <c r="AJ2212">
        <v>38.951275000000003</v>
      </c>
      <c r="AK2212" t="s">
        <v>1274</v>
      </c>
      <c r="AL2212">
        <v>-87.615472999999994</v>
      </c>
      <c r="AM2212">
        <v>100</v>
      </c>
      <c r="AN2212">
        <v>2700</v>
      </c>
      <c r="AO2212" t="s">
        <v>118</v>
      </c>
      <c r="AP2212">
        <v>-35</v>
      </c>
      <c r="AQ2212">
        <v>-142</v>
      </c>
      <c r="AR2212">
        <v>-576</v>
      </c>
      <c r="AZ2212">
        <v>4552</v>
      </c>
      <c r="BA2212">
        <v>1</v>
      </c>
      <c r="BB2212" t="str">
        <f t="shared" si="664"/>
        <v xml:space="preserve">N607SR  </v>
      </c>
      <c r="BC2212">
        <v>1</v>
      </c>
      <c r="BE2212">
        <v>0</v>
      </c>
      <c r="BF2212">
        <v>0</v>
      </c>
      <c r="BG2212">
        <v>0</v>
      </c>
      <c r="BH2212">
        <v>2550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 t="shared" si="680"/>
        <v>06:18:27.700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4</v>
      </c>
      <c r="CP2212" t="s">
        <v>119</v>
      </c>
      <c r="CQ2212">
        <v>457</v>
      </c>
      <c r="CR2212">
        <v>0</v>
      </c>
      <c r="CW2212">
        <v>15520100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"08/29/2020 06:18:25.430"</f>
        <v>08/29/2020 06:18:25.430</v>
      </c>
      <c r="C2213" t="str">
        <f t="shared" si="662"/>
        <v>FFDFD3C0</v>
      </c>
      <c r="D2213" t="s">
        <v>939</v>
      </c>
      <c r="E2213">
        <v>10</v>
      </c>
      <c r="H2213">
        <v>79</v>
      </c>
      <c r="I2213" t="s">
        <v>940</v>
      </c>
      <c r="J2213" t="s">
        <v>130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"06:18:28.656"</f>
        <v>06:18:28.656</v>
      </c>
      <c r="T2213" t="str">
        <f>"06:18:28.256"</f>
        <v>06:18:28.256</v>
      </c>
      <c r="U2213" t="str">
        <f t="shared" si="663"/>
        <v>A7E2E0</v>
      </c>
      <c r="V2213">
        <v>0</v>
      </c>
      <c r="W2213">
        <v>0</v>
      </c>
      <c r="X2213">
        <v>1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0</v>
      </c>
      <c r="AI2213" t="s">
        <v>1275</v>
      </c>
      <c r="AJ2213">
        <v>38.950631999999999</v>
      </c>
      <c r="AK2213" t="s">
        <v>1276</v>
      </c>
      <c r="AL2213">
        <v>-87.615666000000004</v>
      </c>
      <c r="AM2213">
        <v>100</v>
      </c>
      <c r="AN2213">
        <v>2700</v>
      </c>
      <c r="AO2213" t="s">
        <v>118</v>
      </c>
      <c r="AP2213">
        <v>-30</v>
      </c>
      <c r="AQ2213">
        <v>-144</v>
      </c>
      <c r="AR2213">
        <v>-640</v>
      </c>
      <c r="AZ2213">
        <v>4552</v>
      </c>
      <c r="BA2213">
        <v>1</v>
      </c>
      <c r="BB2213" t="str">
        <f t="shared" si="664"/>
        <v xml:space="preserve">N607SR  </v>
      </c>
      <c r="BC2213">
        <v>1</v>
      </c>
      <c r="BE2213">
        <v>0</v>
      </c>
      <c r="BF2213">
        <v>0</v>
      </c>
      <c r="BG2213">
        <v>0</v>
      </c>
      <c r="BH2213">
        <v>2550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"06:18:28.660"</f>
        <v>06:18:28.660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5</v>
      </c>
      <c r="CP2213" t="s">
        <v>119</v>
      </c>
      <c r="CQ2213">
        <v>465</v>
      </c>
      <c r="CR2213">
        <v>0</v>
      </c>
      <c r="CW2213">
        <v>4724885</v>
      </c>
      <c r="CY2213">
        <v>1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"08/29/2020 06:18:25.430"</f>
        <v>08/29/2020 06:18:25.430</v>
      </c>
      <c r="C2214" t="str">
        <f t="shared" si="662"/>
        <v>FFDFD3C0</v>
      </c>
      <c r="D2214" t="s">
        <v>128</v>
      </c>
      <c r="E2214">
        <v>5</v>
      </c>
      <c r="H2214">
        <v>241</v>
      </c>
      <c r="I2214" t="s">
        <v>129</v>
      </c>
      <c r="J2214" t="s">
        <v>130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"06:18:28.656"</f>
        <v>06:18:28.656</v>
      </c>
      <c r="T2214" t="str">
        <f>"06:18:28.256"</f>
        <v>06:18:28.256</v>
      </c>
      <c r="U2214" t="str">
        <f t="shared" si="663"/>
        <v>A7E2E0</v>
      </c>
      <c r="V2214">
        <v>0</v>
      </c>
      <c r="W2214">
        <v>0</v>
      </c>
      <c r="X2214">
        <v>1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0</v>
      </c>
      <c r="AI2214" t="s">
        <v>1275</v>
      </c>
      <c r="AJ2214">
        <v>38.950631999999999</v>
      </c>
      <c r="AK2214" t="s">
        <v>1276</v>
      </c>
      <c r="AL2214">
        <v>-87.615666000000004</v>
      </c>
      <c r="AM2214">
        <v>100</v>
      </c>
      <c r="AN2214">
        <v>2700</v>
      </c>
      <c r="AO2214" t="s">
        <v>118</v>
      </c>
      <c r="AP2214">
        <v>-30</v>
      </c>
      <c r="AQ2214">
        <v>-144</v>
      </c>
      <c r="AR2214">
        <v>-640</v>
      </c>
      <c r="AZ2214">
        <v>4552</v>
      </c>
      <c r="BA2214">
        <v>1</v>
      </c>
      <c r="BB2214" t="str">
        <f t="shared" si="664"/>
        <v xml:space="preserve">N607SR  </v>
      </c>
      <c r="BC2214">
        <v>1</v>
      </c>
      <c r="BE2214">
        <v>0</v>
      </c>
      <c r="BF2214">
        <v>0</v>
      </c>
      <c r="BG2214">
        <v>0</v>
      </c>
      <c r="BH2214">
        <v>2550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"06:18:28.660"</f>
        <v>06:18:28.660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5</v>
      </c>
      <c r="CP2214" t="s">
        <v>119</v>
      </c>
      <c r="CQ2214">
        <v>465</v>
      </c>
      <c r="CR2214">
        <v>0</v>
      </c>
      <c r="CW2214">
        <v>4724885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"08/29/2020 06:18:25.430"</f>
        <v>08/29/2020 06:18:25.430</v>
      </c>
      <c r="C2215" t="str">
        <f t="shared" si="662"/>
        <v>FFDFD3C0</v>
      </c>
      <c r="D2215" t="s">
        <v>113</v>
      </c>
      <c r="E2215">
        <v>5</v>
      </c>
      <c r="H2215">
        <v>163</v>
      </c>
      <c r="I2215" t="s">
        <v>114</v>
      </c>
      <c r="J2215" t="s">
        <v>115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"06:18:28.656"</f>
        <v>06:18:28.656</v>
      </c>
      <c r="T2215" t="str">
        <f>"06:18:28.256"</f>
        <v>06:18:28.256</v>
      </c>
      <c r="U2215" t="str">
        <f t="shared" si="663"/>
        <v>A7E2E0</v>
      </c>
      <c r="V2215">
        <v>0</v>
      </c>
      <c r="W2215">
        <v>0</v>
      </c>
      <c r="X2215">
        <v>1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0</v>
      </c>
      <c r="AI2215" t="s">
        <v>1275</v>
      </c>
      <c r="AJ2215">
        <v>38.950631999999999</v>
      </c>
      <c r="AK2215" t="s">
        <v>1276</v>
      </c>
      <c r="AL2215">
        <v>-87.615666000000004</v>
      </c>
      <c r="AM2215">
        <v>100</v>
      </c>
      <c r="AN2215">
        <v>2700</v>
      </c>
      <c r="AO2215" t="s">
        <v>118</v>
      </c>
      <c r="AP2215">
        <v>-30</v>
      </c>
      <c r="AQ2215">
        <v>-144</v>
      </c>
      <c r="AR2215">
        <v>-640</v>
      </c>
      <c r="AZ2215">
        <v>4552</v>
      </c>
      <c r="BA2215">
        <v>1</v>
      </c>
      <c r="BB2215" t="str">
        <f t="shared" si="664"/>
        <v xml:space="preserve">N607SR  </v>
      </c>
      <c r="BC2215">
        <v>1</v>
      </c>
      <c r="BE2215">
        <v>0</v>
      </c>
      <c r="BF2215">
        <v>0</v>
      </c>
      <c r="BG2215">
        <v>0</v>
      </c>
      <c r="BH2215">
        <v>2550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"06:18:28.660"</f>
        <v>06:18:28.660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5</v>
      </c>
      <c r="CP2215" t="s">
        <v>119</v>
      </c>
      <c r="CQ2215">
        <v>465</v>
      </c>
      <c r="CR2215">
        <v>0</v>
      </c>
      <c r="CW2215">
        <v>4724885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"08/29/2020 06:18:25.430"</f>
        <v>08/29/2020 06:18:25.430</v>
      </c>
      <c r="C2216" t="str">
        <f t="shared" si="662"/>
        <v>FFDFD3C0</v>
      </c>
      <c r="D2216" t="s">
        <v>121</v>
      </c>
      <c r="E2216">
        <v>13</v>
      </c>
      <c r="F2216">
        <v>1013</v>
      </c>
      <c r="G2216" t="s">
        <v>122</v>
      </c>
      <c r="J2216" t="s">
        <v>123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"06:18:28.656"</f>
        <v>06:18:28.656</v>
      </c>
      <c r="T2216" t="str">
        <f>"06:18:28.256"</f>
        <v>06:18:28.256</v>
      </c>
      <c r="U2216" t="str">
        <f t="shared" si="663"/>
        <v>A7E2E0</v>
      </c>
      <c r="V2216">
        <v>0</v>
      </c>
      <c r="W2216">
        <v>0</v>
      </c>
      <c r="X2216">
        <v>1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0</v>
      </c>
      <c r="AI2216" t="s">
        <v>1275</v>
      </c>
      <c r="AJ2216">
        <v>38.950631999999999</v>
      </c>
      <c r="AK2216" t="s">
        <v>1276</v>
      </c>
      <c r="AL2216">
        <v>-87.615666000000004</v>
      </c>
      <c r="AM2216">
        <v>100</v>
      </c>
      <c r="AN2216">
        <v>2700</v>
      </c>
      <c r="AO2216" t="s">
        <v>118</v>
      </c>
      <c r="AP2216">
        <v>-30</v>
      </c>
      <c r="AQ2216">
        <v>-144</v>
      </c>
      <c r="AR2216">
        <v>-640</v>
      </c>
      <c r="AZ2216">
        <v>4552</v>
      </c>
      <c r="BA2216">
        <v>1</v>
      </c>
      <c r="BB2216" t="str">
        <f t="shared" si="664"/>
        <v xml:space="preserve">N607SR  </v>
      </c>
      <c r="BC2216">
        <v>1</v>
      </c>
      <c r="BE2216">
        <v>0</v>
      </c>
      <c r="BF2216">
        <v>0</v>
      </c>
      <c r="BG2216">
        <v>0</v>
      </c>
      <c r="BH2216">
        <v>2550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>"06:18:28.660"</f>
        <v>06:18:28.660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5</v>
      </c>
      <c r="CP2216" t="s">
        <v>119</v>
      </c>
      <c r="CQ2216">
        <v>465</v>
      </c>
      <c r="CR2216">
        <v>0</v>
      </c>
      <c r="CW2216">
        <v>4724885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"08/29/2020 06:18:25.430"</f>
        <v>08/29/2020 06:18:25.430</v>
      </c>
      <c r="C2217" t="str">
        <f t="shared" si="662"/>
        <v>FFDFD3C0</v>
      </c>
      <c r="D2217" t="s">
        <v>121</v>
      </c>
      <c r="E2217">
        <v>10</v>
      </c>
      <c r="F2217">
        <v>1010</v>
      </c>
      <c r="G2217" t="s">
        <v>114</v>
      </c>
      <c r="J2217" t="s">
        <v>123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"06:18:28.656"</f>
        <v>06:18:28.656</v>
      </c>
      <c r="T2217" t="str">
        <f>"06:18:28.256"</f>
        <v>06:18:28.256</v>
      </c>
      <c r="U2217" t="str">
        <f t="shared" si="663"/>
        <v>A7E2E0</v>
      </c>
      <c r="V2217">
        <v>0</v>
      </c>
      <c r="W2217">
        <v>0</v>
      </c>
      <c r="X2217">
        <v>1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0</v>
      </c>
      <c r="AI2217" t="s">
        <v>1275</v>
      </c>
      <c r="AJ2217">
        <v>38.950631999999999</v>
      </c>
      <c r="AK2217" t="s">
        <v>1276</v>
      </c>
      <c r="AL2217">
        <v>-87.615666000000004</v>
      </c>
      <c r="AM2217">
        <v>100</v>
      </c>
      <c r="AN2217">
        <v>2700</v>
      </c>
      <c r="AO2217" t="s">
        <v>118</v>
      </c>
      <c r="AP2217">
        <v>-30</v>
      </c>
      <c r="AQ2217">
        <v>-144</v>
      </c>
      <c r="AR2217">
        <v>-640</v>
      </c>
      <c r="AZ2217">
        <v>4552</v>
      </c>
      <c r="BA2217">
        <v>1</v>
      </c>
      <c r="BB2217" t="str">
        <f t="shared" si="664"/>
        <v xml:space="preserve">N607SR  </v>
      </c>
      <c r="BC2217">
        <v>1</v>
      </c>
      <c r="BE2217">
        <v>0</v>
      </c>
      <c r="BF2217">
        <v>0</v>
      </c>
      <c r="BG2217">
        <v>0</v>
      </c>
      <c r="BH2217">
        <v>2550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>"06:18:28.660"</f>
        <v>06:18:28.660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5</v>
      </c>
      <c r="CP2217" t="s">
        <v>119</v>
      </c>
      <c r="CQ2217">
        <v>465</v>
      </c>
      <c r="CR2217">
        <v>0</v>
      </c>
      <c r="CW2217">
        <v>4724885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 t="shared" ref="A2218:A2223" si="681">"08/29/2020 06:18:26.438"</f>
        <v>08/29/2020 06:18:26.438</v>
      </c>
      <c r="C2218" t="str">
        <f t="shared" si="662"/>
        <v>FFDFD3C0</v>
      </c>
      <c r="D2218" t="s">
        <v>939</v>
      </c>
      <c r="E2218">
        <v>10</v>
      </c>
      <c r="H2218">
        <v>79</v>
      </c>
      <c r="I2218" t="s">
        <v>940</v>
      </c>
      <c r="J2218" t="s">
        <v>130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ref="S2218:S2223" si="682">"06:18:29.656"</f>
        <v>06:18:29.656</v>
      </c>
      <c r="T2218" t="str">
        <f>"06:18:28.756"</f>
        <v>06:18:28.756</v>
      </c>
      <c r="U2218" t="str">
        <f t="shared" si="663"/>
        <v>A7E2E0</v>
      </c>
      <c r="V2218">
        <v>0</v>
      </c>
      <c r="W2218">
        <v>0</v>
      </c>
      <c r="X2218">
        <v>1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0</v>
      </c>
      <c r="AI2218" t="s">
        <v>1277</v>
      </c>
      <c r="AJ2218">
        <v>38.949924000000003</v>
      </c>
      <c r="AK2218" t="s">
        <v>1278</v>
      </c>
      <c r="AL2218">
        <v>-87.615774000000002</v>
      </c>
      <c r="AM2218">
        <v>100</v>
      </c>
      <c r="AN2218">
        <v>2700</v>
      </c>
      <c r="AO2218" t="s">
        <v>118</v>
      </c>
      <c r="AP2218">
        <v>-27</v>
      </c>
      <c r="AQ2218">
        <v>-146</v>
      </c>
      <c r="AR2218">
        <v>-640</v>
      </c>
      <c r="AZ2218">
        <v>4552</v>
      </c>
      <c r="BA2218">
        <v>1</v>
      </c>
      <c r="BB2218" t="str">
        <f t="shared" si="664"/>
        <v xml:space="preserve">N607SR  </v>
      </c>
      <c r="BC2218">
        <v>1</v>
      </c>
      <c r="BE2218">
        <v>0</v>
      </c>
      <c r="BF2218">
        <v>0</v>
      </c>
      <c r="BG2218">
        <v>0</v>
      </c>
      <c r="BH2218">
        <v>2550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 t="shared" ref="BW2218:BW2223" si="683">"06:18:29.663"</f>
        <v>06:18:29.663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5</v>
      </c>
      <c r="CP2218" t="s">
        <v>119</v>
      </c>
      <c r="CQ2218">
        <v>465</v>
      </c>
      <c r="CR2218">
        <v>0</v>
      </c>
      <c r="CW2218">
        <v>4724918</v>
      </c>
      <c r="CY2218">
        <v>1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 t="shared" si="681"/>
        <v>08/29/2020 06:18:26.438</v>
      </c>
      <c r="C2219" t="str">
        <f t="shared" si="662"/>
        <v>FFDFD3C0</v>
      </c>
      <c r="D2219" t="s">
        <v>128</v>
      </c>
      <c r="E2219">
        <v>5</v>
      </c>
      <c r="H2219">
        <v>241</v>
      </c>
      <c r="I2219" t="s">
        <v>129</v>
      </c>
      <c r="J2219" t="s">
        <v>130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682"/>
        <v>06:18:29.656</v>
      </c>
      <c r="U2219" t="str">
        <f t="shared" si="663"/>
        <v>A7E2E0</v>
      </c>
      <c r="V2219">
        <v>0</v>
      </c>
      <c r="W2219">
        <v>0</v>
      </c>
      <c r="X2219">
        <v>1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0</v>
      </c>
      <c r="AI2219" t="s">
        <v>1277</v>
      </c>
      <c r="AJ2219">
        <v>38.949924000000003</v>
      </c>
      <c r="AK2219" t="s">
        <v>1278</v>
      </c>
      <c r="AL2219">
        <v>-87.615774000000002</v>
      </c>
      <c r="AM2219">
        <v>100</v>
      </c>
      <c r="AN2219">
        <v>2700</v>
      </c>
      <c r="AO2219" t="s">
        <v>118</v>
      </c>
      <c r="AP2219">
        <v>-21</v>
      </c>
      <c r="AQ2219">
        <v>-148</v>
      </c>
      <c r="AR2219">
        <v>-704</v>
      </c>
      <c r="AZ2219">
        <v>4552</v>
      </c>
      <c r="BA2219">
        <v>1</v>
      </c>
      <c r="BB2219" t="str">
        <f t="shared" si="664"/>
        <v xml:space="preserve">N607SR  </v>
      </c>
      <c r="BC2219">
        <v>1</v>
      </c>
      <c r="BE2219">
        <v>0</v>
      </c>
      <c r="BF2219">
        <v>0</v>
      </c>
      <c r="BG2219">
        <v>0</v>
      </c>
      <c r="BH2219">
        <v>2525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 t="shared" si="683"/>
        <v>06:18:29.663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5</v>
      </c>
      <c r="CP2219" t="s">
        <v>119</v>
      </c>
      <c r="CQ2219">
        <v>517</v>
      </c>
      <c r="CR2219">
        <v>1</v>
      </c>
      <c r="CW2219">
        <v>2485085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 t="shared" si="681"/>
        <v>08/29/2020 06:18:26.438</v>
      </c>
      <c r="C2220" t="str">
        <f t="shared" si="662"/>
        <v>FFDFD3C0</v>
      </c>
      <c r="D2220" t="s">
        <v>113</v>
      </c>
      <c r="E2220">
        <v>5</v>
      </c>
      <c r="H2220">
        <v>163</v>
      </c>
      <c r="I2220" t="s">
        <v>114</v>
      </c>
      <c r="J2220" t="s">
        <v>115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682"/>
        <v>06:18:29.656</v>
      </c>
      <c r="U2220" t="str">
        <f t="shared" si="663"/>
        <v>A7E2E0</v>
      </c>
      <c r="V2220">
        <v>0</v>
      </c>
      <c r="W2220">
        <v>0</v>
      </c>
      <c r="X2220">
        <v>1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0</v>
      </c>
      <c r="AI2220" t="s">
        <v>1277</v>
      </c>
      <c r="AJ2220">
        <v>38.949924000000003</v>
      </c>
      <c r="AK2220" t="s">
        <v>1278</v>
      </c>
      <c r="AL2220">
        <v>-87.615774000000002</v>
      </c>
      <c r="AM2220">
        <v>100</v>
      </c>
      <c r="AN2220">
        <v>2700</v>
      </c>
      <c r="AO2220" t="s">
        <v>118</v>
      </c>
      <c r="AP2220">
        <v>-21</v>
      </c>
      <c r="AQ2220">
        <v>-148</v>
      </c>
      <c r="AR2220">
        <v>-704</v>
      </c>
      <c r="AZ2220">
        <v>4552</v>
      </c>
      <c r="BA2220">
        <v>1</v>
      </c>
      <c r="BB2220" t="str">
        <f t="shared" si="664"/>
        <v xml:space="preserve">N607SR  </v>
      </c>
      <c r="BC2220">
        <v>1</v>
      </c>
      <c r="BE2220">
        <v>0</v>
      </c>
      <c r="BF2220">
        <v>0</v>
      </c>
      <c r="BG2220">
        <v>0</v>
      </c>
      <c r="BH2220">
        <v>2525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 t="shared" si="683"/>
        <v>06:18:29.663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5</v>
      </c>
      <c r="CP2220" t="s">
        <v>119</v>
      </c>
      <c r="CQ2220">
        <v>517</v>
      </c>
      <c r="CR2220">
        <v>1</v>
      </c>
      <c r="CW2220">
        <v>2485085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 t="shared" si="681"/>
        <v>08/29/2020 06:18:26.438</v>
      </c>
      <c r="C2221" t="str">
        <f t="shared" si="662"/>
        <v>FFDFD3C0</v>
      </c>
      <c r="D2221" t="s">
        <v>121</v>
      </c>
      <c r="E2221">
        <v>10</v>
      </c>
      <c r="F2221">
        <v>1010</v>
      </c>
      <c r="G2221" t="s">
        <v>114</v>
      </c>
      <c r="J2221" t="s">
        <v>123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682"/>
        <v>06:18:29.656</v>
      </c>
      <c r="U2221" t="str">
        <f t="shared" si="663"/>
        <v>A7E2E0</v>
      </c>
      <c r="V2221">
        <v>0</v>
      </c>
      <c r="W2221">
        <v>0</v>
      </c>
      <c r="X2221">
        <v>1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0</v>
      </c>
      <c r="AI2221" t="s">
        <v>1277</v>
      </c>
      <c r="AJ2221">
        <v>38.949924000000003</v>
      </c>
      <c r="AK2221" t="s">
        <v>1278</v>
      </c>
      <c r="AL2221">
        <v>-87.615774000000002</v>
      </c>
      <c r="AM2221">
        <v>100</v>
      </c>
      <c r="AN2221">
        <v>2700</v>
      </c>
      <c r="AO2221" t="s">
        <v>118</v>
      </c>
      <c r="AP2221">
        <v>-21</v>
      </c>
      <c r="AQ2221">
        <v>-148</v>
      </c>
      <c r="AR2221">
        <v>-704</v>
      </c>
      <c r="AZ2221">
        <v>4552</v>
      </c>
      <c r="BA2221">
        <v>1</v>
      </c>
      <c r="BB2221" t="str">
        <f t="shared" si="664"/>
        <v xml:space="preserve">N607SR  </v>
      </c>
      <c r="BC2221">
        <v>1</v>
      </c>
      <c r="BE2221">
        <v>0</v>
      </c>
      <c r="BF2221">
        <v>0</v>
      </c>
      <c r="BG2221">
        <v>0</v>
      </c>
      <c r="BH2221">
        <v>2525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 t="shared" si="683"/>
        <v>06:18:29.663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5</v>
      </c>
      <c r="CP2221" t="s">
        <v>119</v>
      </c>
      <c r="CQ2221">
        <v>517</v>
      </c>
      <c r="CR2221">
        <v>1</v>
      </c>
      <c r="CW2221">
        <v>2485085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 t="shared" si="681"/>
        <v>08/29/2020 06:18:26.438</v>
      </c>
      <c r="C2222" t="str">
        <f t="shared" si="662"/>
        <v>FFDFD3C0</v>
      </c>
      <c r="D2222" t="s">
        <v>121</v>
      </c>
      <c r="E2222">
        <v>13</v>
      </c>
      <c r="F2222">
        <v>1013</v>
      </c>
      <c r="G2222" t="s">
        <v>122</v>
      </c>
      <c r="J2222" t="s">
        <v>123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682"/>
        <v>06:18:29.656</v>
      </c>
      <c r="U2222" t="str">
        <f t="shared" si="663"/>
        <v>A7E2E0</v>
      </c>
      <c r="V2222">
        <v>0</v>
      </c>
      <c r="W2222">
        <v>0</v>
      </c>
      <c r="X2222">
        <v>1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0</v>
      </c>
      <c r="AI2222" t="s">
        <v>1277</v>
      </c>
      <c r="AJ2222">
        <v>38.949924000000003</v>
      </c>
      <c r="AK2222" t="s">
        <v>1278</v>
      </c>
      <c r="AL2222">
        <v>-87.615774000000002</v>
      </c>
      <c r="AM2222">
        <v>100</v>
      </c>
      <c r="AN2222">
        <v>2700</v>
      </c>
      <c r="AO2222" t="s">
        <v>118</v>
      </c>
      <c r="AP2222">
        <v>-21</v>
      </c>
      <c r="AQ2222">
        <v>-148</v>
      </c>
      <c r="AR2222">
        <v>-704</v>
      </c>
      <c r="AZ2222">
        <v>4552</v>
      </c>
      <c r="BA2222">
        <v>1</v>
      </c>
      <c r="BB2222" t="str">
        <f t="shared" si="664"/>
        <v xml:space="preserve">N607SR  </v>
      </c>
      <c r="BC2222">
        <v>1</v>
      </c>
      <c r="BE2222">
        <v>0</v>
      </c>
      <c r="BF2222">
        <v>0</v>
      </c>
      <c r="BG2222">
        <v>0</v>
      </c>
      <c r="BH2222">
        <v>2525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 t="shared" si="683"/>
        <v>06:18:29.663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5</v>
      </c>
      <c r="CP2222" t="s">
        <v>119</v>
      </c>
      <c r="CQ2222">
        <v>517</v>
      </c>
      <c r="CR2222">
        <v>1</v>
      </c>
      <c r="CW2222">
        <v>2485085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 t="shared" si="681"/>
        <v>08/29/2020 06:18:26.438</v>
      </c>
      <c r="C2223" t="str">
        <f t="shared" si="662"/>
        <v>FFDFD3C0</v>
      </c>
      <c r="D2223" t="s">
        <v>121</v>
      </c>
      <c r="E2223">
        <v>11</v>
      </c>
      <c r="F2223">
        <v>1011</v>
      </c>
      <c r="G2223" t="s">
        <v>125</v>
      </c>
      <c r="J2223" t="s">
        <v>123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682"/>
        <v>06:18:29.656</v>
      </c>
      <c r="T2223" t="str">
        <f>"06:18:28.756"</f>
        <v>06:18:28.756</v>
      </c>
      <c r="U2223" t="str">
        <f t="shared" si="663"/>
        <v>A7E2E0</v>
      </c>
      <c r="V2223">
        <v>0</v>
      </c>
      <c r="W2223">
        <v>0</v>
      </c>
      <c r="X2223">
        <v>1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0</v>
      </c>
      <c r="AI2223" t="s">
        <v>1277</v>
      </c>
      <c r="AJ2223">
        <v>38.949924000000003</v>
      </c>
      <c r="AK2223" t="s">
        <v>1278</v>
      </c>
      <c r="AL2223">
        <v>-87.615774000000002</v>
      </c>
      <c r="AM2223">
        <v>100</v>
      </c>
      <c r="AN2223">
        <v>2700</v>
      </c>
      <c r="AO2223" t="s">
        <v>118</v>
      </c>
      <c r="AP2223">
        <v>-27</v>
      </c>
      <c r="AQ2223">
        <v>-146</v>
      </c>
      <c r="AR2223">
        <v>-640</v>
      </c>
      <c r="AZ2223">
        <v>4552</v>
      </c>
      <c r="BA2223">
        <v>1</v>
      </c>
      <c r="BB2223" t="str">
        <f t="shared" si="664"/>
        <v xml:space="preserve">N607SR  </v>
      </c>
      <c r="BC2223">
        <v>1</v>
      </c>
      <c r="BE2223">
        <v>0</v>
      </c>
      <c r="BF2223">
        <v>0</v>
      </c>
      <c r="BG2223">
        <v>0</v>
      </c>
      <c r="BH2223">
        <v>2550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 t="shared" si="683"/>
        <v>06:18:29.663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4</v>
      </c>
      <c r="CP2223" t="s">
        <v>119</v>
      </c>
      <c r="CQ2223">
        <v>457</v>
      </c>
      <c r="CR2223">
        <v>0</v>
      </c>
      <c r="CW2223">
        <v>15520154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 t="shared" ref="A2224:A2229" si="684">"08/29/2020 06:18:27.342"</f>
        <v>08/29/2020 06:18:27.342</v>
      </c>
      <c r="C2224" t="str">
        <f t="shared" si="662"/>
        <v>FFDFD3C0</v>
      </c>
      <c r="D2224" t="s">
        <v>939</v>
      </c>
      <c r="E2224">
        <v>10</v>
      </c>
      <c r="H2224">
        <v>79</v>
      </c>
      <c r="I2224" t="s">
        <v>940</v>
      </c>
      <c r="J2224" t="s">
        <v>130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ref="S2224:S2229" si="685">"06:18:30.563"</f>
        <v>06:18:30.563</v>
      </c>
      <c r="T2224" t="str">
        <f>"06:18:30.263"</f>
        <v>06:18:30.263</v>
      </c>
      <c r="U2224" t="str">
        <f t="shared" si="663"/>
        <v>A7E2E0</v>
      </c>
      <c r="V2224">
        <v>0</v>
      </c>
      <c r="W2224">
        <v>0</v>
      </c>
      <c r="X2224">
        <v>1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0</v>
      </c>
      <c r="AI2224" t="s">
        <v>1279</v>
      </c>
      <c r="AJ2224">
        <v>38.949323</v>
      </c>
      <c r="AK2224" t="s">
        <v>1280</v>
      </c>
      <c r="AL2224">
        <v>-87.615902000000006</v>
      </c>
      <c r="AM2224">
        <v>100</v>
      </c>
      <c r="AN2224">
        <v>2700</v>
      </c>
      <c r="AO2224" t="s">
        <v>118</v>
      </c>
      <c r="AP2224">
        <v>-19</v>
      </c>
      <c r="AQ2224">
        <v>-148</v>
      </c>
      <c r="AR2224">
        <v>-704</v>
      </c>
      <c r="AZ2224">
        <v>4552</v>
      </c>
      <c r="BA2224">
        <v>1</v>
      </c>
      <c r="BB2224" t="str">
        <f t="shared" si="664"/>
        <v xml:space="preserve">N607SR  </v>
      </c>
      <c r="BC2224">
        <v>1</v>
      </c>
      <c r="BE2224">
        <v>0</v>
      </c>
      <c r="BF2224">
        <v>0</v>
      </c>
      <c r="BG2224">
        <v>0</v>
      </c>
      <c r="BH2224">
        <v>2525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 t="shared" ref="BW2224:BW2229" si="686">"06:18:30.564"</f>
        <v>06:18:30.564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6</v>
      </c>
      <c r="CP2224" t="s">
        <v>119</v>
      </c>
      <c r="CQ2224">
        <v>465</v>
      </c>
      <c r="CR2224">
        <v>0</v>
      </c>
      <c r="CW2224">
        <v>4724946</v>
      </c>
      <c r="CY2224">
        <v>1</v>
      </c>
      <c r="CZ2224">
        <v>0</v>
      </c>
      <c r="DA2224">
        <v>0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 t="shared" si="684"/>
        <v>08/29/2020 06:18:27.342</v>
      </c>
      <c r="C2225" t="str">
        <f t="shared" si="662"/>
        <v>FFDFD3C0</v>
      </c>
      <c r="D2225" t="s">
        <v>113</v>
      </c>
      <c r="E2225">
        <v>5</v>
      </c>
      <c r="H2225">
        <v>163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685"/>
        <v>06:18:30.563</v>
      </c>
      <c r="T2225" t="str">
        <f>"06:18:30.263"</f>
        <v>06:18:30.263</v>
      </c>
      <c r="U2225" t="str">
        <f t="shared" si="663"/>
        <v>A7E2E0</v>
      </c>
      <c r="V2225">
        <v>0</v>
      </c>
      <c r="W2225">
        <v>0</v>
      </c>
      <c r="X2225">
        <v>1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0</v>
      </c>
      <c r="AI2225" t="s">
        <v>1279</v>
      </c>
      <c r="AJ2225">
        <v>38.949323</v>
      </c>
      <c r="AK2225" t="s">
        <v>1280</v>
      </c>
      <c r="AL2225">
        <v>-87.615902000000006</v>
      </c>
      <c r="AM2225">
        <v>100</v>
      </c>
      <c r="AN2225">
        <v>2700</v>
      </c>
      <c r="AO2225" t="s">
        <v>118</v>
      </c>
      <c r="AP2225">
        <v>-19</v>
      </c>
      <c r="AQ2225">
        <v>-148</v>
      </c>
      <c r="AR2225">
        <v>-704</v>
      </c>
      <c r="AZ2225">
        <v>4552</v>
      </c>
      <c r="BA2225">
        <v>1</v>
      </c>
      <c r="BB2225" t="str">
        <f t="shared" si="664"/>
        <v xml:space="preserve">N607SR  </v>
      </c>
      <c r="BC2225">
        <v>1</v>
      </c>
      <c r="BE2225">
        <v>0</v>
      </c>
      <c r="BF2225">
        <v>0</v>
      </c>
      <c r="BG2225">
        <v>0</v>
      </c>
      <c r="BH2225">
        <v>2525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 t="shared" si="686"/>
        <v>06:18:30.564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465</v>
      </c>
      <c r="CR2225">
        <v>0</v>
      </c>
      <c r="CW2225">
        <v>4724946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 t="shared" si="684"/>
        <v>08/29/2020 06:18:27.342</v>
      </c>
      <c r="C2226" t="str">
        <f t="shared" si="662"/>
        <v>FFDFD3C0</v>
      </c>
      <c r="D2226" t="s">
        <v>128</v>
      </c>
      <c r="E2226">
        <v>5</v>
      </c>
      <c r="H2226">
        <v>241</v>
      </c>
      <c r="I2226" t="s">
        <v>129</v>
      </c>
      <c r="J2226" t="s">
        <v>130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685"/>
        <v>06:18:30.563</v>
      </c>
      <c r="T2226" t="str">
        <f>"06:18:30.263"</f>
        <v>06:18:30.263</v>
      </c>
      <c r="U2226" t="str">
        <f t="shared" si="663"/>
        <v>A7E2E0</v>
      </c>
      <c r="V2226">
        <v>0</v>
      </c>
      <c r="W2226">
        <v>0</v>
      </c>
      <c r="X2226">
        <v>1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0</v>
      </c>
      <c r="AI2226" t="s">
        <v>1279</v>
      </c>
      <c r="AJ2226">
        <v>38.949323</v>
      </c>
      <c r="AK2226" t="s">
        <v>1280</v>
      </c>
      <c r="AL2226">
        <v>-87.615902000000006</v>
      </c>
      <c r="AM2226">
        <v>100</v>
      </c>
      <c r="AN2226">
        <v>2700</v>
      </c>
      <c r="AO2226" t="s">
        <v>118</v>
      </c>
      <c r="AP2226">
        <v>-19</v>
      </c>
      <c r="AQ2226">
        <v>-148</v>
      </c>
      <c r="AR2226">
        <v>-704</v>
      </c>
      <c r="AZ2226">
        <v>4552</v>
      </c>
      <c r="BA2226">
        <v>1</v>
      </c>
      <c r="BB2226" t="str">
        <f t="shared" si="664"/>
        <v xml:space="preserve">N607SR  </v>
      </c>
      <c r="BC2226">
        <v>1</v>
      </c>
      <c r="BE2226">
        <v>0</v>
      </c>
      <c r="BF2226">
        <v>0</v>
      </c>
      <c r="BG2226">
        <v>0</v>
      </c>
      <c r="BH2226">
        <v>2525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 t="shared" si="686"/>
        <v>06:18:30.564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6</v>
      </c>
      <c r="CP2226" t="s">
        <v>119</v>
      </c>
      <c r="CQ2226">
        <v>465</v>
      </c>
      <c r="CR2226">
        <v>0</v>
      </c>
      <c r="CW2226">
        <v>4724946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 t="shared" si="684"/>
        <v>08/29/2020 06:18:27.342</v>
      </c>
      <c r="C2227" t="str">
        <f t="shared" si="662"/>
        <v>FFDFD3C0</v>
      </c>
      <c r="D2227" t="s">
        <v>121</v>
      </c>
      <c r="E2227">
        <v>10</v>
      </c>
      <c r="F2227">
        <v>1010</v>
      </c>
      <c r="G2227" t="s">
        <v>114</v>
      </c>
      <c r="J2227" t="s">
        <v>123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685"/>
        <v>06:18:30.563</v>
      </c>
      <c r="T2227" t="str">
        <f>"06:18:30.263"</f>
        <v>06:18:30.263</v>
      </c>
      <c r="U2227" t="str">
        <f t="shared" si="663"/>
        <v>A7E2E0</v>
      </c>
      <c r="V2227">
        <v>0</v>
      </c>
      <c r="W2227">
        <v>0</v>
      </c>
      <c r="X2227">
        <v>1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0</v>
      </c>
      <c r="AI2227" t="s">
        <v>1279</v>
      </c>
      <c r="AJ2227">
        <v>38.949323</v>
      </c>
      <c r="AK2227" t="s">
        <v>1280</v>
      </c>
      <c r="AL2227">
        <v>-87.615902000000006</v>
      </c>
      <c r="AM2227">
        <v>100</v>
      </c>
      <c r="AN2227">
        <v>2700</v>
      </c>
      <c r="AO2227" t="s">
        <v>118</v>
      </c>
      <c r="AP2227">
        <v>-19</v>
      </c>
      <c r="AQ2227">
        <v>-148</v>
      </c>
      <c r="AR2227">
        <v>-704</v>
      </c>
      <c r="AZ2227">
        <v>4552</v>
      </c>
      <c r="BA2227">
        <v>1</v>
      </c>
      <c r="BB2227" t="str">
        <f t="shared" si="664"/>
        <v xml:space="preserve">N607SR  </v>
      </c>
      <c r="BC2227">
        <v>1</v>
      </c>
      <c r="BE2227">
        <v>0</v>
      </c>
      <c r="BF2227">
        <v>0</v>
      </c>
      <c r="BG2227">
        <v>0</v>
      </c>
      <c r="BH2227">
        <v>2525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 t="shared" si="686"/>
        <v>06:18:30.564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6</v>
      </c>
      <c r="CP2227" t="s">
        <v>119</v>
      </c>
      <c r="CQ2227">
        <v>465</v>
      </c>
      <c r="CR2227">
        <v>0</v>
      </c>
      <c r="CW2227">
        <v>4724946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 t="shared" si="684"/>
        <v>08/29/2020 06:18:27.342</v>
      </c>
      <c r="C2228" t="str">
        <f t="shared" si="662"/>
        <v>FFDFD3C0</v>
      </c>
      <c r="D2228" t="s">
        <v>121</v>
      </c>
      <c r="E2228">
        <v>11</v>
      </c>
      <c r="F2228">
        <v>1011</v>
      </c>
      <c r="G2228" t="s">
        <v>125</v>
      </c>
      <c r="J2228" t="s">
        <v>123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685"/>
        <v>06:18:30.563</v>
      </c>
      <c r="T2228" t="str">
        <f>"06:18:28.662"</f>
        <v>06:18:28.662</v>
      </c>
      <c r="U2228" t="str">
        <f t="shared" si="663"/>
        <v>A7E2E0</v>
      </c>
      <c r="V2228">
        <v>0</v>
      </c>
      <c r="W2228">
        <v>0</v>
      </c>
      <c r="X2228">
        <v>1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0</v>
      </c>
      <c r="AI2228" t="s">
        <v>1279</v>
      </c>
      <c r="AJ2228">
        <v>38.949323</v>
      </c>
      <c r="AK2228" t="s">
        <v>1280</v>
      </c>
      <c r="AL2228">
        <v>-87.615902000000006</v>
      </c>
      <c r="AM2228">
        <v>100</v>
      </c>
      <c r="AN2228">
        <v>2700</v>
      </c>
      <c r="AO2228" t="s">
        <v>118</v>
      </c>
      <c r="AP2228">
        <v>-27</v>
      </c>
      <c r="AQ2228">
        <v>-146</v>
      </c>
      <c r="AR2228">
        <v>-640</v>
      </c>
      <c r="AZ2228">
        <v>4552</v>
      </c>
      <c r="BA2228">
        <v>1</v>
      </c>
      <c r="BB2228" t="str">
        <f t="shared" si="664"/>
        <v xml:space="preserve">N607SR  </v>
      </c>
      <c r="BC2228">
        <v>1</v>
      </c>
      <c r="BE2228">
        <v>0</v>
      </c>
      <c r="BF2228">
        <v>0</v>
      </c>
      <c r="BG2228">
        <v>0</v>
      </c>
      <c r="BH2228">
        <v>2550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 t="shared" si="686"/>
        <v>06:18:30.564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4</v>
      </c>
      <c r="CP2228" t="s">
        <v>119</v>
      </c>
      <c r="CQ2228">
        <v>457</v>
      </c>
      <c r="CR2228">
        <v>0</v>
      </c>
      <c r="CW2228">
        <v>15520179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 t="shared" si="684"/>
        <v>08/29/2020 06:18:27.342</v>
      </c>
      <c r="C2229" t="str">
        <f t="shared" si="662"/>
        <v>FFDFD3C0</v>
      </c>
      <c r="D2229" t="s">
        <v>121</v>
      </c>
      <c r="E2229">
        <v>13</v>
      </c>
      <c r="F2229">
        <v>1013</v>
      </c>
      <c r="G2229" t="s">
        <v>122</v>
      </c>
      <c r="J2229" t="s">
        <v>123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685"/>
        <v>06:18:30.563</v>
      </c>
      <c r="T2229" t="str">
        <f>"06:18:30.263"</f>
        <v>06:18:30.263</v>
      </c>
      <c r="U2229" t="str">
        <f t="shared" si="663"/>
        <v>A7E2E0</v>
      </c>
      <c r="V2229">
        <v>0</v>
      </c>
      <c r="W2229">
        <v>0</v>
      </c>
      <c r="X2229">
        <v>1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0</v>
      </c>
      <c r="AI2229" t="s">
        <v>1279</v>
      </c>
      <c r="AJ2229">
        <v>38.949323</v>
      </c>
      <c r="AK2229" t="s">
        <v>1280</v>
      </c>
      <c r="AL2229">
        <v>-87.615902000000006</v>
      </c>
      <c r="AM2229">
        <v>100</v>
      </c>
      <c r="AN2229">
        <v>2700</v>
      </c>
      <c r="AO2229" t="s">
        <v>118</v>
      </c>
      <c r="AP2229">
        <v>-19</v>
      </c>
      <c r="AQ2229">
        <v>-148</v>
      </c>
      <c r="AR2229">
        <v>-704</v>
      </c>
      <c r="AZ2229">
        <v>4552</v>
      </c>
      <c r="BA2229">
        <v>1</v>
      </c>
      <c r="BB2229" t="str">
        <f t="shared" si="664"/>
        <v xml:space="preserve">N607SR  </v>
      </c>
      <c r="BC2229">
        <v>1</v>
      </c>
      <c r="BE2229">
        <v>0</v>
      </c>
      <c r="BF2229">
        <v>0</v>
      </c>
      <c r="BG2229">
        <v>0</v>
      </c>
      <c r="BH2229">
        <v>2525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 t="shared" si="686"/>
        <v>06:18:30.564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465</v>
      </c>
      <c r="CR2229">
        <v>0</v>
      </c>
      <c r="CW2229">
        <v>4724946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 t="shared" ref="A2230:A2235" si="687">"08/29/2020 06:18:28.199"</f>
        <v>08/29/2020 06:18:28.199</v>
      </c>
      <c r="C2230" t="str">
        <f t="shared" si="662"/>
        <v>FFDFD3C0</v>
      </c>
      <c r="D2230" t="s">
        <v>939</v>
      </c>
      <c r="E2230">
        <v>10</v>
      </c>
      <c r="H2230">
        <v>79</v>
      </c>
      <c r="I2230" t="s">
        <v>940</v>
      </c>
      <c r="J2230" t="s">
        <v>130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ref="S2230:S2235" si="688">"06:18:31.422"</f>
        <v>06:18:31.422</v>
      </c>
      <c r="T2230" t="str">
        <f t="shared" ref="T2230:T2235" si="689">"06:18:31.022"</f>
        <v>06:18:31.022</v>
      </c>
      <c r="U2230" t="str">
        <f t="shared" si="663"/>
        <v>A7E2E0</v>
      </c>
      <c r="V2230">
        <v>0</v>
      </c>
      <c r="W2230">
        <v>0</v>
      </c>
      <c r="X2230">
        <v>1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0</v>
      </c>
      <c r="AI2230" t="s">
        <v>1281</v>
      </c>
      <c r="AJ2230">
        <v>38.948678999999998</v>
      </c>
      <c r="AK2230" t="s">
        <v>1282</v>
      </c>
      <c r="AL2230">
        <v>-87.615966999999998</v>
      </c>
      <c r="AM2230">
        <v>100</v>
      </c>
      <c r="AN2230">
        <v>2700</v>
      </c>
      <c r="AO2230" t="s">
        <v>118</v>
      </c>
      <c r="AP2230">
        <v>-15</v>
      </c>
      <c r="AQ2230">
        <v>-150</v>
      </c>
      <c r="AR2230">
        <v>-768</v>
      </c>
      <c r="AZ2230">
        <v>4552</v>
      </c>
      <c r="BA2230">
        <v>1</v>
      </c>
      <c r="BB2230" t="str">
        <f t="shared" si="664"/>
        <v xml:space="preserve">N607SR  </v>
      </c>
      <c r="BC2230">
        <v>1</v>
      </c>
      <c r="BE2230">
        <v>0</v>
      </c>
      <c r="BF2230">
        <v>0</v>
      </c>
      <c r="BG2230">
        <v>0</v>
      </c>
      <c r="BH2230">
        <v>2525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 t="shared" ref="BW2230:BW2235" si="690">"06:18:31.426"</f>
        <v>06:18:31.426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5</v>
      </c>
      <c r="CP2230" t="s">
        <v>119</v>
      </c>
      <c r="CQ2230">
        <v>465</v>
      </c>
      <c r="CR2230">
        <v>0</v>
      </c>
      <c r="CW2230">
        <v>4724972</v>
      </c>
      <c r="CY2230">
        <v>1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 t="shared" si="687"/>
        <v>08/29/2020 06:18:28.199</v>
      </c>
      <c r="C2231" t="str">
        <f t="shared" si="662"/>
        <v>FFDFD3C0</v>
      </c>
      <c r="D2231" t="s">
        <v>113</v>
      </c>
      <c r="E2231">
        <v>5</v>
      </c>
      <c r="H2231">
        <v>163</v>
      </c>
      <c r="I2231" t="s">
        <v>114</v>
      </c>
      <c r="J2231" t="s">
        <v>115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688"/>
        <v>06:18:31.422</v>
      </c>
      <c r="T2231" t="str">
        <f t="shared" si="689"/>
        <v>06:18:31.022</v>
      </c>
      <c r="U2231" t="str">
        <f t="shared" si="663"/>
        <v>A7E2E0</v>
      </c>
      <c r="V2231">
        <v>0</v>
      </c>
      <c r="W2231">
        <v>0</v>
      </c>
      <c r="X2231">
        <v>1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0</v>
      </c>
      <c r="AI2231" t="s">
        <v>1281</v>
      </c>
      <c r="AJ2231">
        <v>38.948678999999998</v>
      </c>
      <c r="AK2231" t="s">
        <v>1282</v>
      </c>
      <c r="AL2231">
        <v>-87.615966999999998</v>
      </c>
      <c r="AM2231">
        <v>100</v>
      </c>
      <c r="AN2231">
        <v>2700</v>
      </c>
      <c r="AO2231" t="s">
        <v>118</v>
      </c>
      <c r="AP2231">
        <v>-15</v>
      </c>
      <c r="AQ2231">
        <v>-150</v>
      </c>
      <c r="AR2231">
        <v>-768</v>
      </c>
      <c r="AZ2231">
        <v>4552</v>
      </c>
      <c r="BA2231">
        <v>1</v>
      </c>
      <c r="BB2231" t="str">
        <f t="shared" si="664"/>
        <v xml:space="preserve">N607SR  </v>
      </c>
      <c r="BC2231">
        <v>1</v>
      </c>
      <c r="BE2231">
        <v>0</v>
      </c>
      <c r="BF2231">
        <v>0</v>
      </c>
      <c r="BG2231">
        <v>0</v>
      </c>
      <c r="BH2231">
        <v>2525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 t="shared" si="690"/>
        <v>06:18:31.426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5</v>
      </c>
      <c r="CP2231" t="s">
        <v>119</v>
      </c>
      <c r="CQ2231">
        <v>465</v>
      </c>
      <c r="CR2231">
        <v>0</v>
      </c>
      <c r="CW2231">
        <v>4724972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 t="shared" si="687"/>
        <v>08/29/2020 06:18:28.199</v>
      </c>
      <c r="C2232" t="str">
        <f t="shared" si="662"/>
        <v>FFDFD3C0</v>
      </c>
      <c r="D2232" t="s">
        <v>128</v>
      </c>
      <c r="E2232">
        <v>5</v>
      </c>
      <c r="H2232">
        <v>241</v>
      </c>
      <c r="I2232" t="s">
        <v>129</v>
      </c>
      <c r="J2232" t="s">
        <v>130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688"/>
        <v>06:18:31.422</v>
      </c>
      <c r="T2232" t="str">
        <f t="shared" si="689"/>
        <v>06:18:31.022</v>
      </c>
      <c r="U2232" t="str">
        <f t="shared" si="663"/>
        <v>A7E2E0</v>
      </c>
      <c r="V2232">
        <v>0</v>
      </c>
      <c r="W2232">
        <v>0</v>
      </c>
      <c r="X2232">
        <v>1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0</v>
      </c>
      <c r="AI2232" t="s">
        <v>1281</v>
      </c>
      <c r="AJ2232">
        <v>38.948678999999998</v>
      </c>
      <c r="AK2232" t="s">
        <v>1282</v>
      </c>
      <c r="AL2232">
        <v>-87.615966999999998</v>
      </c>
      <c r="AM2232">
        <v>100</v>
      </c>
      <c r="AN2232">
        <v>2700</v>
      </c>
      <c r="AO2232" t="s">
        <v>118</v>
      </c>
      <c r="AP2232">
        <v>-15</v>
      </c>
      <c r="AQ2232">
        <v>-150</v>
      </c>
      <c r="AR2232">
        <v>-768</v>
      </c>
      <c r="AZ2232">
        <v>4552</v>
      </c>
      <c r="BA2232">
        <v>1</v>
      </c>
      <c r="BB2232" t="str">
        <f t="shared" si="664"/>
        <v xml:space="preserve">N607SR  </v>
      </c>
      <c r="BC2232">
        <v>1</v>
      </c>
      <c r="BE2232">
        <v>0</v>
      </c>
      <c r="BF2232">
        <v>0</v>
      </c>
      <c r="BG2232">
        <v>0</v>
      </c>
      <c r="BH2232">
        <v>2525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 t="shared" si="690"/>
        <v>06:18:31.426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5</v>
      </c>
      <c r="CP2232" t="s">
        <v>119</v>
      </c>
      <c r="CQ2232">
        <v>465</v>
      </c>
      <c r="CR2232">
        <v>0</v>
      </c>
      <c r="CW2232">
        <v>4724972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 t="shared" si="687"/>
        <v>08/29/2020 06:18:28.199</v>
      </c>
      <c r="C2233" t="str">
        <f t="shared" si="662"/>
        <v>FFDFD3C0</v>
      </c>
      <c r="D2233" t="s">
        <v>121</v>
      </c>
      <c r="E2233">
        <v>11</v>
      </c>
      <c r="F2233">
        <v>1011</v>
      </c>
      <c r="G2233" t="s">
        <v>125</v>
      </c>
      <c r="J2233" t="s">
        <v>123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688"/>
        <v>06:18:31.422</v>
      </c>
      <c r="T2233" t="str">
        <f t="shared" si="689"/>
        <v>06:18:31.022</v>
      </c>
      <c r="U2233" t="str">
        <f t="shared" si="663"/>
        <v>A7E2E0</v>
      </c>
      <c r="V2233">
        <v>0</v>
      </c>
      <c r="W2233">
        <v>0</v>
      </c>
      <c r="X2233">
        <v>1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0</v>
      </c>
      <c r="AI2233" t="s">
        <v>1281</v>
      </c>
      <c r="AJ2233">
        <v>38.948678999999998</v>
      </c>
      <c r="AK2233" t="s">
        <v>1282</v>
      </c>
      <c r="AL2233">
        <v>-87.615966999999998</v>
      </c>
      <c r="AM2233">
        <v>100</v>
      </c>
      <c r="AN2233">
        <v>2700</v>
      </c>
      <c r="AO2233" t="s">
        <v>118</v>
      </c>
      <c r="AP2233">
        <v>-15</v>
      </c>
      <c r="AQ2233">
        <v>-150</v>
      </c>
      <c r="AR2233">
        <v>-768</v>
      </c>
      <c r="AZ2233">
        <v>4552</v>
      </c>
      <c r="BA2233">
        <v>1</v>
      </c>
      <c r="BB2233" t="str">
        <f t="shared" si="664"/>
        <v xml:space="preserve">N607SR  </v>
      </c>
      <c r="BC2233">
        <v>1</v>
      </c>
      <c r="BE2233">
        <v>0</v>
      </c>
      <c r="BF2233">
        <v>0</v>
      </c>
      <c r="BG2233">
        <v>0</v>
      </c>
      <c r="BH2233">
        <v>2525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 t="shared" si="690"/>
        <v>06:18:31.426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5</v>
      </c>
      <c r="CP2233" t="s">
        <v>119</v>
      </c>
      <c r="CQ2233">
        <v>457</v>
      </c>
      <c r="CR2233">
        <v>0</v>
      </c>
      <c r="CW2233">
        <v>15520200</v>
      </c>
      <c r="CY2233">
        <v>1</v>
      </c>
      <c r="CZ2233">
        <v>0</v>
      </c>
      <c r="DA2233">
        <v>1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 t="shared" si="687"/>
        <v>08/29/2020 06:18:28.199</v>
      </c>
      <c r="C2234" t="str">
        <f t="shared" si="662"/>
        <v>FFDFD3C0</v>
      </c>
      <c r="D2234" t="s">
        <v>121</v>
      </c>
      <c r="E2234">
        <v>10</v>
      </c>
      <c r="F2234">
        <v>1010</v>
      </c>
      <c r="G2234" t="s">
        <v>114</v>
      </c>
      <c r="J2234" t="s">
        <v>123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688"/>
        <v>06:18:31.422</v>
      </c>
      <c r="T2234" t="str">
        <f t="shared" si="689"/>
        <v>06:18:31.022</v>
      </c>
      <c r="U2234" t="str">
        <f t="shared" si="663"/>
        <v>A7E2E0</v>
      </c>
      <c r="V2234">
        <v>0</v>
      </c>
      <c r="W2234">
        <v>0</v>
      </c>
      <c r="X2234">
        <v>1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0</v>
      </c>
      <c r="AI2234" t="s">
        <v>1281</v>
      </c>
      <c r="AJ2234">
        <v>38.948678999999998</v>
      </c>
      <c r="AK2234" t="s">
        <v>1282</v>
      </c>
      <c r="AL2234">
        <v>-87.615966999999998</v>
      </c>
      <c r="AM2234">
        <v>100</v>
      </c>
      <c r="AN2234">
        <v>2700</v>
      </c>
      <c r="AO2234" t="s">
        <v>118</v>
      </c>
      <c r="AP2234">
        <v>-15</v>
      </c>
      <c r="AQ2234">
        <v>-150</v>
      </c>
      <c r="AR2234">
        <v>-768</v>
      </c>
      <c r="AZ2234">
        <v>4552</v>
      </c>
      <c r="BA2234">
        <v>1</v>
      </c>
      <c r="BB2234" t="str">
        <f t="shared" si="664"/>
        <v xml:space="preserve">N607SR  </v>
      </c>
      <c r="BC2234">
        <v>1</v>
      </c>
      <c r="BE2234">
        <v>0</v>
      </c>
      <c r="BF2234">
        <v>0</v>
      </c>
      <c r="BG2234">
        <v>0</v>
      </c>
      <c r="BH2234">
        <v>2525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 t="shared" si="690"/>
        <v>06:18:31.426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5</v>
      </c>
      <c r="CP2234" t="s">
        <v>119</v>
      </c>
      <c r="CQ2234">
        <v>465</v>
      </c>
      <c r="CR2234">
        <v>0</v>
      </c>
      <c r="CW2234">
        <v>4724972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 t="shared" si="687"/>
        <v>08/29/2020 06:18:28.199</v>
      </c>
      <c r="C2235" t="str">
        <f t="shared" si="662"/>
        <v>FFDFD3C0</v>
      </c>
      <c r="D2235" t="s">
        <v>121</v>
      </c>
      <c r="E2235">
        <v>13</v>
      </c>
      <c r="F2235">
        <v>1013</v>
      </c>
      <c r="G2235" t="s">
        <v>122</v>
      </c>
      <c r="J2235" t="s">
        <v>123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688"/>
        <v>06:18:31.422</v>
      </c>
      <c r="T2235" t="str">
        <f t="shared" si="689"/>
        <v>06:18:31.022</v>
      </c>
      <c r="U2235" t="str">
        <f t="shared" si="663"/>
        <v>A7E2E0</v>
      </c>
      <c r="V2235">
        <v>0</v>
      </c>
      <c r="W2235">
        <v>0</v>
      </c>
      <c r="X2235">
        <v>1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0</v>
      </c>
      <c r="AI2235" t="s">
        <v>1281</v>
      </c>
      <c r="AJ2235">
        <v>38.948678999999998</v>
      </c>
      <c r="AK2235" t="s">
        <v>1282</v>
      </c>
      <c r="AL2235">
        <v>-87.615966999999998</v>
      </c>
      <c r="AM2235">
        <v>100</v>
      </c>
      <c r="AN2235">
        <v>2700</v>
      </c>
      <c r="AO2235" t="s">
        <v>118</v>
      </c>
      <c r="AP2235">
        <v>-15</v>
      </c>
      <c r="AQ2235">
        <v>-150</v>
      </c>
      <c r="AR2235">
        <v>-768</v>
      </c>
      <c r="AZ2235">
        <v>4552</v>
      </c>
      <c r="BA2235">
        <v>1</v>
      </c>
      <c r="BB2235" t="str">
        <f t="shared" si="664"/>
        <v xml:space="preserve">N607SR  </v>
      </c>
      <c r="BC2235">
        <v>1</v>
      </c>
      <c r="BE2235">
        <v>0</v>
      </c>
      <c r="BF2235">
        <v>0</v>
      </c>
      <c r="BG2235">
        <v>0</v>
      </c>
      <c r="BH2235">
        <v>2525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 t="shared" si="690"/>
        <v>06:18:31.426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5</v>
      </c>
      <c r="CP2235" t="s">
        <v>119</v>
      </c>
      <c r="CQ2235">
        <v>465</v>
      </c>
      <c r="CR2235">
        <v>0</v>
      </c>
      <c r="CW2235">
        <v>4724972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 t="shared" ref="A2236:A2241" si="691">"08/29/2020 06:18:29.226"</f>
        <v>08/29/2020 06:18:29.226</v>
      </c>
      <c r="C2236" t="str">
        <f t="shared" si="662"/>
        <v>FFDFD3C0</v>
      </c>
      <c r="D2236" t="s">
        <v>113</v>
      </c>
      <c r="E2236">
        <v>5</v>
      </c>
      <c r="H2236">
        <v>163</v>
      </c>
      <c r="I2236" t="s">
        <v>114</v>
      </c>
      <c r="J2236" t="s">
        <v>115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ref="S2236:S2241" si="692">"06:18:32.430"</f>
        <v>06:18:32.430</v>
      </c>
      <c r="T2236" t="str">
        <f t="shared" ref="T2236:T2241" si="693">"06:18:31.930"</f>
        <v>06:18:31.930</v>
      </c>
      <c r="U2236" t="str">
        <f t="shared" si="663"/>
        <v>A7E2E0</v>
      </c>
      <c r="V2236">
        <v>0</v>
      </c>
      <c r="W2236">
        <v>0</v>
      </c>
      <c r="X2236">
        <v>1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0</v>
      </c>
      <c r="AI2236" t="s">
        <v>1283</v>
      </c>
      <c r="AJ2236">
        <v>38.947971000000003</v>
      </c>
      <c r="AK2236" t="s">
        <v>1284</v>
      </c>
      <c r="AL2236">
        <v>-87.616031000000007</v>
      </c>
      <c r="AM2236">
        <v>100</v>
      </c>
      <c r="AN2236">
        <v>2700</v>
      </c>
      <c r="AO2236" t="s">
        <v>118</v>
      </c>
      <c r="AP2236">
        <v>-9</v>
      </c>
      <c r="AQ2236">
        <v>-151</v>
      </c>
      <c r="AR2236">
        <v>-768</v>
      </c>
      <c r="AZ2236">
        <v>4552</v>
      </c>
      <c r="BA2236">
        <v>1</v>
      </c>
      <c r="BB2236" t="str">
        <f t="shared" si="664"/>
        <v xml:space="preserve">N607SR  </v>
      </c>
      <c r="BC2236">
        <v>1</v>
      </c>
      <c r="BE2236">
        <v>0</v>
      </c>
      <c r="BF2236">
        <v>0</v>
      </c>
      <c r="BG2236">
        <v>0</v>
      </c>
      <c r="BH2236">
        <v>2500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>"06:18:32.437"</f>
        <v>06:18:32.437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6</v>
      </c>
      <c r="CP2236" t="s">
        <v>119</v>
      </c>
      <c r="CQ2236">
        <v>465</v>
      </c>
      <c r="CR2236">
        <v>0</v>
      </c>
      <c r="CW2236">
        <v>4725002</v>
      </c>
      <c r="CY2236">
        <v>1</v>
      </c>
      <c r="CZ2236">
        <v>0</v>
      </c>
      <c r="DA2236">
        <v>0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 t="shared" si="691"/>
        <v>08/29/2020 06:18:29.226</v>
      </c>
      <c r="C2237" t="str">
        <f t="shared" si="662"/>
        <v>FFDFD3C0</v>
      </c>
      <c r="D2237" t="s">
        <v>128</v>
      </c>
      <c r="E2237">
        <v>5</v>
      </c>
      <c r="H2237">
        <v>241</v>
      </c>
      <c r="I2237" t="s">
        <v>129</v>
      </c>
      <c r="J2237" t="s">
        <v>130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692"/>
        <v>06:18:32.430</v>
      </c>
      <c r="T2237" t="str">
        <f t="shared" si="693"/>
        <v>06:18:31.930</v>
      </c>
      <c r="U2237" t="str">
        <f t="shared" si="663"/>
        <v>A7E2E0</v>
      </c>
      <c r="V2237">
        <v>0</v>
      </c>
      <c r="W2237">
        <v>0</v>
      </c>
      <c r="X2237">
        <v>1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0</v>
      </c>
      <c r="AI2237" t="s">
        <v>1283</v>
      </c>
      <c r="AJ2237">
        <v>38.947971000000003</v>
      </c>
      <c r="AK2237" t="s">
        <v>1284</v>
      </c>
      <c r="AL2237">
        <v>-87.616031000000007</v>
      </c>
      <c r="AM2237">
        <v>100</v>
      </c>
      <c r="AN2237">
        <v>2700</v>
      </c>
      <c r="AO2237" t="s">
        <v>118</v>
      </c>
      <c r="AP2237">
        <v>-9</v>
      </c>
      <c r="AQ2237">
        <v>-151</v>
      </c>
      <c r="AR2237">
        <v>-768</v>
      </c>
      <c r="AZ2237">
        <v>4552</v>
      </c>
      <c r="BA2237">
        <v>1</v>
      </c>
      <c r="BB2237" t="str">
        <f t="shared" si="664"/>
        <v xml:space="preserve">N607SR  </v>
      </c>
      <c r="BC2237">
        <v>1</v>
      </c>
      <c r="BE2237">
        <v>0</v>
      </c>
      <c r="BF2237">
        <v>0</v>
      </c>
      <c r="BG2237">
        <v>0</v>
      </c>
      <c r="BH2237">
        <v>2500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>"06:18:32.437"</f>
        <v>06:18:32.437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6</v>
      </c>
      <c r="CP2237" t="s">
        <v>119</v>
      </c>
      <c r="CQ2237">
        <v>465</v>
      </c>
      <c r="CR2237">
        <v>0</v>
      </c>
      <c r="CW2237">
        <v>4725002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 t="shared" si="691"/>
        <v>08/29/2020 06:18:29.226</v>
      </c>
      <c r="C2238" t="str">
        <f t="shared" si="662"/>
        <v>FFDFD3C0</v>
      </c>
      <c r="D2238" t="s">
        <v>121</v>
      </c>
      <c r="E2238">
        <v>10</v>
      </c>
      <c r="F2238">
        <v>1010</v>
      </c>
      <c r="G2238" t="s">
        <v>114</v>
      </c>
      <c r="J2238" t="s">
        <v>123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692"/>
        <v>06:18:32.430</v>
      </c>
      <c r="T2238" t="str">
        <f t="shared" si="693"/>
        <v>06:18:31.930</v>
      </c>
      <c r="U2238" t="str">
        <f t="shared" si="663"/>
        <v>A7E2E0</v>
      </c>
      <c r="V2238">
        <v>0</v>
      </c>
      <c r="W2238">
        <v>0</v>
      </c>
      <c r="X2238">
        <v>1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0</v>
      </c>
      <c r="AI2238" t="s">
        <v>1283</v>
      </c>
      <c r="AJ2238">
        <v>38.947971000000003</v>
      </c>
      <c r="AK2238" t="s">
        <v>1284</v>
      </c>
      <c r="AL2238">
        <v>-87.616031000000007</v>
      </c>
      <c r="AM2238">
        <v>100</v>
      </c>
      <c r="AN2238">
        <v>2700</v>
      </c>
      <c r="AO2238" t="s">
        <v>118</v>
      </c>
      <c r="AP2238">
        <v>-9</v>
      </c>
      <c r="AQ2238">
        <v>-151</v>
      </c>
      <c r="AR2238">
        <v>-768</v>
      </c>
      <c r="AZ2238">
        <v>4552</v>
      </c>
      <c r="BA2238">
        <v>1</v>
      </c>
      <c r="BB2238" t="str">
        <f t="shared" si="664"/>
        <v xml:space="preserve">N607SR  </v>
      </c>
      <c r="BC2238">
        <v>1</v>
      </c>
      <c r="BE2238">
        <v>0</v>
      </c>
      <c r="BF2238">
        <v>0</v>
      </c>
      <c r="BG2238">
        <v>0</v>
      </c>
      <c r="BH2238">
        <v>2500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>"06:18:32.437"</f>
        <v>06:18:32.437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6</v>
      </c>
      <c r="CP2238" t="s">
        <v>119</v>
      </c>
      <c r="CQ2238">
        <v>465</v>
      </c>
      <c r="CR2238">
        <v>0</v>
      </c>
      <c r="CW2238">
        <v>4725002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 t="shared" si="691"/>
        <v>08/29/2020 06:18:29.226</v>
      </c>
      <c r="C2239" t="str">
        <f t="shared" si="662"/>
        <v>FFDFD3C0</v>
      </c>
      <c r="D2239" t="s">
        <v>121</v>
      </c>
      <c r="E2239">
        <v>11</v>
      </c>
      <c r="F2239">
        <v>1011</v>
      </c>
      <c r="G2239" t="s">
        <v>125</v>
      </c>
      <c r="J2239" t="s">
        <v>123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692"/>
        <v>06:18:32.430</v>
      </c>
      <c r="T2239" t="str">
        <f t="shared" si="693"/>
        <v>06:18:31.930</v>
      </c>
      <c r="U2239" t="str">
        <f t="shared" si="663"/>
        <v>A7E2E0</v>
      </c>
      <c r="V2239">
        <v>0</v>
      </c>
      <c r="W2239">
        <v>0</v>
      </c>
      <c r="X2239">
        <v>1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0</v>
      </c>
      <c r="AI2239" t="s">
        <v>1283</v>
      </c>
      <c r="AJ2239">
        <v>38.947971000000003</v>
      </c>
      <c r="AK2239" t="s">
        <v>1284</v>
      </c>
      <c r="AL2239">
        <v>-87.616031000000007</v>
      </c>
      <c r="AM2239">
        <v>100</v>
      </c>
      <c r="AN2239">
        <v>2700</v>
      </c>
      <c r="AO2239" t="s">
        <v>118</v>
      </c>
      <c r="AP2239">
        <v>-9</v>
      </c>
      <c r="AQ2239">
        <v>-151</v>
      </c>
      <c r="AR2239">
        <v>-768</v>
      </c>
      <c r="AZ2239">
        <v>4552</v>
      </c>
      <c r="BA2239">
        <v>1</v>
      </c>
      <c r="BB2239" t="str">
        <f t="shared" si="664"/>
        <v xml:space="preserve">N607SR  </v>
      </c>
      <c r="BC2239">
        <v>1</v>
      </c>
      <c r="BE2239">
        <v>0</v>
      </c>
      <c r="BF2239">
        <v>0</v>
      </c>
      <c r="BG2239">
        <v>0</v>
      </c>
      <c r="BH2239">
        <v>2500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>"06:18:32.436"</f>
        <v>06:18:32.436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5</v>
      </c>
      <c r="CP2239" t="s">
        <v>119</v>
      </c>
      <c r="CQ2239">
        <v>457</v>
      </c>
      <c r="CR2239">
        <v>0</v>
      </c>
      <c r="CW2239">
        <v>15520224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 t="shared" si="691"/>
        <v>08/29/2020 06:18:29.226</v>
      </c>
      <c r="C2240" t="str">
        <f t="shared" si="662"/>
        <v>FFDFD3C0</v>
      </c>
      <c r="D2240" t="s">
        <v>121</v>
      </c>
      <c r="E2240">
        <v>13</v>
      </c>
      <c r="F2240">
        <v>1013</v>
      </c>
      <c r="G2240" t="s">
        <v>122</v>
      </c>
      <c r="J2240" t="s">
        <v>123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692"/>
        <v>06:18:32.430</v>
      </c>
      <c r="T2240" t="str">
        <f t="shared" si="693"/>
        <v>06:18:31.930</v>
      </c>
      <c r="U2240" t="str">
        <f t="shared" si="663"/>
        <v>A7E2E0</v>
      </c>
      <c r="V2240">
        <v>0</v>
      </c>
      <c r="W2240">
        <v>0</v>
      </c>
      <c r="X2240">
        <v>1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0</v>
      </c>
      <c r="AI2240" t="s">
        <v>1283</v>
      </c>
      <c r="AJ2240">
        <v>38.947971000000003</v>
      </c>
      <c r="AK2240" t="s">
        <v>1284</v>
      </c>
      <c r="AL2240">
        <v>-87.616031000000007</v>
      </c>
      <c r="AM2240">
        <v>100</v>
      </c>
      <c r="AN2240">
        <v>2700</v>
      </c>
      <c r="AO2240" t="s">
        <v>118</v>
      </c>
      <c r="AP2240">
        <v>-9</v>
      </c>
      <c r="AQ2240">
        <v>-151</v>
      </c>
      <c r="AR2240">
        <v>-768</v>
      </c>
      <c r="AZ2240">
        <v>4552</v>
      </c>
      <c r="BA2240">
        <v>1</v>
      </c>
      <c r="BB2240" t="str">
        <f t="shared" si="664"/>
        <v xml:space="preserve">N607SR  </v>
      </c>
      <c r="BC2240">
        <v>1</v>
      </c>
      <c r="BE2240">
        <v>0</v>
      </c>
      <c r="BF2240">
        <v>0</v>
      </c>
      <c r="BG2240">
        <v>0</v>
      </c>
      <c r="BH2240">
        <v>2500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>"06:18:32.437"</f>
        <v>06:18:32.437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6</v>
      </c>
      <c r="CP2240" t="s">
        <v>119</v>
      </c>
      <c r="CQ2240">
        <v>465</v>
      </c>
      <c r="CR2240">
        <v>0</v>
      </c>
      <c r="CW2240">
        <v>4725002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 t="shared" si="691"/>
        <v>08/29/2020 06:18:29.226</v>
      </c>
      <c r="C2241" t="str">
        <f t="shared" si="662"/>
        <v>FFDFD3C0</v>
      </c>
      <c r="D2241" t="s">
        <v>939</v>
      </c>
      <c r="E2241">
        <v>10</v>
      </c>
      <c r="H2241">
        <v>79</v>
      </c>
      <c r="I2241" t="s">
        <v>940</v>
      </c>
      <c r="J2241" t="s">
        <v>130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692"/>
        <v>06:18:32.430</v>
      </c>
      <c r="T2241" t="str">
        <f t="shared" si="693"/>
        <v>06:18:31.930</v>
      </c>
      <c r="U2241" t="str">
        <f t="shared" si="663"/>
        <v>A7E2E0</v>
      </c>
      <c r="V2241">
        <v>0</v>
      </c>
      <c r="W2241">
        <v>0</v>
      </c>
      <c r="X2241">
        <v>1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0</v>
      </c>
      <c r="AI2241" t="s">
        <v>1283</v>
      </c>
      <c r="AJ2241">
        <v>38.947971000000003</v>
      </c>
      <c r="AK2241" t="s">
        <v>1284</v>
      </c>
      <c r="AL2241">
        <v>-87.616031000000007</v>
      </c>
      <c r="AM2241">
        <v>100</v>
      </c>
      <c r="AN2241">
        <v>2700</v>
      </c>
      <c r="AO2241" t="s">
        <v>118</v>
      </c>
      <c r="AP2241">
        <v>-9</v>
      </c>
      <c r="AQ2241">
        <v>-151</v>
      </c>
      <c r="AR2241">
        <v>-768</v>
      </c>
      <c r="AZ2241">
        <v>4552</v>
      </c>
      <c r="BA2241">
        <v>1</v>
      </c>
      <c r="BB2241" t="str">
        <f t="shared" si="664"/>
        <v xml:space="preserve">N607SR  </v>
      </c>
      <c r="BC2241">
        <v>1</v>
      </c>
      <c r="BE2241">
        <v>0</v>
      </c>
      <c r="BF2241">
        <v>0</v>
      </c>
      <c r="BG2241">
        <v>0</v>
      </c>
      <c r="BH2241">
        <v>2500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>"06:18:32.437"</f>
        <v>06:18:32.437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6</v>
      </c>
      <c r="CP2241" t="s">
        <v>119</v>
      </c>
      <c r="CQ2241">
        <v>465</v>
      </c>
      <c r="CR2241">
        <v>0</v>
      </c>
      <c r="CW2241">
        <v>4725002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 t="shared" ref="A2242:A2247" si="694">"08/29/2020 06:18:30.291"</f>
        <v>08/29/2020 06:18:30.291</v>
      </c>
      <c r="C2242" t="str">
        <f t="shared" ref="C2242:C2305" si="695">"FFDFD3C0"</f>
        <v>FFDFD3C0</v>
      </c>
      <c r="D2242" t="s">
        <v>113</v>
      </c>
      <c r="E2242">
        <v>5</v>
      </c>
      <c r="H2242">
        <v>163</v>
      </c>
      <c r="I2242" t="s">
        <v>114</v>
      </c>
      <c r="J2242" t="s">
        <v>115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ref="S2242:S2247" si="696">"06:18:33.531"</f>
        <v>06:18:33.531</v>
      </c>
      <c r="T2242" t="str">
        <f t="shared" ref="T2242:T2247" si="697">"06:18:33.031"</f>
        <v>06:18:33.031</v>
      </c>
      <c r="U2242" t="str">
        <f t="shared" ref="U2242:U2305" si="698">"A7E2E0"</f>
        <v>A7E2E0</v>
      </c>
      <c r="V2242">
        <v>0</v>
      </c>
      <c r="W2242">
        <v>0</v>
      </c>
      <c r="X2242">
        <v>1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0</v>
      </c>
      <c r="AI2242" t="s">
        <v>1285</v>
      </c>
      <c r="AJ2242">
        <v>38.947220000000002</v>
      </c>
      <c r="AK2242" t="s">
        <v>1284</v>
      </c>
      <c r="AL2242">
        <v>-87.616031000000007</v>
      </c>
      <c r="AM2242">
        <v>100</v>
      </c>
      <c r="AN2242">
        <v>2700</v>
      </c>
      <c r="AO2242" t="s">
        <v>118</v>
      </c>
      <c r="AP2242">
        <v>-3</v>
      </c>
      <c r="AQ2242">
        <v>-152</v>
      </c>
      <c r="AR2242">
        <v>-768</v>
      </c>
      <c r="AZ2242">
        <v>4552</v>
      </c>
      <c r="BA2242">
        <v>1</v>
      </c>
      <c r="BB2242" t="str">
        <f t="shared" ref="BB2242:BB2305" si="699">"N607SR  "</f>
        <v xml:space="preserve">N607SR  </v>
      </c>
      <c r="BC2242">
        <v>1</v>
      </c>
      <c r="BE2242">
        <v>0</v>
      </c>
      <c r="BF2242">
        <v>0</v>
      </c>
      <c r="BG2242">
        <v>0</v>
      </c>
      <c r="BH2242">
        <v>2500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 t="shared" ref="BW2242:BW2247" si="700">"06:18:33.538"</f>
        <v>06:18:33.538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6</v>
      </c>
      <c r="CP2242" t="s">
        <v>119</v>
      </c>
      <c r="CQ2242">
        <v>465</v>
      </c>
      <c r="CR2242">
        <v>0</v>
      </c>
      <c r="CW2242">
        <v>4725035</v>
      </c>
      <c r="CY2242">
        <v>1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 t="shared" si="694"/>
        <v>08/29/2020 06:18:30.291</v>
      </c>
      <c r="C2243" t="str">
        <f t="shared" si="695"/>
        <v>FFDFD3C0</v>
      </c>
      <c r="D2243" t="s">
        <v>121</v>
      </c>
      <c r="E2243">
        <v>10</v>
      </c>
      <c r="F2243">
        <v>1010</v>
      </c>
      <c r="G2243" t="s">
        <v>114</v>
      </c>
      <c r="J2243" t="s">
        <v>123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696"/>
        <v>06:18:33.531</v>
      </c>
      <c r="T2243" t="str">
        <f t="shared" si="697"/>
        <v>06:18:33.031</v>
      </c>
      <c r="U2243" t="str">
        <f t="shared" si="698"/>
        <v>A7E2E0</v>
      </c>
      <c r="V2243">
        <v>0</v>
      </c>
      <c r="W2243">
        <v>0</v>
      </c>
      <c r="X2243">
        <v>1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0</v>
      </c>
      <c r="AI2243" t="s">
        <v>1285</v>
      </c>
      <c r="AJ2243">
        <v>38.947220000000002</v>
      </c>
      <c r="AK2243" t="s">
        <v>1284</v>
      </c>
      <c r="AL2243">
        <v>-87.616031000000007</v>
      </c>
      <c r="AM2243">
        <v>100</v>
      </c>
      <c r="AN2243">
        <v>2700</v>
      </c>
      <c r="AO2243" t="s">
        <v>118</v>
      </c>
      <c r="AP2243">
        <v>-3</v>
      </c>
      <c r="AQ2243">
        <v>-152</v>
      </c>
      <c r="AR2243">
        <v>-768</v>
      </c>
      <c r="AZ2243">
        <v>4552</v>
      </c>
      <c r="BA2243">
        <v>1</v>
      </c>
      <c r="BB2243" t="str">
        <f t="shared" si="699"/>
        <v xml:space="preserve">N607SR  </v>
      </c>
      <c r="BC2243">
        <v>1</v>
      </c>
      <c r="BE2243">
        <v>0</v>
      </c>
      <c r="BF2243">
        <v>0</v>
      </c>
      <c r="BG2243">
        <v>0</v>
      </c>
      <c r="BH2243">
        <v>2500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 t="shared" si="700"/>
        <v>06:18:33.538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6</v>
      </c>
      <c r="CP2243" t="s">
        <v>119</v>
      </c>
      <c r="CQ2243">
        <v>465</v>
      </c>
      <c r="CR2243">
        <v>0</v>
      </c>
      <c r="CW2243">
        <v>4725035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 t="shared" si="694"/>
        <v>08/29/2020 06:18:30.291</v>
      </c>
      <c r="C2244" t="str">
        <f t="shared" si="695"/>
        <v>FFDFD3C0</v>
      </c>
      <c r="D2244" t="s">
        <v>128</v>
      </c>
      <c r="E2244">
        <v>5</v>
      </c>
      <c r="H2244">
        <v>241</v>
      </c>
      <c r="I2244" t="s">
        <v>129</v>
      </c>
      <c r="J2244" t="s">
        <v>130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696"/>
        <v>06:18:33.531</v>
      </c>
      <c r="T2244" t="str">
        <f t="shared" si="697"/>
        <v>06:18:33.031</v>
      </c>
      <c r="U2244" t="str">
        <f t="shared" si="698"/>
        <v>A7E2E0</v>
      </c>
      <c r="V2244">
        <v>0</v>
      </c>
      <c r="W2244">
        <v>0</v>
      </c>
      <c r="X2244">
        <v>1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0</v>
      </c>
      <c r="AI2244" t="s">
        <v>1285</v>
      </c>
      <c r="AJ2244">
        <v>38.947220000000002</v>
      </c>
      <c r="AK2244" t="s">
        <v>1284</v>
      </c>
      <c r="AL2244">
        <v>-87.616031000000007</v>
      </c>
      <c r="AM2244">
        <v>100</v>
      </c>
      <c r="AN2244">
        <v>2700</v>
      </c>
      <c r="AO2244" t="s">
        <v>118</v>
      </c>
      <c r="AP2244">
        <v>-3</v>
      </c>
      <c r="AQ2244">
        <v>-152</v>
      </c>
      <c r="AR2244">
        <v>-768</v>
      </c>
      <c r="AZ2244">
        <v>4552</v>
      </c>
      <c r="BA2244">
        <v>1</v>
      </c>
      <c r="BB2244" t="str">
        <f t="shared" si="699"/>
        <v xml:space="preserve">N607SR  </v>
      </c>
      <c r="BC2244">
        <v>1</v>
      </c>
      <c r="BE2244">
        <v>0</v>
      </c>
      <c r="BF2244">
        <v>0</v>
      </c>
      <c r="BG2244">
        <v>0</v>
      </c>
      <c r="BH2244">
        <v>2500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 t="shared" si="700"/>
        <v>06:18:33.538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6</v>
      </c>
      <c r="CP2244" t="s">
        <v>119</v>
      </c>
      <c r="CQ2244">
        <v>465</v>
      </c>
      <c r="CR2244">
        <v>0</v>
      </c>
      <c r="CW2244">
        <v>4725035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 t="shared" si="694"/>
        <v>08/29/2020 06:18:30.291</v>
      </c>
      <c r="C2245" t="str">
        <f t="shared" si="695"/>
        <v>FFDFD3C0</v>
      </c>
      <c r="D2245" t="s">
        <v>121</v>
      </c>
      <c r="E2245">
        <v>13</v>
      </c>
      <c r="F2245">
        <v>1013</v>
      </c>
      <c r="G2245" t="s">
        <v>122</v>
      </c>
      <c r="J2245" t="s">
        <v>123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696"/>
        <v>06:18:33.531</v>
      </c>
      <c r="T2245" t="str">
        <f t="shared" si="697"/>
        <v>06:18:33.031</v>
      </c>
      <c r="U2245" t="str">
        <f t="shared" si="698"/>
        <v>A7E2E0</v>
      </c>
      <c r="V2245">
        <v>0</v>
      </c>
      <c r="W2245">
        <v>0</v>
      </c>
      <c r="X2245">
        <v>1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0</v>
      </c>
      <c r="AI2245" t="s">
        <v>1285</v>
      </c>
      <c r="AJ2245">
        <v>38.947220000000002</v>
      </c>
      <c r="AK2245" t="s">
        <v>1284</v>
      </c>
      <c r="AL2245">
        <v>-87.616031000000007</v>
      </c>
      <c r="AM2245">
        <v>100</v>
      </c>
      <c r="AN2245">
        <v>2700</v>
      </c>
      <c r="AO2245" t="s">
        <v>118</v>
      </c>
      <c r="AP2245">
        <v>-3</v>
      </c>
      <c r="AQ2245">
        <v>-152</v>
      </c>
      <c r="AR2245">
        <v>-768</v>
      </c>
      <c r="AZ2245">
        <v>4552</v>
      </c>
      <c r="BA2245">
        <v>1</v>
      </c>
      <c r="BB2245" t="str">
        <f t="shared" si="699"/>
        <v xml:space="preserve">N607SR  </v>
      </c>
      <c r="BC2245">
        <v>1</v>
      </c>
      <c r="BE2245">
        <v>0</v>
      </c>
      <c r="BF2245">
        <v>0</v>
      </c>
      <c r="BG2245">
        <v>0</v>
      </c>
      <c r="BH2245">
        <v>2500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 t="shared" si="700"/>
        <v>06:18:33.538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465</v>
      </c>
      <c r="CR2245">
        <v>0</v>
      </c>
      <c r="CW2245">
        <v>4725035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 t="shared" si="694"/>
        <v>08/29/2020 06:18:30.291</v>
      </c>
      <c r="C2246" t="str">
        <f t="shared" si="695"/>
        <v>FFDFD3C0</v>
      </c>
      <c r="D2246" t="s">
        <v>121</v>
      </c>
      <c r="E2246">
        <v>11</v>
      </c>
      <c r="F2246">
        <v>1011</v>
      </c>
      <c r="G2246" t="s">
        <v>125</v>
      </c>
      <c r="J2246" t="s">
        <v>123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696"/>
        <v>06:18:33.531</v>
      </c>
      <c r="T2246" t="str">
        <f t="shared" si="697"/>
        <v>06:18:33.031</v>
      </c>
      <c r="U2246" t="str">
        <f t="shared" si="698"/>
        <v>A7E2E0</v>
      </c>
      <c r="V2246">
        <v>0</v>
      </c>
      <c r="W2246">
        <v>0</v>
      </c>
      <c r="X2246">
        <v>1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0</v>
      </c>
      <c r="AI2246" t="s">
        <v>1285</v>
      </c>
      <c r="AJ2246">
        <v>38.947220000000002</v>
      </c>
      <c r="AK2246" t="s">
        <v>1284</v>
      </c>
      <c r="AL2246">
        <v>-87.616031000000007</v>
      </c>
      <c r="AM2246">
        <v>100</v>
      </c>
      <c r="AN2246">
        <v>2700</v>
      </c>
      <c r="AO2246" t="s">
        <v>118</v>
      </c>
      <c r="AP2246">
        <v>-3</v>
      </c>
      <c r="AQ2246">
        <v>-152</v>
      </c>
      <c r="AR2246">
        <v>-768</v>
      </c>
      <c r="AZ2246">
        <v>4552</v>
      </c>
      <c r="BA2246">
        <v>1</v>
      </c>
      <c r="BB2246" t="str">
        <f t="shared" si="699"/>
        <v xml:space="preserve">N607SR  </v>
      </c>
      <c r="BC2246">
        <v>1</v>
      </c>
      <c r="BE2246">
        <v>0</v>
      </c>
      <c r="BF2246">
        <v>0</v>
      </c>
      <c r="BG2246">
        <v>0</v>
      </c>
      <c r="BH2246">
        <v>2500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 t="shared" si="700"/>
        <v>06:18:33.538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5</v>
      </c>
      <c r="CP2246" t="s">
        <v>119</v>
      </c>
      <c r="CQ2246">
        <v>457</v>
      </c>
      <c r="CR2246">
        <v>0</v>
      </c>
      <c r="CW2246">
        <v>15520250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 t="shared" si="694"/>
        <v>08/29/2020 06:18:30.291</v>
      </c>
      <c r="C2247" t="str">
        <f t="shared" si="695"/>
        <v>FFDFD3C0</v>
      </c>
      <c r="D2247" t="s">
        <v>939</v>
      </c>
      <c r="E2247">
        <v>10</v>
      </c>
      <c r="H2247">
        <v>79</v>
      </c>
      <c r="I2247" t="s">
        <v>940</v>
      </c>
      <c r="J2247" t="s">
        <v>130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696"/>
        <v>06:18:33.531</v>
      </c>
      <c r="T2247" t="str">
        <f t="shared" si="697"/>
        <v>06:18:33.031</v>
      </c>
      <c r="U2247" t="str">
        <f t="shared" si="698"/>
        <v>A7E2E0</v>
      </c>
      <c r="V2247">
        <v>0</v>
      </c>
      <c r="W2247">
        <v>0</v>
      </c>
      <c r="X2247">
        <v>1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0</v>
      </c>
      <c r="AI2247" t="s">
        <v>1285</v>
      </c>
      <c r="AJ2247">
        <v>38.947220000000002</v>
      </c>
      <c r="AK2247" t="s">
        <v>1284</v>
      </c>
      <c r="AL2247">
        <v>-87.616031000000007</v>
      </c>
      <c r="AM2247">
        <v>100</v>
      </c>
      <c r="AN2247">
        <v>2700</v>
      </c>
      <c r="AO2247" t="s">
        <v>118</v>
      </c>
      <c r="AP2247">
        <v>-3</v>
      </c>
      <c r="AQ2247">
        <v>-152</v>
      </c>
      <c r="AR2247">
        <v>-768</v>
      </c>
      <c r="AZ2247">
        <v>4552</v>
      </c>
      <c r="BA2247">
        <v>1</v>
      </c>
      <c r="BB2247" t="str">
        <f t="shared" si="699"/>
        <v xml:space="preserve">N607SR  </v>
      </c>
      <c r="BC2247">
        <v>1</v>
      </c>
      <c r="BE2247">
        <v>0</v>
      </c>
      <c r="BF2247">
        <v>0</v>
      </c>
      <c r="BG2247">
        <v>0</v>
      </c>
      <c r="BH2247">
        <v>2500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 t="shared" si="700"/>
        <v>06:18:33.538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6</v>
      </c>
      <c r="CP2247" t="s">
        <v>119</v>
      </c>
      <c r="CQ2247">
        <v>465</v>
      </c>
      <c r="CR2247">
        <v>0</v>
      </c>
      <c r="CW2247">
        <v>4725035</v>
      </c>
      <c r="CY2247">
        <v>1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 t="shared" ref="A2248:A2253" si="701">"08/29/2020 06:18:31.356"</f>
        <v>08/29/2020 06:18:31.356</v>
      </c>
      <c r="C2248" t="str">
        <f t="shared" si="695"/>
        <v>FFDFD3C0</v>
      </c>
      <c r="D2248" t="s">
        <v>113</v>
      </c>
      <c r="E2248">
        <v>5</v>
      </c>
      <c r="H2248">
        <v>163</v>
      </c>
      <c r="I2248" t="s">
        <v>114</v>
      </c>
      <c r="J2248" t="s">
        <v>115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ref="S2248:S2253" si="702">"06:18:34.563"</f>
        <v>06:18:34.563</v>
      </c>
      <c r="T2248" t="str">
        <f t="shared" ref="T2248:T2253" si="703">"06:18:34.162"</f>
        <v>06:18:34.162</v>
      </c>
      <c r="U2248" t="str">
        <f t="shared" si="698"/>
        <v>A7E2E0</v>
      </c>
      <c r="V2248">
        <v>0</v>
      </c>
      <c r="W2248">
        <v>0</v>
      </c>
      <c r="X2248">
        <v>1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0</v>
      </c>
      <c r="AI2248" t="s">
        <v>1286</v>
      </c>
      <c r="AJ2248">
        <v>38.946489999999997</v>
      </c>
      <c r="AK2248" t="s">
        <v>1282</v>
      </c>
      <c r="AL2248">
        <v>-87.615966999999998</v>
      </c>
      <c r="AM2248">
        <v>100</v>
      </c>
      <c r="AN2248">
        <v>2600</v>
      </c>
      <c r="AO2248" t="s">
        <v>118</v>
      </c>
      <c r="AP2248">
        <v>3</v>
      </c>
      <c r="AQ2248">
        <v>-153</v>
      </c>
      <c r="AR2248">
        <v>-832</v>
      </c>
      <c r="AZ2248">
        <v>4552</v>
      </c>
      <c r="BA2248">
        <v>1</v>
      </c>
      <c r="BB2248" t="str">
        <f t="shared" si="699"/>
        <v xml:space="preserve">N607SR  </v>
      </c>
      <c r="BC2248">
        <v>1</v>
      </c>
      <c r="BE2248">
        <v>0</v>
      </c>
      <c r="BF2248">
        <v>0</v>
      </c>
      <c r="BG2248">
        <v>0</v>
      </c>
      <c r="BH2248">
        <v>2375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"06:18:34.566"</f>
        <v>06:18:34.566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6</v>
      </c>
      <c r="CP2248" t="s">
        <v>119</v>
      </c>
      <c r="CQ2248">
        <v>457</v>
      </c>
      <c r="CR2248">
        <v>0</v>
      </c>
      <c r="CW2248">
        <v>15520283</v>
      </c>
      <c r="CY2248">
        <v>1</v>
      </c>
      <c r="CZ2248">
        <v>0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 t="shared" si="701"/>
        <v>08/29/2020 06:18:31.356</v>
      </c>
      <c r="C2249" t="str">
        <f t="shared" si="695"/>
        <v>FFDFD3C0</v>
      </c>
      <c r="D2249" t="s">
        <v>121</v>
      </c>
      <c r="E2249">
        <v>10</v>
      </c>
      <c r="F2249">
        <v>1010</v>
      </c>
      <c r="G2249" t="s">
        <v>114</v>
      </c>
      <c r="J2249" t="s">
        <v>123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702"/>
        <v>06:18:34.563</v>
      </c>
      <c r="T2249" t="str">
        <f t="shared" si="703"/>
        <v>06:18:34.162</v>
      </c>
      <c r="U2249" t="str">
        <f t="shared" si="698"/>
        <v>A7E2E0</v>
      </c>
      <c r="V2249">
        <v>0</v>
      </c>
      <c r="W2249">
        <v>0</v>
      </c>
      <c r="X2249">
        <v>1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0</v>
      </c>
      <c r="AI2249" t="s">
        <v>1286</v>
      </c>
      <c r="AJ2249">
        <v>38.946489999999997</v>
      </c>
      <c r="AK2249" t="s">
        <v>1282</v>
      </c>
      <c r="AL2249">
        <v>-87.615966999999998</v>
      </c>
      <c r="AM2249">
        <v>100</v>
      </c>
      <c r="AN2249">
        <v>2600</v>
      </c>
      <c r="AO2249" t="s">
        <v>118</v>
      </c>
      <c r="AP2249">
        <v>3</v>
      </c>
      <c r="AQ2249">
        <v>-153</v>
      </c>
      <c r="AR2249">
        <v>-832</v>
      </c>
      <c r="AZ2249">
        <v>4552</v>
      </c>
      <c r="BA2249">
        <v>1</v>
      </c>
      <c r="BB2249" t="str">
        <f t="shared" si="699"/>
        <v xml:space="preserve">N607SR  </v>
      </c>
      <c r="BC2249">
        <v>1</v>
      </c>
      <c r="BE2249">
        <v>0</v>
      </c>
      <c r="BF2249">
        <v>0</v>
      </c>
      <c r="BG2249">
        <v>0</v>
      </c>
      <c r="BH2249">
        <v>2375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"06:18:34.566"</f>
        <v>06:18:34.566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6</v>
      </c>
      <c r="CP2249" t="s">
        <v>119</v>
      </c>
      <c r="CQ2249">
        <v>457</v>
      </c>
      <c r="CR2249">
        <v>0</v>
      </c>
      <c r="CW2249">
        <v>15520283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 t="shared" si="701"/>
        <v>08/29/2020 06:18:31.356</v>
      </c>
      <c r="C2250" t="str">
        <f t="shared" si="695"/>
        <v>FFDFD3C0</v>
      </c>
      <c r="D2250" t="s">
        <v>128</v>
      </c>
      <c r="E2250">
        <v>5</v>
      </c>
      <c r="H2250">
        <v>241</v>
      </c>
      <c r="I2250" t="s">
        <v>129</v>
      </c>
      <c r="J2250" t="s">
        <v>130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702"/>
        <v>06:18:34.563</v>
      </c>
      <c r="T2250" t="str">
        <f t="shared" si="703"/>
        <v>06:18:34.162</v>
      </c>
      <c r="U2250" t="str">
        <f t="shared" si="698"/>
        <v>A7E2E0</v>
      </c>
      <c r="V2250">
        <v>0</v>
      </c>
      <c r="W2250">
        <v>0</v>
      </c>
      <c r="X2250">
        <v>1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0</v>
      </c>
      <c r="AI2250" t="s">
        <v>1286</v>
      </c>
      <c r="AJ2250">
        <v>38.946489999999997</v>
      </c>
      <c r="AK2250" t="s">
        <v>1282</v>
      </c>
      <c r="AL2250">
        <v>-87.615966999999998</v>
      </c>
      <c r="AM2250">
        <v>100</v>
      </c>
      <c r="AN2250">
        <v>2600</v>
      </c>
      <c r="AO2250" t="s">
        <v>118</v>
      </c>
      <c r="AP2250">
        <v>3</v>
      </c>
      <c r="AQ2250">
        <v>-153</v>
      </c>
      <c r="AR2250">
        <v>-832</v>
      </c>
      <c r="AZ2250">
        <v>4552</v>
      </c>
      <c r="BA2250">
        <v>1</v>
      </c>
      <c r="BB2250" t="str">
        <f t="shared" si="699"/>
        <v xml:space="preserve">N607SR  </v>
      </c>
      <c r="BC2250">
        <v>1</v>
      </c>
      <c r="BE2250">
        <v>0</v>
      </c>
      <c r="BF2250">
        <v>0</v>
      </c>
      <c r="BG2250">
        <v>0</v>
      </c>
      <c r="BH2250">
        <v>2375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"06:18:34.566"</f>
        <v>06:18:34.566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6</v>
      </c>
      <c r="CP2250" t="s">
        <v>119</v>
      </c>
      <c r="CQ2250">
        <v>457</v>
      </c>
      <c r="CR2250">
        <v>0</v>
      </c>
      <c r="CW2250">
        <v>15520283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 t="shared" si="701"/>
        <v>08/29/2020 06:18:31.356</v>
      </c>
      <c r="C2251" t="str">
        <f t="shared" si="695"/>
        <v>FFDFD3C0</v>
      </c>
      <c r="D2251" t="s">
        <v>121</v>
      </c>
      <c r="E2251">
        <v>13</v>
      </c>
      <c r="F2251">
        <v>1013</v>
      </c>
      <c r="G2251" t="s">
        <v>122</v>
      </c>
      <c r="J2251" t="s">
        <v>123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702"/>
        <v>06:18:34.563</v>
      </c>
      <c r="T2251" t="str">
        <f t="shared" si="703"/>
        <v>06:18:34.162</v>
      </c>
      <c r="U2251" t="str">
        <f t="shared" si="698"/>
        <v>A7E2E0</v>
      </c>
      <c r="V2251">
        <v>0</v>
      </c>
      <c r="W2251">
        <v>0</v>
      </c>
      <c r="X2251">
        <v>1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0</v>
      </c>
      <c r="AI2251" t="s">
        <v>1286</v>
      </c>
      <c r="AJ2251">
        <v>38.946489999999997</v>
      </c>
      <c r="AK2251" t="s">
        <v>1282</v>
      </c>
      <c r="AL2251">
        <v>-87.615966999999998</v>
      </c>
      <c r="AM2251">
        <v>100</v>
      </c>
      <c r="AN2251">
        <v>2600</v>
      </c>
      <c r="AO2251" t="s">
        <v>118</v>
      </c>
      <c r="AP2251">
        <v>3</v>
      </c>
      <c r="AQ2251">
        <v>-153</v>
      </c>
      <c r="AR2251">
        <v>-832</v>
      </c>
      <c r="AZ2251">
        <v>4552</v>
      </c>
      <c r="BA2251">
        <v>1</v>
      </c>
      <c r="BB2251" t="str">
        <f t="shared" si="699"/>
        <v xml:space="preserve">N607SR  </v>
      </c>
      <c r="BC2251">
        <v>1</v>
      </c>
      <c r="BE2251">
        <v>0</v>
      </c>
      <c r="BF2251">
        <v>0</v>
      </c>
      <c r="BG2251">
        <v>0</v>
      </c>
      <c r="BH2251">
        <v>2375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"06:18:34.566"</f>
        <v>06:18:34.566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6</v>
      </c>
      <c r="CP2251" t="s">
        <v>119</v>
      </c>
      <c r="CQ2251">
        <v>457</v>
      </c>
      <c r="CR2251">
        <v>0</v>
      </c>
      <c r="CW2251">
        <v>15520283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 t="shared" si="701"/>
        <v>08/29/2020 06:18:31.356</v>
      </c>
      <c r="C2252" t="str">
        <f t="shared" si="695"/>
        <v>FFDFD3C0</v>
      </c>
      <c r="D2252" t="s">
        <v>939</v>
      </c>
      <c r="E2252">
        <v>10</v>
      </c>
      <c r="H2252">
        <v>79</v>
      </c>
      <c r="I2252" t="s">
        <v>940</v>
      </c>
      <c r="J2252" t="s">
        <v>130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702"/>
        <v>06:18:34.563</v>
      </c>
      <c r="T2252" t="str">
        <f t="shared" si="703"/>
        <v>06:18:34.162</v>
      </c>
      <c r="U2252" t="str">
        <f t="shared" si="698"/>
        <v>A7E2E0</v>
      </c>
      <c r="V2252">
        <v>0</v>
      </c>
      <c r="W2252">
        <v>0</v>
      </c>
      <c r="X2252">
        <v>1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0</v>
      </c>
      <c r="AI2252" t="s">
        <v>1286</v>
      </c>
      <c r="AJ2252">
        <v>38.946489999999997</v>
      </c>
      <c r="AK2252" t="s">
        <v>1282</v>
      </c>
      <c r="AL2252">
        <v>-87.615966999999998</v>
      </c>
      <c r="AM2252">
        <v>100</v>
      </c>
      <c r="AN2252">
        <v>2600</v>
      </c>
      <c r="AO2252" t="s">
        <v>118</v>
      </c>
      <c r="AP2252">
        <v>3</v>
      </c>
      <c r="AQ2252">
        <v>-153</v>
      </c>
      <c r="AR2252">
        <v>-832</v>
      </c>
      <c r="AZ2252">
        <v>4552</v>
      </c>
      <c r="BA2252">
        <v>1</v>
      </c>
      <c r="BB2252" t="str">
        <f t="shared" si="699"/>
        <v xml:space="preserve">N607SR  </v>
      </c>
      <c r="BC2252">
        <v>1</v>
      </c>
      <c r="BE2252">
        <v>0</v>
      </c>
      <c r="BF2252">
        <v>0</v>
      </c>
      <c r="BG2252">
        <v>0</v>
      </c>
      <c r="BH2252">
        <v>2375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"06:18:34.567"</f>
        <v>06:18:34.567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6</v>
      </c>
      <c r="CP2252" t="s">
        <v>119</v>
      </c>
      <c r="CQ2252">
        <v>465</v>
      </c>
      <c r="CR2252">
        <v>0</v>
      </c>
      <c r="CW2252">
        <v>4725069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si="701"/>
        <v>08/29/2020 06:18:31.356</v>
      </c>
      <c r="C2253" t="str">
        <f t="shared" si="695"/>
        <v>FFDFD3C0</v>
      </c>
      <c r="D2253" t="s">
        <v>121</v>
      </c>
      <c r="E2253">
        <v>11</v>
      </c>
      <c r="F2253">
        <v>1011</v>
      </c>
      <c r="G2253" t="s">
        <v>125</v>
      </c>
      <c r="J2253" t="s">
        <v>123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702"/>
        <v>06:18:34.563</v>
      </c>
      <c r="T2253" t="str">
        <f t="shared" si="703"/>
        <v>06:18:34.162</v>
      </c>
      <c r="U2253" t="str">
        <f t="shared" si="698"/>
        <v>A7E2E0</v>
      </c>
      <c r="V2253">
        <v>0</v>
      </c>
      <c r="W2253">
        <v>0</v>
      </c>
      <c r="X2253">
        <v>1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0</v>
      </c>
      <c r="AI2253" t="s">
        <v>1286</v>
      </c>
      <c r="AJ2253">
        <v>38.946489999999997</v>
      </c>
      <c r="AK2253" t="s">
        <v>1282</v>
      </c>
      <c r="AL2253">
        <v>-87.615966999999998</v>
      </c>
      <c r="AM2253">
        <v>100</v>
      </c>
      <c r="AN2253">
        <v>2600</v>
      </c>
      <c r="AO2253" t="s">
        <v>118</v>
      </c>
      <c r="AP2253">
        <v>3</v>
      </c>
      <c r="AQ2253">
        <v>-153</v>
      </c>
      <c r="AR2253">
        <v>-832</v>
      </c>
      <c r="AZ2253">
        <v>4552</v>
      </c>
      <c r="BA2253">
        <v>1</v>
      </c>
      <c r="BB2253" t="str">
        <f t="shared" si="699"/>
        <v xml:space="preserve">N607SR  </v>
      </c>
      <c r="BC2253">
        <v>1</v>
      </c>
      <c r="BE2253">
        <v>0</v>
      </c>
      <c r="BF2253">
        <v>0</v>
      </c>
      <c r="BG2253">
        <v>0</v>
      </c>
      <c r="BH2253">
        <v>2375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"06:18:34.566"</f>
        <v>06:18:34.566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6</v>
      </c>
      <c r="CP2253" t="s">
        <v>119</v>
      </c>
      <c r="CQ2253">
        <v>457</v>
      </c>
      <c r="CR2253">
        <v>0</v>
      </c>
      <c r="CW2253">
        <v>15520283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ref="A2254:A2259" si="704">"08/29/2020 06:18:32.371"</f>
        <v>08/29/2020 06:18:32.371</v>
      </c>
      <c r="C2254" t="str">
        <f t="shared" si="695"/>
        <v>FFDFD3C0</v>
      </c>
      <c r="D2254" t="s">
        <v>121</v>
      </c>
      <c r="E2254">
        <v>10</v>
      </c>
      <c r="F2254">
        <v>1010</v>
      </c>
      <c r="G2254" t="s">
        <v>114</v>
      </c>
      <c r="J2254" t="s">
        <v>123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ref="S2254:S2259" si="705">"06:18:35.578"</f>
        <v>06:18:35.578</v>
      </c>
      <c r="T2254" t="str">
        <f t="shared" ref="T2254:T2259" si="706">"06:18:35.178"</f>
        <v>06:18:35.178</v>
      </c>
      <c r="U2254" t="str">
        <f t="shared" si="698"/>
        <v>A7E2E0</v>
      </c>
      <c r="V2254">
        <v>0</v>
      </c>
      <c r="W2254">
        <v>0</v>
      </c>
      <c r="X2254">
        <v>1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0</v>
      </c>
      <c r="AI2254" t="s">
        <v>1287</v>
      </c>
      <c r="AJ2254">
        <v>38.945760999999997</v>
      </c>
      <c r="AK2254" t="s">
        <v>1280</v>
      </c>
      <c r="AL2254">
        <v>-87.615902000000006</v>
      </c>
      <c r="AM2254">
        <v>100</v>
      </c>
      <c r="AN2254">
        <v>2600</v>
      </c>
      <c r="AO2254" t="s">
        <v>118</v>
      </c>
      <c r="AP2254">
        <v>9</v>
      </c>
      <c r="AQ2254">
        <v>-154</v>
      </c>
      <c r="AR2254">
        <v>-832</v>
      </c>
      <c r="AZ2254">
        <v>4552</v>
      </c>
      <c r="BA2254">
        <v>1</v>
      </c>
      <c r="BB2254" t="str">
        <f t="shared" si="699"/>
        <v xml:space="preserve">N607SR  </v>
      </c>
      <c r="BC2254">
        <v>1</v>
      </c>
      <c r="BE2254">
        <v>0</v>
      </c>
      <c r="BF2254">
        <v>0</v>
      </c>
      <c r="BG2254">
        <v>0</v>
      </c>
      <c r="BH2254">
        <v>2450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 t="shared" ref="BW2254:BW2259" si="707">"06:18:35.586"</f>
        <v>06:18:35.586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6</v>
      </c>
      <c r="CP2254" t="s">
        <v>119</v>
      </c>
      <c r="CQ2254">
        <v>465</v>
      </c>
      <c r="CR2254">
        <v>0</v>
      </c>
      <c r="CW2254">
        <v>4725099</v>
      </c>
      <c r="CY2254">
        <v>1</v>
      </c>
      <c r="CZ2254">
        <v>0</v>
      </c>
      <c r="DA2254">
        <v>0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si="704"/>
        <v>08/29/2020 06:18:32.371</v>
      </c>
      <c r="C2255" t="str">
        <f t="shared" si="695"/>
        <v>FFDFD3C0</v>
      </c>
      <c r="D2255" t="s">
        <v>113</v>
      </c>
      <c r="E2255">
        <v>5</v>
      </c>
      <c r="H2255">
        <v>163</v>
      </c>
      <c r="I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705"/>
        <v>06:18:35.578</v>
      </c>
      <c r="T2255" t="str">
        <f t="shared" si="706"/>
        <v>06:18:35.178</v>
      </c>
      <c r="U2255" t="str">
        <f t="shared" si="698"/>
        <v>A7E2E0</v>
      </c>
      <c r="V2255">
        <v>0</v>
      </c>
      <c r="W2255">
        <v>0</v>
      </c>
      <c r="X2255">
        <v>1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0</v>
      </c>
      <c r="AI2255" t="s">
        <v>1287</v>
      </c>
      <c r="AJ2255">
        <v>38.945760999999997</v>
      </c>
      <c r="AK2255" t="s">
        <v>1280</v>
      </c>
      <c r="AL2255">
        <v>-87.615902000000006</v>
      </c>
      <c r="AM2255">
        <v>100</v>
      </c>
      <c r="AN2255">
        <v>2600</v>
      </c>
      <c r="AO2255" t="s">
        <v>118</v>
      </c>
      <c r="AP2255">
        <v>9</v>
      </c>
      <c r="AQ2255">
        <v>-154</v>
      </c>
      <c r="AR2255">
        <v>-832</v>
      </c>
      <c r="AZ2255">
        <v>4552</v>
      </c>
      <c r="BA2255">
        <v>1</v>
      </c>
      <c r="BB2255" t="str">
        <f t="shared" si="699"/>
        <v xml:space="preserve">N607SR  </v>
      </c>
      <c r="BC2255">
        <v>1</v>
      </c>
      <c r="BE2255">
        <v>0</v>
      </c>
      <c r="BF2255">
        <v>0</v>
      </c>
      <c r="BG2255">
        <v>0</v>
      </c>
      <c r="BH2255">
        <v>2450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 t="shared" si="707"/>
        <v>06:18:35.586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6</v>
      </c>
      <c r="CP2255" t="s">
        <v>119</v>
      </c>
      <c r="CQ2255">
        <v>465</v>
      </c>
      <c r="CR2255">
        <v>0</v>
      </c>
      <c r="CW2255">
        <v>4725099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si="704"/>
        <v>08/29/2020 06:18:32.371</v>
      </c>
      <c r="C2256" t="str">
        <f t="shared" si="695"/>
        <v>FFDFD3C0</v>
      </c>
      <c r="D2256" t="s">
        <v>939</v>
      </c>
      <c r="E2256">
        <v>10</v>
      </c>
      <c r="H2256">
        <v>79</v>
      </c>
      <c r="I2256" t="s">
        <v>940</v>
      </c>
      <c r="J2256" t="s">
        <v>130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705"/>
        <v>06:18:35.578</v>
      </c>
      <c r="T2256" t="str">
        <f t="shared" si="706"/>
        <v>06:18:35.178</v>
      </c>
      <c r="U2256" t="str">
        <f t="shared" si="698"/>
        <v>A7E2E0</v>
      </c>
      <c r="V2256">
        <v>0</v>
      </c>
      <c r="W2256">
        <v>0</v>
      </c>
      <c r="X2256">
        <v>1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0</v>
      </c>
      <c r="AI2256" t="s">
        <v>1287</v>
      </c>
      <c r="AJ2256">
        <v>38.945760999999997</v>
      </c>
      <c r="AK2256" t="s">
        <v>1280</v>
      </c>
      <c r="AL2256">
        <v>-87.615902000000006</v>
      </c>
      <c r="AM2256">
        <v>100</v>
      </c>
      <c r="AN2256">
        <v>2600</v>
      </c>
      <c r="AO2256" t="s">
        <v>118</v>
      </c>
      <c r="AP2256">
        <v>9</v>
      </c>
      <c r="AQ2256">
        <v>-154</v>
      </c>
      <c r="AR2256">
        <v>-832</v>
      </c>
      <c r="AZ2256">
        <v>4552</v>
      </c>
      <c r="BA2256">
        <v>1</v>
      </c>
      <c r="BB2256" t="str">
        <f t="shared" si="699"/>
        <v xml:space="preserve">N607SR  </v>
      </c>
      <c r="BC2256">
        <v>1</v>
      </c>
      <c r="BE2256">
        <v>0</v>
      </c>
      <c r="BF2256">
        <v>0</v>
      </c>
      <c r="BG2256">
        <v>0</v>
      </c>
      <c r="BH2256">
        <v>2450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 t="shared" si="707"/>
        <v>06:18:35.586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6</v>
      </c>
      <c r="CP2256" t="s">
        <v>119</v>
      </c>
      <c r="CQ2256">
        <v>465</v>
      </c>
      <c r="CR2256">
        <v>0</v>
      </c>
      <c r="CW2256">
        <v>4725099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704"/>
        <v>08/29/2020 06:18:32.371</v>
      </c>
      <c r="C2257" t="str">
        <f t="shared" si="695"/>
        <v>FFDFD3C0</v>
      </c>
      <c r="D2257" t="s">
        <v>128</v>
      </c>
      <c r="E2257">
        <v>5</v>
      </c>
      <c r="H2257">
        <v>241</v>
      </c>
      <c r="I2257" t="s">
        <v>129</v>
      </c>
      <c r="J2257" t="s">
        <v>130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705"/>
        <v>06:18:35.578</v>
      </c>
      <c r="T2257" t="str">
        <f t="shared" si="706"/>
        <v>06:18:35.178</v>
      </c>
      <c r="U2257" t="str">
        <f t="shared" si="698"/>
        <v>A7E2E0</v>
      </c>
      <c r="V2257">
        <v>0</v>
      </c>
      <c r="W2257">
        <v>0</v>
      </c>
      <c r="X2257">
        <v>1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0</v>
      </c>
      <c r="AI2257" t="s">
        <v>1287</v>
      </c>
      <c r="AJ2257">
        <v>38.945760999999997</v>
      </c>
      <c r="AK2257" t="s">
        <v>1280</v>
      </c>
      <c r="AL2257">
        <v>-87.615902000000006</v>
      </c>
      <c r="AM2257">
        <v>100</v>
      </c>
      <c r="AN2257">
        <v>2600</v>
      </c>
      <c r="AO2257" t="s">
        <v>118</v>
      </c>
      <c r="AP2257">
        <v>9</v>
      </c>
      <c r="AQ2257">
        <v>-154</v>
      </c>
      <c r="AR2257">
        <v>-832</v>
      </c>
      <c r="AZ2257">
        <v>4552</v>
      </c>
      <c r="BA2257">
        <v>1</v>
      </c>
      <c r="BB2257" t="str">
        <f t="shared" si="699"/>
        <v xml:space="preserve">N607SR  </v>
      </c>
      <c r="BC2257">
        <v>1</v>
      </c>
      <c r="BE2257">
        <v>0</v>
      </c>
      <c r="BF2257">
        <v>0</v>
      </c>
      <c r="BG2257">
        <v>0</v>
      </c>
      <c r="BH2257">
        <v>2450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 t="shared" si="707"/>
        <v>06:18:35.586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6</v>
      </c>
      <c r="CP2257" t="s">
        <v>119</v>
      </c>
      <c r="CQ2257">
        <v>465</v>
      </c>
      <c r="CR2257">
        <v>0</v>
      </c>
      <c r="CW2257">
        <v>4725099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704"/>
        <v>08/29/2020 06:18:32.371</v>
      </c>
      <c r="C2258" t="str">
        <f t="shared" si="695"/>
        <v>FFDFD3C0</v>
      </c>
      <c r="D2258" t="s">
        <v>121</v>
      </c>
      <c r="E2258">
        <v>13</v>
      </c>
      <c r="F2258">
        <v>1013</v>
      </c>
      <c r="G2258" t="s">
        <v>122</v>
      </c>
      <c r="J2258" t="s">
        <v>123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705"/>
        <v>06:18:35.578</v>
      </c>
      <c r="T2258" t="str">
        <f t="shared" si="706"/>
        <v>06:18:35.178</v>
      </c>
      <c r="U2258" t="str">
        <f t="shared" si="698"/>
        <v>A7E2E0</v>
      </c>
      <c r="V2258">
        <v>0</v>
      </c>
      <c r="W2258">
        <v>0</v>
      </c>
      <c r="X2258">
        <v>1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0</v>
      </c>
      <c r="AI2258" t="s">
        <v>1287</v>
      </c>
      <c r="AJ2258">
        <v>38.945760999999997</v>
      </c>
      <c r="AK2258" t="s">
        <v>1280</v>
      </c>
      <c r="AL2258">
        <v>-87.615902000000006</v>
      </c>
      <c r="AM2258">
        <v>100</v>
      </c>
      <c r="AN2258">
        <v>2600</v>
      </c>
      <c r="AO2258" t="s">
        <v>118</v>
      </c>
      <c r="AP2258">
        <v>9</v>
      </c>
      <c r="AQ2258">
        <v>-154</v>
      </c>
      <c r="AR2258">
        <v>-832</v>
      </c>
      <c r="AZ2258">
        <v>4552</v>
      </c>
      <c r="BA2258">
        <v>1</v>
      </c>
      <c r="BB2258" t="str">
        <f t="shared" si="699"/>
        <v xml:space="preserve">N607SR  </v>
      </c>
      <c r="BC2258">
        <v>1</v>
      </c>
      <c r="BE2258">
        <v>0</v>
      </c>
      <c r="BF2258">
        <v>0</v>
      </c>
      <c r="BG2258">
        <v>0</v>
      </c>
      <c r="BH2258">
        <v>2450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 t="shared" si="707"/>
        <v>06:18:35.586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6</v>
      </c>
      <c r="CP2258" t="s">
        <v>119</v>
      </c>
      <c r="CQ2258">
        <v>465</v>
      </c>
      <c r="CR2258">
        <v>0</v>
      </c>
      <c r="CW2258">
        <v>4725099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si="704"/>
        <v>08/29/2020 06:18:32.371</v>
      </c>
      <c r="C2259" t="str">
        <f t="shared" si="695"/>
        <v>FFDFD3C0</v>
      </c>
      <c r="D2259" t="s">
        <v>121</v>
      </c>
      <c r="E2259">
        <v>11</v>
      </c>
      <c r="F2259">
        <v>1011</v>
      </c>
      <c r="G2259" t="s">
        <v>125</v>
      </c>
      <c r="J2259" t="s">
        <v>123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705"/>
        <v>06:18:35.578</v>
      </c>
      <c r="T2259" t="str">
        <f t="shared" si="706"/>
        <v>06:18:35.178</v>
      </c>
      <c r="U2259" t="str">
        <f t="shared" si="698"/>
        <v>A7E2E0</v>
      </c>
      <c r="V2259">
        <v>0</v>
      </c>
      <c r="W2259">
        <v>0</v>
      </c>
      <c r="X2259">
        <v>1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0</v>
      </c>
      <c r="AI2259" t="s">
        <v>1287</v>
      </c>
      <c r="AJ2259">
        <v>38.945760999999997</v>
      </c>
      <c r="AK2259" t="s">
        <v>1280</v>
      </c>
      <c r="AL2259">
        <v>-87.615902000000006</v>
      </c>
      <c r="AM2259">
        <v>100</v>
      </c>
      <c r="AN2259">
        <v>2600</v>
      </c>
      <c r="AO2259" t="s">
        <v>118</v>
      </c>
      <c r="AP2259">
        <v>9</v>
      </c>
      <c r="AQ2259">
        <v>-154</v>
      </c>
      <c r="AR2259">
        <v>-832</v>
      </c>
      <c r="AZ2259">
        <v>4552</v>
      </c>
      <c r="BA2259">
        <v>1</v>
      </c>
      <c r="BB2259" t="str">
        <f t="shared" si="699"/>
        <v xml:space="preserve">N607SR  </v>
      </c>
      <c r="BC2259">
        <v>1</v>
      </c>
      <c r="BE2259">
        <v>0</v>
      </c>
      <c r="BF2259">
        <v>0</v>
      </c>
      <c r="BG2259">
        <v>0</v>
      </c>
      <c r="BH2259">
        <v>2450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 t="shared" si="707"/>
        <v>06:18:35.586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6</v>
      </c>
      <c r="CP2259" t="s">
        <v>119</v>
      </c>
      <c r="CQ2259">
        <v>457</v>
      </c>
      <c r="CR2259">
        <v>0</v>
      </c>
      <c r="CW2259">
        <v>15520316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 t="shared" ref="A2260:A2265" si="708">"08/29/2020 06:18:33.383"</f>
        <v>08/29/2020 06:18:33.383</v>
      </c>
      <c r="C2260" t="str">
        <f t="shared" si="695"/>
        <v>FFDFD3C0</v>
      </c>
      <c r="D2260" t="s">
        <v>121</v>
      </c>
      <c r="E2260">
        <v>10</v>
      </c>
      <c r="F2260">
        <v>1010</v>
      </c>
      <c r="G2260" t="s">
        <v>114</v>
      </c>
      <c r="J2260" t="s">
        <v>123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ref="S2260:S2265" si="709">"06:18:36.633"</f>
        <v>06:18:36.633</v>
      </c>
      <c r="T2260" t="str">
        <f>"06:18:36.233"</f>
        <v>06:18:36.233</v>
      </c>
      <c r="U2260" t="str">
        <f t="shared" si="698"/>
        <v>A7E2E0</v>
      </c>
      <c r="V2260">
        <v>0</v>
      </c>
      <c r="W2260">
        <v>0</v>
      </c>
      <c r="X2260">
        <v>1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0</v>
      </c>
      <c r="AI2260" t="s">
        <v>1288</v>
      </c>
      <c r="AJ2260">
        <v>38.944988000000002</v>
      </c>
      <c r="AK2260" t="s">
        <v>1289</v>
      </c>
      <c r="AL2260">
        <v>-87.615837999999997</v>
      </c>
      <c r="AM2260">
        <v>100</v>
      </c>
      <c r="AN2260">
        <v>2600</v>
      </c>
      <c r="AO2260" t="s">
        <v>118</v>
      </c>
      <c r="AP2260">
        <v>14</v>
      </c>
      <c r="AQ2260">
        <v>-155</v>
      </c>
      <c r="AR2260">
        <v>-832</v>
      </c>
      <c r="AZ2260">
        <v>4552</v>
      </c>
      <c r="BA2260">
        <v>1</v>
      </c>
      <c r="BB2260" t="str">
        <f t="shared" si="699"/>
        <v xml:space="preserve">N607SR  </v>
      </c>
      <c r="BC2260">
        <v>1</v>
      </c>
      <c r="BE2260">
        <v>0</v>
      </c>
      <c r="BF2260">
        <v>0</v>
      </c>
      <c r="BG2260">
        <v>0</v>
      </c>
      <c r="BH2260">
        <v>2450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 t="shared" ref="BW2260:BW2265" si="710">"06:18:36.639"</f>
        <v>06:18:36.639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6</v>
      </c>
      <c r="CP2260" t="s">
        <v>119</v>
      </c>
      <c r="CQ2260">
        <v>465</v>
      </c>
      <c r="CR2260">
        <v>0</v>
      </c>
      <c r="CW2260">
        <v>4725134</v>
      </c>
      <c r="CY2260">
        <v>1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 t="shared" si="708"/>
        <v>08/29/2020 06:18:33.383</v>
      </c>
      <c r="C2261" t="str">
        <f t="shared" si="695"/>
        <v>FFDFD3C0</v>
      </c>
      <c r="D2261" t="s">
        <v>113</v>
      </c>
      <c r="E2261">
        <v>5</v>
      </c>
      <c r="H2261">
        <v>163</v>
      </c>
      <c r="I2261" t="s">
        <v>114</v>
      </c>
      <c r="J2261" t="s">
        <v>115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709"/>
        <v>06:18:36.633</v>
      </c>
      <c r="T2261" t="str">
        <f>"06:18:36.233"</f>
        <v>06:18:36.233</v>
      </c>
      <c r="U2261" t="str">
        <f t="shared" si="698"/>
        <v>A7E2E0</v>
      </c>
      <c r="V2261">
        <v>0</v>
      </c>
      <c r="W2261">
        <v>0</v>
      </c>
      <c r="X2261">
        <v>1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0</v>
      </c>
      <c r="AI2261" t="s">
        <v>1288</v>
      </c>
      <c r="AJ2261">
        <v>38.944988000000002</v>
      </c>
      <c r="AK2261" t="s">
        <v>1289</v>
      </c>
      <c r="AL2261">
        <v>-87.615837999999997</v>
      </c>
      <c r="AM2261">
        <v>100</v>
      </c>
      <c r="AN2261">
        <v>2600</v>
      </c>
      <c r="AO2261" t="s">
        <v>118</v>
      </c>
      <c r="AP2261">
        <v>14</v>
      </c>
      <c r="AQ2261">
        <v>-155</v>
      </c>
      <c r="AR2261">
        <v>-832</v>
      </c>
      <c r="AZ2261">
        <v>4552</v>
      </c>
      <c r="BA2261">
        <v>1</v>
      </c>
      <c r="BB2261" t="str">
        <f t="shared" si="699"/>
        <v xml:space="preserve">N607SR  </v>
      </c>
      <c r="BC2261">
        <v>1</v>
      </c>
      <c r="BE2261">
        <v>0</v>
      </c>
      <c r="BF2261">
        <v>0</v>
      </c>
      <c r="BG2261">
        <v>0</v>
      </c>
      <c r="BH2261">
        <v>2450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 t="shared" si="710"/>
        <v>06:18:36.639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6</v>
      </c>
      <c r="CP2261" t="s">
        <v>119</v>
      </c>
      <c r="CQ2261">
        <v>465</v>
      </c>
      <c r="CR2261">
        <v>0</v>
      </c>
      <c r="CW2261">
        <v>4725134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 t="shared" si="708"/>
        <v>08/29/2020 06:18:33.383</v>
      </c>
      <c r="C2262" t="str">
        <f t="shared" si="695"/>
        <v>FFDFD3C0</v>
      </c>
      <c r="D2262" t="s">
        <v>939</v>
      </c>
      <c r="E2262">
        <v>10</v>
      </c>
      <c r="H2262">
        <v>79</v>
      </c>
      <c r="I2262" t="s">
        <v>940</v>
      </c>
      <c r="J2262" t="s">
        <v>130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709"/>
        <v>06:18:36.633</v>
      </c>
      <c r="T2262" t="str">
        <f>"06:18:36.233"</f>
        <v>06:18:36.233</v>
      </c>
      <c r="U2262" t="str">
        <f t="shared" si="698"/>
        <v>A7E2E0</v>
      </c>
      <c r="V2262">
        <v>0</v>
      </c>
      <c r="W2262">
        <v>0</v>
      </c>
      <c r="X2262">
        <v>1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0</v>
      </c>
      <c r="AI2262" t="s">
        <v>1288</v>
      </c>
      <c r="AJ2262">
        <v>38.944988000000002</v>
      </c>
      <c r="AK2262" t="s">
        <v>1289</v>
      </c>
      <c r="AL2262">
        <v>-87.615837999999997</v>
      </c>
      <c r="AM2262">
        <v>100</v>
      </c>
      <c r="AN2262">
        <v>2600</v>
      </c>
      <c r="AO2262" t="s">
        <v>118</v>
      </c>
      <c r="AP2262">
        <v>14</v>
      </c>
      <c r="AQ2262">
        <v>-155</v>
      </c>
      <c r="AR2262">
        <v>-832</v>
      </c>
      <c r="AZ2262">
        <v>4552</v>
      </c>
      <c r="BA2262">
        <v>1</v>
      </c>
      <c r="BB2262" t="str">
        <f t="shared" si="699"/>
        <v xml:space="preserve">N607SR  </v>
      </c>
      <c r="BC2262">
        <v>1</v>
      </c>
      <c r="BE2262">
        <v>0</v>
      </c>
      <c r="BF2262">
        <v>0</v>
      </c>
      <c r="BG2262">
        <v>0</v>
      </c>
      <c r="BH2262">
        <v>2450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 t="shared" si="710"/>
        <v>06:18:36.639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6</v>
      </c>
      <c r="CP2262" t="s">
        <v>119</v>
      </c>
      <c r="CQ2262">
        <v>465</v>
      </c>
      <c r="CR2262">
        <v>0</v>
      </c>
      <c r="CW2262">
        <v>4725134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 t="shared" si="708"/>
        <v>08/29/2020 06:18:33.383</v>
      </c>
      <c r="C2263" t="str">
        <f t="shared" si="695"/>
        <v>FFDFD3C0</v>
      </c>
      <c r="D2263" t="s">
        <v>128</v>
      </c>
      <c r="E2263">
        <v>5</v>
      </c>
      <c r="H2263">
        <v>241</v>
      </c>
      <c r="I2263" t="s">
        <v>129</v>
      </c>
      <c r="J2263" t="s">
        <v>130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709"/>
        <v>06:18:36.633</v>
      </c>
      <c r="T2263" t="str">
        <f>"06:18:36.233"</f>
        <v>06:18:36.233</v>
      </c>
      <c r="U2263" t="str">
        <f t="shared" si="698"/>
        <v>A7E2E0</v>
      </c>
      <c r="V2263">
        <v>0</v>
      </c>
      <c r="W2263">
        <v>0</v>
      </c>
      <c r="X2263">
        <v>1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0</v>
      </c>
      <c r="AI2263" t="s">
        <v>1288</v>
      </c>
      <c r="AJ2263">
        <v>38.944988000000002</v>
      </c>
      <c r="AK2263" t="s">
        <v>1289</v>
      </c>
      <c r="AL2263">
        <v>-87.615837999999997</v>
      </c>
      <c r="AM2263">
        <v>100</v>
      </c>
      <c r="AN2263">
        <v>2600</v>
      </c>
      <c r="AO2263" t="s">
        <v>118</v>
      </c>
      <c r="AP2263">
        <v>14</v>
      </c>
      <c r="AQ2263">
        <v>-155</v>
      </c>
      <c r="AR2263">
        <v>-832</v>
      </c>
      <c r="AZ2263">
        <v>4552</v>
      </c>
      <c r="BA2263">
        <v>1</v>
      </c>
      <c r="BB2263" t="str">
        <f t="shared" si="699"/>
        <v xml:space="preserve">N607SR  </v>
      </c>
      <c r="BC2263">
        <v>1</v>
      </c>
      <c r="BE2263">
        <v>0</v>
      </c>
      <c r="BF2263">
        <v>0</v>
      </c>
      <c r="BG2263">
        <v>0</v>
      </c>
      <c r="BH2263">
        <v>2450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 t="shared" si="710"/>
        <v>06:18:36.639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6</v>
      </c>
      <c r="CP2263" t="s">
        <v>119</v>
      </c>
      <c r="CQ2263">
        <v>465</v>
      </c>
      <c r="CR2263">
        <v>0</v>
      </c>
      <c r="CW2263">
        <v>4725134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 t="shared" si="708"/>
        <v>08/29/2020 06:18:33.383</v>
      </c>
      <c r="C2264" t="str">
        <f t="shared" si="695"/>
        <v>FFDFD3C0</v>
      </c>
      <c r="D2264" t="s">
        <v>121</v>
      </c>
      <c r="E2264">
        <v>13</v>
      </c>
      <c r="F2264">
        <v>1013</v>
      </c>
      <c r="G2264" t="s">
        <v>122</v>
      </c>
      <c r="J2264" t="s">
        <v>123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709"/>
        <v>06:18:36.633</v>
      </c>
      <c r="T2264" t="str">
        <f>"06:18:36.233"</f>
        <v>06:18:36.233</v>
      </c>
      <c r="U2264" t="str">
        <f t="shared" si="698"/>
        <v>A7E2E0</v>
      </c>
      <c r="V2264">
        <v>0</v>
      </c>
      <c r="W2264">
        <v>0</v>
      </c>
      <c r="X2264">
        <v>1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0</v>
      </c>
      <c r="AI2264" t="s">
        <v>1288</v>
      </c>
      <c r="AJ2264">
        <v>38.944988000000002</v>
      </c>
      <c r="AK2264" t="s">
        <v>1289</v>
      </c>
      <c r="AL2264">
        <v>-87.615837999999997</v>
      </c>
      <c r="AM2264">
        <v>100</v>
      </c>
      <c r="AN2264">
        <v>2600</v>
      </c>
      <c r="AO2264" t="s">
        <v>118</v>
      </c>
      <c r="AP2264">
        <v>14</v>
      </c>
      <c r="AQ2264">
        <v>-155</v>
      </c>
      <c r="AR2264">
        <v>-832</v>
      </c>
      <c r="AZ2264">
        <v>4552</v>
      </c>
      <c r="BA2264">
        <v>1</v>
      </c>
      <c r="BB2264" t="str">
        <f t="shared" si="699"/>
        <v xml:space="preserve">N607SR  </v>
      </c>
      <c r="BC2264">
        <v>1</v>
      </c>
      <c r="BE2264">
        <v>0</v>
      </c>
      <c r="BF2264">
        <v>0</v>
      </c>
      <c r="BG2264">
        <v>0</v>
      </c>
      <c r="BH2264">
        <v>2450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 t="shared" si="710"/>
        <v>06:18:36.639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6</v>
      </c>
      <c r="CP2264" t="s">
        <v>119</v>
      </c>
      <c r="CQ2264">
        <v>465</v>
      </c>
      <c r="CR2264">
        <v>0</v>
      </c>
      <c r="CW2264">
        <v>4725134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 t="shared" si="708"/>
        <v>08/29/2020 06:18:33.383</v>
      </c>
      <c r="C2265" t="str">
        <f t="shared" si="695"/>
        <v>FFDFD3C0</v>
      </c>
      <c r="D2265" t="s">
        <v>121</v>
      </c>
      <c r="E2265">
        <v>11</v>
      </c>
      <c r="F2265">
        <v>1011</v>
      </c>
      <c r="G2265" t="s">
        <v>125</v>
      </c>
      <c r="J2265" t="s">
        <v>123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709"/>
        <v>06:18:36.633</v>
      </c>
      <c r="T2265" t="str">
        <f>"06:18:35.633"</f>
        <v>06:18:35.633</v>
      </c>
      <c r="U2265" t="str">
        <f t="shared" si="698"/>
        <v>A7E2E0</v>
      </c>
      <c r="V2265">
        <v>0</v>
      </c>
      <c r="W2265">
        <v>0</v>
      </c>
      <c r="X2265">
        <v>1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0</v>
      </c>
      <c r="AI2265" t="s">
        <v>1288</v>
      </c>
      <c r="AJ2265">
        <v>38.944988000000002</v>
      </c>
      <c r="AK2265" t="s">
        <v>1289</v>
      </c>
      <c r="AL2265">
        <v>-87.615837999999997</v>
      </c>
      <c r="AM2265">
        <v>100</v>
      </c>
      <c r="AN2265">
        <v>2600</v>
      </c>
      <c r="AO2265" t="s">
        <v>118</v>
      </c>
      <c r="AP2265">
        <v>11</v>
      </c>
      <c r="AQ2265">
        <v>-154</v>
      </c>
      <c r="AR2265">
        <v>-832</v>
      </c>
      <c r="AZ2265">
        <v>4552</v>
      </c>
      <c r="BA2265">
        <v>1</v>
      </c>
      <c r="BB2265" t="str">
        <f t="shared" si="699"/>
        <v xml:space="preserve">N607SR  </v>
      </c>
      <c r="BC2265">
        <v>1</v>
      </c>
      <c r="BE2265">
        <v>0</v>
      </c>
      <c r="BF2265">
        <v>0</v>
      </c>
      <c r="BG2265">
        <v>0</v>
      </c>
      <c r="BH2265">
        <v>2450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 t="shared" si="710"/>
        <v>06:18:36.639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6</v>
      </c>
      <c r="CP2265" t="s">
        <v>119</v>
      </c>
      <c r="CQ2265">
        <v>457</v>
      </c>
      <c r="CR2265">
        <v>0</v>
      </c>
      <c r="CW2265">
        <v>15520346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 t="shared" ref="A2266:A2271" si="711">"08/29/2020 06:18:34.339"</f>
        <v>08/29/2020 06:18:34.339</v>
      </c>
      <c r="C2266" t="str">
        <f t="shared" si="695"/>
        <v>FFDFD3C0</v>
      </c>
      <c r="D2266" t="s">
        <v>939</v>
      </c>
      <c r="E2266">
        <v>10</v>
      </c>
      <c r="H2266">
        <v>79</v>
      </c>
      <c r="I2266" t="s">
        <v>940</v>
      </c>
      <c r="J2266" t="s">
        <v>130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ref="S2266:S2271" si="712">"06:18:37.555"</f>
        <v>06:18:37.555</v>
      </c>
      <c r="T2266" t="str">
        <f t="shared" ref="T2266:T2271" si="713">"06:18:37.155"</f>
        <v>06:18:37.155</v>
      </c>
      <c r="U2266" t="str">
        <f t="shared" si="698"/>
        <v>A7E2E0</v>
      </c>
      <c r="V2266">
        <v>0</v>
      </c>
      <c r="W2266">
        <v>0</v>
      </c>
      <c r="X2266">
        <v>1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0</v>
      </c>
      <c r="AI2266" t="s">
        <v>1290</v>
      </c>
      <c r="AJ2266">
        <v>38.944344999999998</v>
      </c>
      <c r="AK2266" t="s">
        <v>1291</v>
      </c>
      <c r="AL2266">
        <v>-87.615730999999997</v>
      </c>
      <c r="AM2266">
        <v>100</v>
      </c>
      <c r="AN2266">
        <v>2600</v>
      </c>
      <c r="AO2266" t="s">
        <v>118</v>
      </c>
      <c r="AP2266">
        <v>19</v>
      </c>
      <c r="AQ2266">
        <v>-155</v>
      </c>
      <c r="AR2266">
        <v>-832</v>
      </c>
      <c r="AZ2266">
        <v>4552</v>
      </c>
      <c r="BA2266">
        <v>1</v>
      </c>
      <c r="BB2266" t="str">
        <f t="shared" si="699"/>
        <v xml:space="preserve">N607SR  </v>
      </c>
      <c r="BC2266">
        <v>1</v>
      </c>
      <c r="BE2266">
        <v>0</v>
      </c>
      <c r="BF2266">
        <v>0</v>
      </c>
      <c r="BG2266">
        <v>0</v>
      </c>
      <c r="BH2266">
        <v>2425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 t="shared" ref="BW2266:BW2271" si="714">"06:18:37.560"</f>
        <v>06:18:37.560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6</v>
      </c>
      <c r="CP2266" t="s">
        <v>119</v>
      </c>
      <c r="CQ2266">
        <v>465</v>
      </c>
      <c r="CR2266">
        <v>0</v>
      </c>
      <c r="CW2266">
        <v>4725163</v>
      </c>
      <c r="CY2266">
        <v>1</v>
      </c>
      <c r="CZ2266">
        <v>0</v>
      </c>
      <c r="DA2266">
        <v>0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 t="shared" si="711"/>
        <v>08/29/2020 06:18:34.339</v>
      </c>
      <c r="C2267" t="str">
        <f t="shared" si="695"/>
        <v>FFDFD3C0</v>
      </c>
      <c r="D2267" t="s">
        <v>121</v>
      </c>
      <c r="E2267">
        <v>10</v>
      </c>
      <c r="F2267">
        <v>1010</v>
      </c>
      <c r="G2267" t="s">
        <v>114</v>
      </c>
      <c r="J2267" t="s">
        <v>123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712"/>
        <v>06:18:37.555</v>
      </c>
      <c r="T2267" t="str">
        <f t="shared" si="713"/>
        <v>06:18:37.155</v>
      </c>
      <c r="U2267" t="str">
        <f t="shared" si="698"/>
        <v>A7E2E0</v>
      </c>
      <c r="V2267">
        <v>0</v>
      </c>
      <c r="W2267">
        <v>0</v>
      </c>
      <c r="X2267">
        <v>1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0</v>
      </c>
      <c r="AI2267" t="s">
        <v>1290</v>
      </c>
      <c r="AJ2267">
        <v>38.944344999999998</v>
      </c>
      <c r="AK2267" t="s">
        <v>1291</v>
      </c>
      <c r="AL2267">
        <v>-87.615730999999997</v>
      </c>
      <c r="AM2267">
        <v>100</v>
      </c>
      <c r="AN2267">
        <v>2600</v>
      </c>
      <c r="AO2267" t="s">
        <v>118</v>
      </c>
      <c r="AP2267">
        <v>19</v>
      </c>
      <c r="AQ2267">
        <v>-155</v>
      </c>
      <c r="AR2267">
        <v>-832</v>
      </c>
      <c r="AZ2267">
        <v>4552</v>
      </c>
      <c r="BA2267">
        <v>1</v>
      </c>
      <c r="BB2267" t="str">
        <f t="shared" si="699"/>
        <v xml:space="preserve">N607SR  </v>
      </c>
      <c r="BC2267">
        <v>1</v>
      </c>
      <c r="BE2267">
        <v>0</v>
      </c>
      <c r="BF2267">
        <v>0</v>
      </c>
      <c r="BG2267">
        <v>0</v>
      </c>
      <c r="BH2267">
        <v>2425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 t="shared" si="714"/>
        <v>06:18:37.560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6</v>
      </c>
      <c r="CP2267" t="s">
        <v>119</v>
      </c>
      <c r="CQ2267">
        <v>457</v>
      </c>
      <c r="CR2267">
        <v>0</v>
      </c>
      <c r="CW2267">
        <v>15520374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 t="shared" si="711"/>
        <v>08/29/2020 06:18:34.339</v>
      </c>
      <c r="C2268" t="str">
        <f t="shared" si="695"/>
        <v>FFDFD3C0</v>
      </c>
      <c r="D2268" t="s">
        <v>113</v>
      </c>
      <c r="E2268">
        <v>5</v>
      </c>
      <c r="H2268">
        <v>163</v>
      </c>
      <c r="I2268" t="s">
        <v>114</v>
      </c>
      <c r="J2268" t="s">
        <v>115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712"/>
        <v>06:18:37.555</v>
      </c>
      <c r="T2268" t="str">
        <f t="shared" si="713"/>
        <v>06:18:37.155</v>
      </c>
      <c r="U2268" t="str">
        <f t="shared" si="698"/>
        <v>A7E2E0</v>
      </c>
      <c r="V2268">
        <v>0</v>
      </c>
      <c r="W2268">
        <v>0</v>
      </c>
      <c r="X2268">
        <v>1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0</v>
      </c>
      <c r="AI2268" t="s">
        <v>1290</v>
      </c>
      <c r="AJ2268">
        <v>38.944344999999998</v>
      </c>
      <c r="AK2268" t="s">
        <v>1291</v>
      </c>
      <c r="AL2268">
        <v>-87.615730999999997</v>
      </c>
      <c r="AM2268">
        <v>100</v>
      </c>
      <c r="AN2268">
        <v>2600</v>
      </c>
      <c r="AO2268" t="s">
        <v>118</v>
      </c>
      <c r="AP2268">
        <v>19</v>
      </c>
      <c r="AQ2268">
        <v>-155</v>
      </c>
      <c r="AR2268">
        <v>-832</v>
      </c>
      <c r="AZ2268">
        <v>4552</v>
      </c>
      <c r="BA2268">
        <v>1</v>
      </c>
      <c r="BB2268" t="str">
        <f t="shared" si="699"/>
        <v xml:space="preserve">N607SR  </v>
      </c>
      <c r="BC2268">
        <v>1</v>
      </c>
      <c r="BE2268">
        <v>0</v>
      </c>
      <c r="BF2268">
        <v>0</v>
      </c>
      <c r="BG2268">
        <v>0</v>
      </c>
      <c r="BH2268">
        <v>2425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 t="shared" si="714"/>
        <v>06:18:37.560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6</v>
      </c>
      <c r="CP2268" t="s">
        <v>119</v>
      </c>
      <c r="CQ2268">
        <v>457</v>
      </c>
      <c r="CR2268">
        <v>0</v>
      </c>
      <c r="CW2268">
        <v>15520374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 t="shared" si="711"/>
        <v>08/29/2020 06:18:34.339</v>
      </c>
      <c r="C2269" t="str">
        <f t="shared" si="695"/>
        <v>FFDFD3C0</v>
      </c>
      <c r="D2269" t="s">
        <v>128</v>
      </c>
      <c r="E2269">
        <v>5</v>
      </c>
      <c r="H2269">
        <v>241</v>
      </c>
      <c r="I2269" t="s">
        <v>129</v>
      </c>
      <c r="J2269" t="s">
        <v>130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712"/>
        <v>06:18:37.555</v>
      </c>
      <c r="T2269" t="str">
        <f t="shared" si="713"/>
        <v>06:18:37.155</v>
      </c>
      <c r="U2269" t="str">
        <f t="shared" si="698"/>
        <v>A7E2E0</v>
      </c>
      <c r="V2269">
        <v>0</v>
      </c>
      <c r="W2269">
        <v>0</v>
      </c>
      <c r="X2269">
        <v>1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0</v>
      </c>
      <c r="AI2269" t="s">
        <v>1290</v>
      </c>
      <c r="AJ2269">
        <v>38.944344999999998</v>
      </c>
      <c r="AK2269" t="s">
        <v>1291</v>
      </c>
      <c r="AL2269">
        <v>-87.615730999999997</v>
      </c>
      <c r="AM2269">
        <v>100</v>
      </c>
      <c r="AN2269">
        <v>2600</v>
      </c>
      <c r="AO2269" t="s">
        <v>118</v>
      </c>
      <c r="AP2269">
        <v>19</v>
      </c>
      <c r="AQ2269">
        <v>-155</v>
      </c>
      <c r="AR2269">
        <v>-832</v>
      </c>
      <c r="AZ2269">
        <v>4552</v>
      </c>
      <c r="BA2269">
        <v>1</v>
      </c>
      <c r="BB2269" t="str">
        <f t="shared" si="699"/>
        <v xml:space="preserve">N607SR  </v>
      </c>
      <c r="BC2269">
        <v>1</v>
      </c>
      <c r="BE2269">
        <v>0</v>
      </c>
      <c r="BF2269">
        <v>0</v>
      </c>
      <c r="BG2269">
        <v>0</v>
      </c>
      <c r="BH2269">
        <v>2425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 t="shared" si="714"/>
        <v>06:18:37.560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6</v>
      </c>
      <c r="CP2269" t="s">
        <v>119</v>
      </c>
      <c r="CQ2269">
        <v>457</v>
      </c>
      <c r="CR2269">
        <v>0</v>
      </c>
      <c r="CW2269">
        <v>15520374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 t="shared" si="711"/>
        <v>08/29/2020 06:18:34.339</v>
      </c>
      <c r="C2270" t="str">
        <f t="shared" si="695"/>
        <v>FFDFD3C0</v>
      </c>
      <c r="D2270" t="s">
        <v>121</v>
      </c>
      <c r="E2270">
        <v>13</v>
      </c>
      <c r="F2270">
        <v>1013</v>
      </c>
      <c r="G2270" t="s">
        <v>122</v>
      </c>
      <c r="J2270" t="s">
        <v>123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712"/>
        <v>06:18:37.555</v>
      </c>
      <c r="T2270" t="str">
        <f t="shared" si="713"/>
        <v>06:18:37.155</v>
      </c>
      <c r="U2270" t="str">
        <f t="shared" si="698"/>
        <v>A7E2E0</v>
      </c>
      <c r="V2270">
        <v>0</v>
      </c>
      <c r="W2270">
        <v>0</v>
      </c>
      <c r="X2270">
        <v>1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0</v>
      </c>
      <c r="AI2270" t="s">
        <v>1290</v>
      </c>
      <c r="AJ2270">
        <v>38.944344999999998</v>
      </c>
      <c r="AK2270" t="s">
        <v>1291</v>
      </c>
      <c r="AL2270">
        <v>-87.615730999999997</v>
      </c>
      <c r="AM2270">
        <v>100</v>
      </c>
      <c r="AN2270">
        <v>2600</v>
      </c>
      <c r="AO2270" t="s">
        <v>118</v>
      </c>
      <c r="AP2270">
        <v>19</v>
      </c>
      <c r="AQ2270">
        <v>-155</v>
      </c>
      <c r="AR2270">
        <v>-832</v>
      </c>
      <c r="AZ2270">
        <v>4552</v>
      </c>
      <c r="BA2270">
        <v>1</v>
      </c>
      <c r="BB2270" t="str">
        <f t="shared" si="699"/>
        <v xml:space="preserve">N607SR  </v>
      </c>
      <c r="BC2270">
        <v>1</v>
      </c>
      <c r="BE2270">
        <v>0</v>
      </c>
      <c r="BF2270">
        <v>0</v>
      </c>
      <c r="BG2270">
        <v>0</v>
      </c>
      <c r="BH2270">
        <v>2425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 t="shared" si="714"/>
        <v>06:18:37.560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6</v>
      </c>
      <c r="CP2270" t="s">
        <v>119</v>
      </c>
      <c r="CQ2270">
        <v>457</v>
      </c>
      <c r="CR2270">
        <v>0</v>
      </c>
      <c r="CW2270">
        <v>15520374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si="711"/>
        <v>08/29/2020 06:18:34.339</v>
      </c>
      <c r="C2271" t="str">
        <f t="shared" si="695"/>
        <v>FFDFD3C0</v>
      </c>
      <c r="D2271" t="s">
        <v>121</v>
      </c>
      <c r="E2271">
        <v>11</v>
      </c>
      <c r="F2271">
        <v>1011</v>
      </c>
      <c r="G2271" t="s">
        <v>125</v>
      </c>
      <c r="J2271" t="s">
        <v>123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712"/>
        <v>06:18:37.555</v>
      </c>
      <c r="T2271" t="str">
        <f t="shared" si="713"/>
        <v>06:18:37.155</v>
      </c>
      <c r="U2271" t="str">
        <f t="shared" si="698"/>
        <v>A7E2E0</v>
      </c>
      <c r="V2271">
        <v>0</v>
      </c>
      <c r="W2271">
        <v>0</v>
      </c>
      <c r="X2271">
        <v>1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0</v>
      </c>
      <c r="AI2271" t="s">
        <v>1290</v>
      </c>
      <c r="AJ2271">
        <v>38.944344999999998</v>
      </c>
      <c r="AK2271" t="s">
        <v>1291</v>
      </c>
      <c r="AL2271">
        <v>-87.615730999999997</v>
      </c>
      <c r="AM2271">
        <v>100</v>
      </c>
      <c r="AN2271">
        <v>2600</v>
      </c>
      <c r="AO2271" t="s">
        <v>118</v>
      </c>
      <c r="AP2271">
        <v>19</v>
      </c>
      <c r="AQ2271">
        <v>-155</v>
      </c>
      <c r="AR2271">
        <v>-832</v>
      </c>
      <c r="AZ2271">
        <v>4552</v>
      </c>
      <c r="BA2271">
        <v>1</v>
      </c>
      <c r="BB2271" t="str">
        <f t="shared" si="699"/>
        <v xml:space="preserve">N607SR  </v>
      </c>
      <c r="BC2271">
        <v>1</v>
      </c>
      <c r="BE2271">
        <v>0</v>
      </c>
      <c r="BF2271">
        <v>0</v>
      </c>
      <c r="BG2271">
        <v>0</v>
      </c>
      <c r="BH2271">
        <v>2425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 t="shared" si="714"/>
        <v>06:18:37.560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6</v>
      </c>
      <c r="CP2271" t="s">
        <v>119</v>
      </c>
      <c r="CQ2271">
        <v>457</v>
      </c>
      <c r="CR2271">
        <v>0</v>
      </c>
      <c r="CW2271">
        <v>15520374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ref="A2272:A2277" si="715">"08/29/2020 06:18:35.319"</f>
        <v>08/29/2020 06:18:35.319</v>
      </c>
      <c r="C2272" t="str">
        <f t="shared" si="695"/>
        <v>FFDFD3C0</v>
      </c>
      <c r="D2272" t="s">
        <v>121</v>
      </c>
      <c r="E2272">
        <v>13</v>
      </c>
      <c r="F2272">
        <v>1013</v>
      </c>
      <c r="G2272" t="s">
        <v>122</v>
      </c>
      <c r="J2272" t="s">
        <v>123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ref="S2272:S2277" si="716">"06:18:38.586"</f>
        <v>06:18:38.586</v>
      </c>
      <c r="T2272" t="str">
        <f>"06:18:38.086"</f>
        <v>06:18:38.086</v>
      </c>
      <c r="U2272" t="str">
        <f t="shared" si="698"/>
        <v>A7E2E0</v>
      </c>
      <c r="V2272">
        <v>0</v>
      </c>
      <c r="W2272">
        <v>0</v>
      </c>
      <c r="X2272">
        <v>1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0</v>
      </c>
      <c r="AI2272" t="s">
        <v>1292</v>
      </c>
      <c r="AJ2272">
        <v>38.943593999999997</v>
      </c>
      <c r="AK2272" t="s">
        <v>1293</v>
      </c>
      <c r="AL2272">
        <v>-87.615601999999996</v>
      </c>
      <c r="AM2272">
        <v>100</v>
      </c>
      <c r="AN2272">
        <v>2600</v>
      </c>
      <c r="AO2272" t="s">
        <v>118</v>
      </c>
      <c r="AP2272">
        <v>22</v>
      </c>
      <c r="AQ2272">
        <v>-155</v>
      </c>
      <c r="AR2272">
        <v>-832</v>
      </c>
      <c r="AZ2272">
        <v>4552</v>
      </c>
      <c r="BA2272">
        <v>1</v>
      </c>
      <c r="BB2272" t="str">
        <f t="shared" si="699"/>
        <v xml:space="preserve">N607SR  </v>
      </c>
      <c r="BC2272">
        <v>1</v>
      </c>
      <c r="BE2272">
        <v>0</v>
      </c>
      <c r="BF2272">
        <v>0</v>
      </c>
      <c r="BG2272">
        <v>0</v>
      </c>
      <c r="BH2272">
        <v>2425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 t="shared" ref="BW2272:BW2277" si="717">"06:18:38.587"</f>
        <v>06:18:38.587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6</v>
      </c>
      <c r="CP2272" t="s">
        <v>119</v>
      </c>
      <c r="CQ2272">
        <v>457</v>
      </c>
      <c r="CR2272">
        <v>0</v>
      </c>
      <c r="CW2272">
        <v>15520398</v>
      </c>
      <c r="CY2272">
        <v>1</v>
      </c>
      <c r="CZ2272">
        <v>0</v>
      </c>
      <c r="DA2272">
        <v>0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si="715"/>
        <v>08/29/2020 06:18:35.319</v>
      </c>
      <c r="C2273" t="str">
        <f t="shared" si="695"/>
        <v>FFDFD3C0</v>
      </c>
      <c r="D2273" t="s">
        <v>121</v>
      </c>
      <c r="E2273">
        <v>11</v>
      </c>
      <c r="F2273">
        <v>1011</v>
      </c>
      <c r="G2273" t="s">
        <v>125</v>
      </c>
      <c r="J2273" t="s">
        <v>123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716"/>
        <v>06:18:38.586</v>
      </c>
      <c r="T2273" t="str">
        <f>"06:18:38.086"</f>
        <v>06:18:38.086</v>
      </c>
      <c r="U2273" t="str">
        <f t="shared" si="698"/>
        <v>A7E2E0</v>
      </c>
      <c r="V2273">
        <v>0</v>
      </c>
      <c r="W2273">
        <v>0</v>
      </c>
      <c r="X2273">
        <v>1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0</v>
      </c>
      <c r="AI2273" t="s">
        <v>1292</v>
      </c>
      <c r="AJ2273">
        <v>38.943593999999997</v>
      </c>
      <c r="AK2273" t="s">
        <v>1293</v>
      </c>
      <c r="AL2273">
        <v>-87.615601999999996</v>
      </c>
      <c r="AM2273">
        <v>100</v>
      </c>
      <c r="AN2273">
        <v>2600</v>
      </c>
      <c r="AO2273" t="s">
        <v>118</v>
      </c>
      <c r="AP2273">
        <v>22</v>
      </c>
      <c r="AQ2273">
        <v>-155</v>
      </c>
      <c r="AR2273">
        <v>-832</v>
      </c>
      <c r="AZ2273">
        <v>4552</v>
      </c>
      <c r="BA2273">
        <v>1</v>
      </c>
      <c r="BB2273" t="str">
        <f t="shared" si="699"/>
        <v xml:space="preserve">N607SR  </v>
      </c>
      <c r="BC2273">
        <v>1</v>
      </c>
      <c r="BE2273">
        <v>0</v>
      </c>
      <c r="BF2273">
        <v>0</v>
      </c>
      <c r="BG2273">
        <v>0</v>
      </c>
      <c r="BH2273">
        <v>2425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 t="shared" si="717"/>
        <v>06:18:38.587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6</v>
      </c>
      <c r="CP2273" t="s">
        <v>119</v>
      </c>
      <c r="CQ2273">
        <v>457</v>
      </c>
      <c r="CR2273">
        <v>0</v>
      </c>
      <c r="CW2273">
        <v>15520398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715"/>
        <v>08/29/2020 06:18:35.319</v>
      </c>
      <c r="C2274" t="str">
        <f t="shared" si="695"/>
        <v>FFDFD3C0</v>
      </c>
      <c r="D2274" t="s">
        <v>939</v>
      </c>
      <c r="E2274">
        <v>10</v>
      </c>
      <c r="H2274">
        <v>79</v>
      </c>
      <c r="I2274" t="s">
        <v>940</v>
      </c>
      <c r="J2274" t="s">
        <v>130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716"/>
        <v>06:18:38.586</v>
      </c>
      <c r="T2274" t="str">
        <f>"06:18:37.586"</f>
        <v>06:18:37.586</v>
      </c>
      <c r="U2274" t="str">
        <f t="shared" si="698"/>
        <v>A7E2E0</v>
      </c>
      <c r="V2274">
        <v>0</v>
      </c>
      <c r="W2274">
        <v>0</v>
      </c>
      <c r="X2274">
        <v>1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0</v>
      </c>
      <c r="AI2274" t="s">
        <v>1292</v>
      </c>
      <c r="AJ2274">
        <v>38.943593999999997</v>
      </c>
      <c r="AK2274" t="s">
        <v>1293</v>
      </c>
      <c r="AL2274">
        <v>-87.615601999999996</v>
      </c>
      <c r="AM2274">
        <v>100</v>
      </c>
      <c r="AN2274">
        <v>2600</v>
      </c>
      <c r="AO2274" t="s">
        <v>118</v>
      </c>
      <c r="AP2274">
        <v>20</v>
      </c>
      <c r="AQ2274">
        <v>-155</v>
      </c>
      <c r="AR2274">
        <v>-832</v>
      </c>
      <c r="AZ2274">
        <v>4552</v>
      </c>
      <c r="BA2274">
        <v>1</v>
      </c>
      <c r="BB2274" t="str">
        <f t="shared" si="699"/>
        <v xml:space="preserve">N607SR  </v>
      </c>
      <c r="BC2274">
        <v>1</v>
      </c>
      <c r="BE2274">
        <v>0</v>
      </c>
      <c r="BF2274">
        <v>0</v>
      </c>
      <c r="BG2274">
        <v>0</v>
      </c>
      <c r="BH2274">
        <v>2425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 t="shared" si="717"/>
        <v>06:18:38.587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6</v>
      </c>
      <c r="CP2274" t="s">
        <v>119</v>
      </c>
      <c r="CQ2274">
        <v>465</v>
      </c>
      <c r="CR2274">
        <v>0</v>
      </c>
      <c r="CW2274">
        <v>4725192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si="715"/>
        <v>08/29/2020 06:18:35.319</v>
      </c>
      <c r="C2275" t="str">
        <f t="shared" si="695"/>
        <v>FFDFD3C0</v>
      </c>
      <c r="D2275" t="s">
        <v>121</v>
      </c>
      <c r="E2275">
        <v>10</v>
      </c>
      <c r="F2275">
        <v>1010</v>
      </c>
      <c r="G2275" t="s">
        <v>114</v>
      </c>
      <c r="J2275" t="s">
        <v>123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716"/>
        <v>06:18:38.586</v>
      </c>
      <c r="T2275" t="str">
        <f>"06:18:38.086"</f>
        <v>06:18:38.086</v>
      </c>
      <c r="U2275" t="str">
        <f t="shared" si="698"/>
        <v>A7E2E0</v>
      </c>
      <c r="V2275">
        <v>0</v>
      </c>
      <c r="W2275">
        <v>0</v>
      </c>
      <c r="X2275">
        <v>1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0</v>
      </c>
      <c r="AI2275" t="s">
        <v>1292</v>
      </c>
      <c r="AJ2275">
        <v>38.943593999999997</v>
      </c>
      <c r="AK2275" t="s">
        <v>1293</v>
      </c>
      <c r="AL2275">
        <v>-87.615601999999996</v>
      </c>
      <c r="AM2275">
        <v>100</v>
      </c>
      <c r="AN2275">
        <v>2600</v>
      </c>
      <c r="AO2275" t="s">
        <v>118</v>
      </c>
      <c r="AP2275">
        <v>22</v>
      </c>
      <c r="AQ2275">
        <v>-155</v>
      </c>
      <c r="AR2275">
        <v>-832</v>
      </c>
      <c r="AZ2275">
        <v>4552</v>
      </c>
      <c r="BA2275">
        <v>1</v>
      </c>
      <c r="BB2275" t="str">
        <f t="shared" si="699"/>
        <v xml:space="preserve">N607SR  </v>
      </c>
      <c r="BC2275">
        <v>1</v>
      </c>
      <c r="BE2275">
        <v>0</v>
      </c>
      <c r="BF2275">
        <v>0</v>
      </c>
      <c r="BG2275">
        <v>0</v>
      </c>
      <c r="BH2275">
        <v>2425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 t="shared" si="717"/>
        <v>06:18:38.587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6</v>
      </c>
      <c r="CP2275" t="s">
        <v>119</v>
      </c>
      <c r="CQ2275">
        <v>457</v>
      </c>
      <c r="CR2275">
        <v>0</v>
      </c>
      <c r="CW2275">
        <v>15520398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si="715"/>
        <v>08/29/2020 06:18:35.319</v>
      </c>
      <c r="C2276" t="str">
        <f t="shared" si="695"/>
        <v>FFDFD3C0</v>
      </c>
      <c r="D2276" t="s">
        <v>113</v>
      </c>
      <c r="E2276">
        <v>5</v>
      </c>
      <c r="H2276">
        <v>163</v>
      </c>
      <c r="I2276" t="s">
        <v>114</v>
      </c>
      <c r="J2276" t="s">
        <v>115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716"/>
        <v>06:18:38.586</v>
      </c>
      <c r="T2276" t="str">
        <f>"06:18:38.086"</f>
        <v>06:18:38.086</v>
      </c>
      <c r="U2276" t="str">
        <f t="shared" si="698"/>
        <v>A7E2E0</v>
      </c>
      <c r="V2276">
        <v>0</v>
      </c>
      <c r="W2276">
        <v>0</v>
      </c>
      <c r="X2276">
        <v>1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0</v>
      </c>
      <c r="AI2276" t="s">
        <v>1292</v>
      </c>
      <c r="AJ2276">
        <v>38.943593999999997</v>
      </c>
      <c r="AK2276" t="s">
        <v>1293</v>
      </c>
      <c r="AL2276">
        <v>-87.615601999999996</v>
      </c>
      <c r="AM2276">
        <v>100</v>
      </c>
      <c r="AN2276">
        <v>2600</v>
      </c>
      <c r="AO2276" t="s">
        <v>118</v>
      </c>
      <c r="AP2276">
        <v>22</v>
      </c>
      <c r="AQ2276">
        <v>-155</v>
      </c>
      <c r="AR2276">
        <v>-832</v>
      </c>
      <c r="AZ2276">
        <v>4552</v>
      </c>
      <c r="BA2276">
        <v>1</v>
      </c>
      <c r="BB2276" t="str">
        <f t="shared" si="699"/>
        <v xml:space="preserve">N607SR  </v>
      </c>
      <c r="BC2276">
        <v>1</v>
      </c>
      <c r="BE2276">
        <v>0</v>
      </c>
      <c r="BF2276">
        <v>0</v>
      </c>
      <c r="BG2276">
        <v>0</v>
      </c>
      <c r="BH2276">
        <v>2425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 t="shared" si="717"/>
        <v>06:18:38.587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6</v>
      </c>
      <c r="CP2276" t="s">
        <v>119</v>
      </c>
      <c r="CQ2276">
        <v>457</v>
      </c>
      <c r="CR2276">
        <v>0</v>
      </c>
      <c r="CW2276">
        <v>15520398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si="715"/>
        <v>08/29/2020 06:18:35.319</v>
      </c>
      <c r="C2277" t="str">
        <f t="shared" si="695"/>
        <v>FFDFD3C0</v>
      </c>
      <c r="D2277" t="s">
        <v>128</v>
      </c>
      <c r="E2277">
        <v>5</v>
      </c>
      <c r="H2277">
        <v>241</v>
      </c>
      <c r="I2277" t="s">
        <v>129</v>
      </c>
      <c r="J2277" t="s">
        <v>130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716"/>
        <v>06:18:38.586</v>
      </c>
      <c r="T2277" t="str">
        <f>"06:18:38.086"</f>
        <v>06:18:38.086</v>
      </c>
      <c r="U2277" t="str">
        <f t="shared" si="698"/>
        <v>A7E2E0</v>
      </c>
      <c r="V2277">
        <v>0</v>
      </c>
      <c r="W2277">
        <v>0</v>
      </c>
      <c r="X2277">
        <v>1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0</v>
      </c>
      <c r="AI2277" t="s">
        <v>1292</v>
      </c>
      <c r="AJ2277">
        <v>38.943593999999997</v>
      </c>
      <c r="AK2277" t="s">
        <v>1293</v>
      </c>
      <c r="AL2277">
        <v>-87.615601999999996</v>
      </c>
      <c r="AM2277">
        <v>100</v>
      </c>
      <c r="AN2277">
        <v>2600</v>
      </c>
      <c r="AO2277" t="s">
        <v>118</v>
      </c>
      <c r="AP2277">
        <v>22</v>
      </c>
      <c r="AQ2277">
        <v>-155</v>
      </c>
      <c r="AR2277">
        <v>-832</v>
      </c>
      <c r="AZ2277">
        <v>4552</v>
      </c>
      <c r="BA2277">
        <v>1</v>
      </c>
      <c r="BB2277" t="str">
        <f t="shared" si="699"/>
        <v xml:space="preserve">N607SR  </v>
      </c>
      <c r="BC2277">
        <v>1</v>
      </c>
      <c r="BE2277">
        <v>0</v>
      </c>
      <c r="BF2277">
        <v>0</v>
      </c>
      <c r="BG2277">
        <v>0</v>
      </c>
      <c r="BH2277">
        <v>2425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 t="shared" si="717"/>
        <v>06:18:38.587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6</v>
      </c>
      <c r="CP2277" t="s">
        <v>119</v>
      </c>
      <c r="CQ2277">
        <v>457</v>
      </c>
      <c r="CR2277">
        <v>0</v>
      </c>
      <c r="CW2277">
        <v>15520398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ref="A2278:A2283" si="718">"08/29/2020 06:18:36.316"</f>
        <v>08/29/2020 06:18:36.316</v>
      </c>
      <c r="C2278" t="str">
        <f t="shared" si="695"/>
        <v>FFDFD3C0</v>
      </c>
      <c r="D2278" t="s">
        <v>121</v>
      </c>
      <c r="E2278">
        <v>10</v>
      </c>
      <c r="F2278">
        <v>1010</v>
      </c>
      <c r="G2278" t="s">
        <v>114</v>
      </c>
      <c r="J2278" t="s">
        <v>123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ref="S2278:S2283" si="719">"06:18:39.570"</f>
        <v>06:18:39.570</v>
      </c>
      <c r="T2278" t="str">
        <f t="shared" ref="T2278:T2283" si="720">"06:18:39.070"</f>
        <v>06:18:39.070</v>
      </c>
      <c r="U2278" t="str">
        <f t="shared" si="698"/>
        <v>A7E2E0</v>
      </c>
      <c r="V2278">
        <v>0</v>
      </c>
      <c r="W2278">
        <v>0</v>
      </c>
      <c r="X2278">
        <v>1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0</v>
      </c>
      <c r="AI2278" t="s">
        <v>1294</v>
      </c>
      <c r="AJ2278">
        <v>38.942906999999998</v>
      </c>
      <c r="AK2278" t="s">
        <v>1295</v>
      </c>
      <c r="AL2278">
        <v>-87.615430000000003</v>
      </c>
      <c r="AM2278">
        <v>100</v>
      </c>
      <c r="AN2278">
        <v>2600</v>
      </c>
      <c r="AO2278" t="s">
        <v>118</v>
      </c>
      <c r="AP2278">
        <v>23</v>
      </c>
      <c r="AQ2278">
        <v>-156</v>
      </c>
      <c r="AR2278">
        <v>-768</v>
      </c>
      <c r="AZ2278">
        <v>4552</v>
      </c>
      <c r="BA2278">
        <v>1</v>
      </c>
      <c r="BB2278" t="str">
        <f t="shared" si="699"/>
        <v xml:space="preserve">N607SR  </v>
      </c>
      <c r="BC2278">
        <v>1</v>
      </c>
      <c r="BE2278">
        <v>0</v>
      </c>
      <c r="BF2278">
        <v>0</v>
      </c>
      <c r="BG2278">
        <v>0</v>
      </c>
      <c r="BH2278">
        <v>2400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 t="shared" ref="BW2278:BW2283" si="721">"06:18:39.577"</f>
        <v>06:18:39.577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6</v>
      </c>
      <c r="CP2278" t="s">
        <v>119</v>
      </c>
      <c r="CQ2278">
        <v>465</v>
      </c>
      <c r="CR2278">
        <v>0</v>
      </c>
      <c r="CW2278">
        <v>4725218</v>
      </c>
      <c r="CY2278">
        <v>1</v>
      </c>
      <c r="CZ2278">
        <v>0</v>
      </c>
      <c r="DA2278">
        <v>0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718"/>
        <v>08/29/2020 06:18:36.316</v>
      </c>
      <c r="C2279" t="str">
        <f t="shared" si="695"/>
        <v>FFDFD3C0</v>
      </c>
      <c r="D2279" t="s">
        <v>113</v>
      </c>
      <c r="E2279">
        <v>5</v>
      </c>
      <c r="H2279">
        <v>163</v>
      </c>
      <c r="I2279" t="s">
        <v>114</v>
      </c>
      <c r="J2279" t="s">
        <v>115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719"/>
        <v>06:18:39.570</v>
      </c>
      <c r="T2279" t="str">
        <f t="shared" si="720"/>
        <v>06:18:39.070</v>
      </c>
      <c r="U2279" t="str">
        <f t="shared" si="698"/>
        <v>A7E2E0</v>
      </c>
      <c r="V2279">
        <v>0</v>
      </c>
      <c r="W2279">
        <v>0</v>
      </c>
      <c r="X2279">
        <v>1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0</v>
      </c>
      <c r="AI2279" t="s">
        <v>1294</v>
      </c>
      <c r="AJ2279">
        <v>38.942906999999998</v>
      </c>
      <c r="AK2279" t="s">
        <v>1295</v>
      </c>
      <c r="AL2279">
        <v>-87.615430000000003</v>
      </c>
      <c r="AM2279">
        <v>100</v>
      </c>
      <c r="AN2279">
        <v>2600</v>
      </c>
      <c r="AO2279" t="s">
        <v>118</v>
      </c>
      <c r="AP2279">
        <v>23</v>
      </c>
      <c r="AQ2279">
        <v>-156</v>
      </c>
      <c r="AR2279">
        <v>-768</v>
      </c>
      <c r="AZ2279">
        <v>4552</v>
      </c>
      <c r="BA2279">
        <v>1</v>
      </c>
      <c r="BB2279" t="str">
        <f t="shared" si="699"/>
        <v xml:space="preserve">N607SR  </v>
      </c>
      <c r="BC2279">
        <v>1</v>
      </c>
      <c r="BE2279">
        <v>0</v>
      </c>
      <c r="BF2279">
        <v>0</v>
      </c>
      <c r="BG2279">
        <v>0</v>
      </c>
      <c r="BH2279">
        <v>2400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 t="shared" si="721"/>
        <v>06:18:39.577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6</v>
      </c>
      <c r="CP2279" t="s">
        <v>119</v>
      </c>
      <c r="CQ2279">
        <v>465</v>
      </c>
      <c r="CR2279">
        <v>0</v>
      </c>
      <c r="CW2279">
        <v>4725218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718"/>
        <v>08/29/2020 06:18:36.316</v>
      </c>
      <c r="C2280" t="str">
        <f t="shared" si="695"/>
        <v>FFDFD3C0</v>
      </c>
      <c r="D2280" t="s">
        <v>128</v>
      </c>
      <c r="E2280">
        <v>5</v>
      </c>
      <c r="H2280">
        <v>241</v>
      </c>
      <c r="I2280" t="s">
        <v>129</v>
      </c>
      <c r="J2280" t="s">
        <v>130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719"/>
        <v>06:18:39.570</v>
      </c>
      <c r="T2280" t="str">
        <f t="shared" si="720"/>
        <v>06:18:39.070</v>
      </c>
      <c r="U2280" t="str">
        <f t="shared" si="698"/>
        <v>A7E2E0</v>
      </c>
      <c r="V2280">
        <v>0</v>
      </c>
      <c r="W2280">
        <v>0</v>
      </c>
      <c r="X2280">
        <v>1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0</v>
      </c>
      <c r="AI2280" t="s">
        <v>1294</v>
      </c>
      <c r="AJ2280">
        <v>38.942906999999998</v>
      </c>
      <c r="AK2280" t="s">
        <v>1295</v>
      </c>
      <c r="AL2280">
        <v>-87.615430000000003</v>
      </c>
      <c r="AM2280">
        <v>100</v>
      </c>
      <c r="AN2280">
        <v>2600</v>
      </c>
      <c r="AO2280" t="s">
        <v>118</v>
      </c>
      <c r="AP2280">
        <v>23</v>
      </c>
      <c r="AQ2280">
        <v>-156</v>
      </c>
      <c r="AR2280">
        <v>-768</v>
      </c>
      <c r="AZ2280">
        <v>4552</v>
      </c>
      <c r="BA2280">
        <v>1</v>
      </c>
      <c r="BB2280" t="str">
        <f t="shared" si="699"/>
        <v xml:space="preserve">N607SR  </v>
      </c>
      <c r="BC2280">
        <v>1</v>
      </c>
      <c r="BE2280">
        <v>0</v>
      </c>
      <c r="BF2280">
        <v>0</v>
      </c>
      <c r="BG2280">
        <v>0</v>
      </c>
      <c r="BH2280">
        <v>2400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 t="shared" si="721"/>
        <v>06:18:39.577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6</v>
      </c>
      <c r="CP2280" t="s">
        <v>119</v>
      </c>
      <c r="CQ2280">
        <v>465</v>
      </c>
      <c r="CR2280">
        <v>0</v>
      </c>
      <c r="CW2280">
        <v>4725218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718"/>
        <v>08/29/2020 06:18:36.316</v>
      </c>
      <c r="C2281" t="str">
        <f t="shared" si="695"/>
        <v>FFDFD3C0</v>
      </c>
      <c r="D2281" t="s">
        <v>121</v>
      </c>
      <c r="E2281">
        <v>13</v>
      </c>
      <c r="F2281">
        <v>1013</v>
      </c>
      <c r="G2281" t="s">
        <v>122</v>
      </c>
      <c r="J2281" t="s">
        <v>123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719"/>
        <v>06:18:39.570</v>
      </c>
      <c r="T2281" t="str">
        <f t="shared" si="720"/>
        <v>06:18:39.070</v>
      </c>
      <c r="U2281" t="str">
        <f t="shared" si="698"/>
        <v>A7E2E0</v>
      </c>
      <c r="V2281">
        <v>0</v>
      </c>
      <c r="W2281">
        <v>0</v>
      </c>
      <c r="X2281">
        <v>1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0</v>
      </c>
      <c r="AI2281" t="s">
        <v>1294</v>
      </c>
      <c r="AJ2281">
        <v>38.942906999999998</v>
      </c>
      <c r="AK2281" t="s">
        <v>1295</v>
      </c>
      <c r="AL2281">
        <v>-87.615430000000003</v>
      </c>
      <c r="AM2281">
        <v>100</v>
      </c>
      <c r="AN2281">
        <v>2600</v>
      </c>
      <c r="AO2281" t="s">
        <v>118</v>
      </c>
      <c r="AP2281">
        <v>23</v>
      </c>
      <c r="AQ2281">
        <v>-156</v>
      </c>
      <c r="AR2281">
        <v>-768</v>
      </c>
      <c r="AZ2281">
        <v>4552</v>
      </c>
      <c r="BA2281">
        <v>1</v>
      </c>
      <c r="BB2281" t="str">
        <f t="shared" si="699"/>
        <v xml:space="preserve">N607SR  </v>
      </c>
      <c r="BC2281">
        <v>1</v>
      </c>
      <c r="BE2281">
        <v>0</v>
      </c>
      <c r="BF2281">
        <v>0</v>
      </c>
      <c r="BG2281">
        <v>0</v>
      </c>
      <c r="BH2281">
        <v>2400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 t="shared" si="721"/>
        <v>06:18:39.577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6</v>
      </c>
      <c r="CP2281" t="s">
        <v>119</v>
      </c>
      <c r="CQ2281">
        <v>465</v>
      </c>
      <c r="CR2281">
        <v>0</v>
      </c>
      <c r="CW2281">
        <v>4725218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 t="shared" si="718"/>
        <v>08/29/2020 06:18:36.316</v>
      </c>
      <c r="C2282" t="str">
        <f t="shared" si="695"/>
        <v>FFDFD3C0</v>
      </c>
      <c r="D2282" t="s">
        <v>121</v>
      </c>
      <c r="E2282">
        <v>11</v>
      </c>
      <c r="F2282">
        <v>1011</v>
      </c>
      <c r="G2282" t="s">
        <v>125</v>
      </c>
      <c r="J2282" t="s">
        <v>123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719"/>
        <v>06:18:39.570</v>
      </c>
      <c r="T2282" t="str">
        <f t="shared" si="720"/>
        <v>06:18:39.070</v>
      </c>
      <c r="U2282" t="str">
        <f t="shared" si="698"/>
        <v>A7E2E0</v>
      </c>
      <c r="V2282">
        <v>0</v>
      </c>
      <c r="W2282">
        <v>0</v>
      </c>
      <c r="X2282">
        <v>1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0</v>
      </c>
      <c r="AI2282" t="s">
        <v>1294</v>
      </c>
      <c r="AJ2282">
        <v>38.942906999999998</v>
      </c>
      <c r="AK2282" t="s">
        <v>1295</v>
      </c>
      <c r="AL2282">
        <v>-87.615430000000003</v>
      </c>
      <c r="AM2282">
        <v>100</v>
      </c>
      <c r="AN2282">
        <v>2600</v>
      </c>
      <c r="AO2282" t="s">
        <v>118</v>
      </c>
      <c r="AP2282">
        <v>23</v>
      </c>
      <c r="AQ2282">
        <v>-156</v>
      </c>
      <c r="AR2282">
        <v>-768</v>
      </c>
      <c r="AZ2282">
        <v>4552</v>
      </c>
      <c r="BA2282">
        <v>1</v>
      </c>
      <c r="BB2282" t="str">
        <f t="shared" si="699"/>
        <v xml:space="preserve">N607SR  </v>
      </c>
      <c r="BC2282">
        <v>1</v>
      </c>
      <c r="BE2282">
        <v>0</v>
      </c>
      <c r="BF2282">
        <v>0</v>
      </c>
      <c r="BG2282">
        <v>0</v>
      </c>
      <c r="BH2282">
        <v>2400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 t="shared" si="721"/>
        <v>06:18:39.577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6</v>
      </c>
      <c r="CP2282" t="s">
        <v>119</v>
      </c>
      <c r="CQ2282">
        <v>457</v>
      </c>
      <c r="CR2282">
        <v>0</v>
      </c>
      <c r="CW2282">
        <v>15520419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 t="shared" si="718"/>
        <v>08/29/2020 06:18:36.316</v>
      </c>
      <c r="C2283" t="str">
        <f t="shared" si="695"/>
        <v>FFDFD3C0</v>
      </c>
      <c r="D2283" t="s">
        <v>939</v>
      </c>
      <c r="E2283">
        <v>10</v>
      </c>
      <c r="H2283">
        <v>79</v>
      </c>
      <c r="I2283" t="s">
        <v>940</v>
      </c>
      <c r="J2283" t="s">
        <v>130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719"/>
        <v>06:18:39.570</v>
      </c>
      <c r="T2283" t="str">
        <f t="shared" si="720"/>
        <v>06:18:39.070</v>
      </c>
      <c r="U2283" t="str">
        <f t="shared" si="698"/>
        <v>A7E2E0</v>
      </c>
      <c r="V2283">
        <v>0</v>
      </c>
      <c r="W2283">
        <v>0</v>
      </c>
      <c r="X2283">
        <v>1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0</v>
      </c>
      <c r="AI2283" t="s">
        <v>1294</v>
      </c>
      <c r="AJ2283">
        <v>38.942906999999998</v>
      </c>
      <c r="AK2283" t="s">
        <v>1295</v>
      </c>
      <c r="AL2283">
        <v>-87.615430000000003</v>
      </c>
      <c r="AM2283">
        <v>100</v>
      </c>
      <c r="AN2283">
        <v>2600</v>
      </c>
      <c r="AO2283" t="s">
        <v>118</v>
      </c>
      <c r="AP2283">
        <v>23</v>
      </c>
      <c r="AQ2283">
        <v>-156</v>
      </c>
      <c r="AR2283">
        <v>-768</v>
      </c>
      <c r="AZ2283">
        <v>4552</v>
      </c>
      <c r="BA2283">
        <v>1</v>
      </c>
      <c r="BB2283" t="str">
        <f t="shared" si="699"/>
        <v xml:space="preserve">N607SR  </v>
      </c>
      <c r="BC2283">
        <v>1</v>
      </c>
      <c r="BE2283">
        <v>0</v>
      </c>
      <c r="BF2283">
        <v>0</v>
      </c>
      <c r="BG2283">
        <v>0</v>
      </c>
      <c r="BH2283">
        <v>2400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 t="shared" si="721"/>
        <v>06:18:39.577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6</v>
      </c>
      <c r="CP2283" t="s">
        <v>119</v>
      </c>
      <c r="CQ2283">
        <v>465</v>
      </c>
      <c r="CR2283">
        <v>0</v>
      </c>
      <c r="CW2283">
        <v>4725218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 t="shared" ref="A2284:A2289" si="722">"08/29/2020 06:18:37.499"</f>
        <v>08/29/2020 06:18:37.499</v>
      </c>
      <c r="C2284" t="str">
        <f t="shared" si="695"/>
        <v>FFDFD3C0</v>
      </c>
      <c r="D2284" t="s">
        <v>121</v>
      </c>
      <c r="E2284">
        <v>11</v>
      </c>
      <c r="F2284">
        <v>1011</v>
      </c>
      <c r="G2284" t="s">
        <v>125</v>
      </c>
      <c r="J2284" t="s">
        <v>123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ref="S2284:S2289" si="723">"06:18:40.688"</f>
        <v>06:18:40.688</v>
      </c>
      <c r="T2284" t="str">
        <f>"06:18:40.188"</f>
        <v>06:18:40.188</v>
      </c>
      <c r="U2284" t="str">
        <f t="shared" si="698"/>
        <v>A7E2E0</v>
      </c>
      <c r="V2284">
        <v>0</v>
      </c>
      <c r="W2284">
        <v>0</v>
      </c>
      <c r="X2284">
        <v>1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0</v>
      </c>
      <c r="AI2284" t="s">
        <v>1296</v>
      </c>
      <c r="AJ2284">
        <v>38.942112999999999</v>
      </c>
      <c r="AK2284" t="s">
        <v>1272</v>
      </c>
      <c r="AL2284">
        <v>-87.615302</v>
      </c>
      <c r="AM2284">
        <v>100</v>
      </c>
      <c r="AN2284">
        <v>2600</v>
      </c>
      <c r="AO2284" t="s">
        <v>118</v>
      </c>
      <c r="AP2284">
        <v>23</v>
      </c>
      <c r="AQ2284">
        <v>-156</v>
      </c>
      <c r="AR2284">
        <v>-768</v>
      </c>
      <c r="AZ2284">
        <v>4552</v>
      </c>
      <c r="BA2284">
        <v>1</v>
      </c>
      <c r="BB2284" t="str">
        <f t="shared" si="699"/>
        <v xml:space="preserve">N607SR  </v>
      </c>
      <c r="BC2284">
        <v>1</v>
      </c>
      <c r="BE2284">
        <v>0</v>
      </c>
      <c r="BF2284">
        <v>0</v>
      </c>
      <c r="BG2284">
        <v>0</v>
      </c>
      <c r="BH2284">
        <v>2400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 t="shared" ref="BW2284:BW2289" si="724">"06:18:40.688"</f>
        <v>06:18:40.688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6</v>
      </c>
      <c r="CP2284" t="s">
        <v>119</v>
      </c>
      <c r="CQ2284">
        <v>457</v>
      </c>
      <c r="CR2284">
        <v>0</v>
      </c>
      <c r="CW2284">
        <v>15520447</v>
      </c>
      <c r="CY2284">
        <v>1</v>
      </c>
      <c r="CZ2284">
        <v>0</v>
      </c>
      <c r="DA2284">
        <v>0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 t="shared" si="722"/>
        <v>08/29/2020 06:18:37.499</v>
      </c>
      <c r="C2285" t="str">
        <f t="shared" si="695"/>
        <v>FFDFD3C0</v>
      </c>
      <c r="D2285" t="s">
        <v>113</v>
      </c>
      <c r="E2285">
        <v>5</v>
      </c>
      <c r="H2285">
        <v>163</v>
      </c>
      <c r="I2285" t="s">
        <v>114</v>
      </c>
      <c r="J2285" t="s">
        <v>115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723"/>
        <v>06:18:40.688</v>
      </c>
      <c r="U2285" t="str">
        <f t="shared" si="698"/>
        <v>A7E2E0</v>
      </c>
      <c r="V2285">
        <v>0</v>
      </c>
      <c r="W2285">
        <v>0</v>
      </c>
      <c r="X2285">
        <v>1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0</v>
      </c>
      <c r="AI2285" t="s">
        <v>1296</v>
      </c>
      <c r="AJ2285">
        <v>38.942112999999999</v>
      </c>
      <c r="AK2285" t="s">
        <v>1272</v>
      </c>
      <c r="AL2285">
        <v>-87.615302</v>
      </c>
      <c r="AM2285">
        <v>100</v>
      </c>
      <c r="AN2285">
        <v>2600</v>
      </c>
      <c r="AO2285" t="s">
        <v>118</v>
      </c>
      <c r="AP2285">
        <v>23</v>
      </c>
      <c r="AQ2285">
        <v>-156</v>
      </c>
      <c r="AR2285">
        <v>-704</v>
      </c>
      <c r="AZ2285">
        <v>4552</v>
      </c>
      <c r="BA2285">
        <v>1</v>
      </c>
      <c r="BB2285" t="str">
        <f t="shared" si="699"/>
        <v xml:space="preserve">N607SR  </v>
      </c>
      <c r="BC2285">
        <v>1</v>
      </c>
      <c r="BE2285">
        <v>0</v>
      </c>
      <c r="BF2285">
        <v>0</v>
      </c>
      <c r="BG2285">
        <v>0</v>
      </c>
      <c r="BH2285">
        <v>2375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 t="shared" si="724"/>
        <v>06:18:40.688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5</v>
      </c>
      <c r="CP2285" t="s">
        <v>119</v>
      </c>
      <c r="CQ2285">
        <v>517</v>
      </c>
      <c r="CR2285">
        <v>1</v>
      </c>
      <c r="CW2285">
        <v>2485385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 t="shared" si="722"/>
        <v>08/29/2020 06:18:37.499</v>
      </c>
      <c r="C2286" t="str">
        <f t="shared" si="695"/>
        <v>FFDFD3C0</v>
      </c>
      <c r="D2286" t="s">
        <v>128</v>
      </c>
      <c r="E2286">
        <v>5</v>
      </c>
      <c r="H2286">
        <v>241</v>
      </c>
      <c r="I2286" t="s">
        <v>129</v>
      </c>
      <c r="J2286" t="s">
        <v>130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723"/>
        <v>06:18:40.688</v>
      </c>
      <c r="U2286" t="str">
        <f t="shared" si="698"/>
        <v>A7E2E0</v>
      </c>
      <c r="V2286">
        <v>0</v>
      </c>
      <c r="W2286">
        <v>0</v>
      </c>
      <c r="X2286">
        <v>1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0</v>
      </c>
      <c r="AI2286" t="s">
        <v>1296</v>
      </c>
      <c r="AJ2286">
        <v>38.942112999999999</v>
      </c>
      <c r="AK2286" t="s">
        <v>1272</v>
      </c>
      <c r="AL2286">
        <v>-87.615302</v>
      </c>
      <c r="AM2286">
        <v>100</v>
      </c>
      <c r="AN2286">
        <v>2600</v>
      </c>
      <c r="AO2286" t="s">
        <v>118</v>
      </c>
      <c r="AP2286">
        <v>23</v>
      </c>
      <c r="AQ2286">
        <v>-156</v>
      </c>
      <c r="AR2286">
        <v>-704</v>
      </c>
      <c r="AZ2286">
        <v>4552</v>
      </c>
      <c r="BA2286">
        <v>1</v>
      </c>
      <c r="BB2286" t="str">
        <f t="shared" si="699"/>
        <v xml:space="preserve">N607SR  </v>
      </c>
      <c r="BC2286">
        <v>1</v>
      </c>
      <c r="BE2286">
        <v>0</v>
      </c>
      <c r="BF2286">
        <v>0</v>
      </c>
      <c r="BG2286">
        <v>0</v>
      </c>
      <c r="BH2286">
        <v>2375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 t="shared" si="724"/>
        <v>06:18:40.688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5</v>
      </c>
      <c r="CP2286" t="s">
        <v>119</v>
      </c>
      <c r="CQ2286">
        <v>517</v>
      </c>
      <c r="CR2286">
        <v>1</v>
      </c>
      <c r="CW2286">
        <v>2485385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si="722"/>
        <v>08/29/2020 06:18:37.499</v>
      </c>
      <c r="C2287" t="str">
        <f t="shared" si="695"/>
        <v>FFDFD3C0</v>
      </c>
      <c r="D2287" t="s">
        <v>121</v>
      </c>
      <c r="E2287">
        <v>10</v>
      </c>
      <c r="F2287">
        <v>1010</v>
      </c>
      <c r="G2287" t="s">
        <v>114</v>
      </c>
      <c r="J2287" t="s">
        <v>123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723"/>
        <v>06:18:40.688</v>
      </c>
      <c r="U2287" t="str">
        <f t="shared" si="698"/>
        <v>A7E2E0</v>
      </c>
      <c r="V2287">
        <v>0</v>
      </c>
      <c r="W2287">
        <v>0</v>
      </c>
      <c r="X2287">
        <v>1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0</v>
      </c>
      <c r="AI2287" t="s">
        <v>1296</v>
      </c>
      <c r="AJ2287">
        <v>38.942112999999999</v>
      </c>
      <c r="AK2287" t="s">
        <v>1272</v>
      </c>
      <c r="AL2287">
        <v>-87.615302</v>
      </c>
      <c r="AM2287">
        <v>100</v>
      </c>
      <c r="AN2287">
        <v>2600</v>
      </c>
      <c r="AO2287" t="s">
        <v>118</v>
      </c>
      <c r="AP2287">
        <v>23</v>
      </c>
      <c r="AQ2287">
        <v>-156</v>
      </c>
      <c r="AR2287">
        <v>-704</v>
      </c>
      <c r="AZ2287">
        <v>4552</v>
      </c>
      <c r="BA2287">
        <v>1</v>
      </c>
      <c r="BB2287" t="str">
        <f t="shared" si="699"/>
        <v xml:space="preserve">N607SR  </v>
      </c>
      <c r="BC2287">
        <v>1</v>
      </c>
      <c r="BE2287">
        <v>0</v>
      </c>
      <c r="BF2287">
        <v>0</v>
      </c>
      <c r="BG2287">
        <v>0</v>
      </c>
      <c r="BH2287">
        <v>2375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 t="shared" si="724"/>
        <v>06:18:40.688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5</v>
      </c>
      <c r="CP2287" t="s">
        <v>119</v>
      </c>
      <c r="CQ2287">
        <v>517</v>
      </c>
      <c r="CR2287">
        <v>1</v>
      </c>
      <c r="CW2287">
        <v>2485385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722"/>
        <v>08/29/2020 06:18:37.499</v>
      </c>
      <c r="C2288" t="str">
        <f t="shared" si="695"/>
        <v>FFDFD3C0</v>
      </c>
      <c r="D2288" t="s">
        <v>121</v>
      </c>
      <c r="E2288">
        <v>13</v>
      </c>
      <c r="F2288">
        <v>1013</v>
      </c>
      <c r="G2288" t="s">
        <v>122</v>
      </c>
      <c r="J2288" t="s">
        <v>123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723"/>
        <v>06:18:40.688</v>
      </c>
      <c r="U2288" t="str">
        <f t="shared" si="698"/>
        <v>A7E2E0</v>
      </c>
      <c r="V2288">
        <v>0</v>
      </c>
      <c r="W2288">
        <v>0</v>
      </c>
      <c r="X2288">
        <v>1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0</v>
      </c>
      <c r="AI2288" t="s">
        <v>1296</v>
      </c>
      <c r="AJ2288">
        <v>38.942112999999999</v>
      </c>
      <c r="AK2288" t="s">
        <v>1272</v>
      </c>
      <c r="AL2288">
        <v>-87.615302</v>
      </c>
      <c r="AM2288">
        <v>100</v>
      </c>
      <c r="AN2288">
        <v>2600</v>
      </c>
      <c r="AO2288" t="s">
        <v>118</v>
      </c>
      <c r="AP2288">
        <v>23</v>
      </c>
      <c r="AQ2288">
        <v>-156</v>
      </c>
      <c r="AR2288">
        <v>-704</v>
      </c>
      <c r="AZ2288">
        <v>4552</v>
      </c>
      <c r="BA2288">
        <v>1</v>
      </c>
      <c r="BB2288" t="str">
        <f t="shared" si="699"/>
        <v xml:space="preserve">N607SR  </v>
      </c>
      <c r="BC2288">
        <v>1</v>
      </c>
      <c r="BE2288">
        <v>0</v>
      </c>
      <c r="BF2288">
        <v>0</v>
      </c>
      <c r="BG2288">
        <v>0</v>
      </c>
      <c r="BH2288">
        <v>2375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 t="shared" si="724"/>
        <v>06:18:40.688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5</v>
      </c>
      <c r="CP2288" t="s">
        <v>119</v>
      </c>
      <c r="CQ2288">
        <v>517</v>
      </c>
      <c r="CR2288">
        <v>1</v>
      </c>
      <c r="CW2288">
        <v>2485385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 t="shared" si="722"/>
        <v>08/29/2020 06:18:37.499</v>
      </c>
      <c r="C2289" t="str">
        <f t="shared" si="695"/>
        <v>FFDFD3C0</v>
      </c>
      <c r="D2289" t="s">
        <v>939</v>
      </c>
      <c r="E2289">
        <v>10</v>
      </c>
      <c r="H2289">
        <v>79</v>
      </c>
      <c r="I2289" t="s">
        <v>940</v>
      </c>
      <c r="J2289" t="s">
        <v>130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723"/>
        <v>06:18:40.688</v>
      </c>
      <c r="T2289" t="str">
        <f>"06:18:40.188"</f>
        <v>06:18:40.188</v>
      </c>
      <c r="U2289" t="str">
        <f t="shared" si="698"/>
        <v>A7E2E0</v>
      </c>
      <c r="V2289">
        <v>0</v>
      </c>
      <c r="W2289">
        <v>0</v>
      </c>
      <c r="X2289">
        <v>1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0</v>
      </c>
      <c r="AI2289" t="s">
        <v>1296</v>
      </c>
      <c r="AJ2289">
        <v>38.942112999999999</v>
      </c>
      <c r="AK2289" t="s">
        <v>1272</v>
      </c>
      <c r="AL2289">
        <v>-87.615302</v>
      </c>
      <c r="AM2289">
        <v>100</v>
      </c>
      <c r="AN2289">
        <v>2600</v>
      </c>
      <c r="AO2289" t="s">
        <v>118</v>
      </c>
      <c r="AP2289">
        <v>23</v>
      </c>
      <c r="AQ2289">
        <v>-156</v>
      </c>
      <c r="AR2289">
        <v>-768</v>
      </c>
      <c r="AZ2289">
        <v>4552</v>
      </c>
      <c r="BA2289">
        <v>1</v>
      </c>
      <c r="BB2289" t="str">
        <f t="shared" si="699"/>
        <v xml:space="preserve">N607SR  </v>
      </c>
      <c r="BC2289">
        <v>1</v>
      </c>
      <c r="BE2289">
        <v>0</v>
      </c>
      <c r="BF2289">
        <v>0</v>
      </c>
      <c r="BG2289">
        <v>0</v>
      </c>
      <c r="BH2289">
        <v>2400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 t="shared" si="724"/>
        <v>06:18:40.688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6</v>
      </c>
      <c r="CP2289" t="s">
        <v>119</v>
      </c>
      <c r="CQ2289">
        <v>465</v>
      </c>
      <c r="CR2289">
        <v>0</v>
      </c>
      <c r="CW2289">
        <v>4725249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ref="A2290:A2295" si="725">"08/29/2020 06:18:38.359"</f>
        <v>08/29/2020 06:18:38.359</v>
      </c>
      <c r="C2290" t="str">
        <f t="shared" si="695"/>
        <v>FFDFD3C0</v>
      </c>
      <c r="D2290" t="s">
        <v>939</v>
      </c>
      <c r="E2290">
        <v>10</v>
      </c>
      <c r="H2290">
        <v>79</v>
      </c>
      <c r="I2290" t="s">
        <v>940</v>
      </c>
      <c r="J2290" t="s">
        <v>130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ref="S2290:S2295" si="726">"06:18:41.570"</f>
        <v>06:18:41.570</v>
      </c>
      <c r="T2290" t="str">
        <f>"06:18:41.170"</f>
        <v>06:18:41.170</v>
      </c>
      <c r="U2290" t="str">
        <f t="shared" si="698"/>
        <v>A7E2E0</v>
      </c>
      <c r="V2290">
        <v>0</v>
      </c>
      <c r="W2290">
        <v>0</v>
      </c>
      <c r="X2290">
        <v>1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0</v>
      </c>
      <c r="AI2290" t="s">
        <v>1297</v>
      </c>
      <c r="AJ2290">
        <v>38.941448000000001</v>
      </c>
      <c r="AK2290" t="s">
        <v>1298</v>
      </c>
      <c r="AL2290">
        <v>-87.615194000000002</v>
      </c>
      <c r="AM2290">
        <v>100</v>
      </c>
      <c r="AN2290">
        <v>2600</v>
      </c>
      <c r="AO2290" t="s">
        <v>118</v>
      </c>
      <c r="AP2290">
        <v>22</v>
      </c>
      <c r="AQ2290">
        <v>-157</v>
      </c>
      <c r="AR2290">
        <v>-704</v>
      </c>
      <c r="AZ2290">
        <v>4552</v>
      </c>
      <c r="BA2290">
        <v>1</v>
      </c>
      <c r="BB2290" t="str">
        <f t="shared" si="699"/>
        <v xml:space="preserve">N607SR  </v>
      </c>
      <c r="BC2290">
        <v>1</v>
      </c>
      <c r="BE2290">
        <v>0</v>
      </c>
      <c r="BF2290">
        <v>0</v>
      </c>
      <c r="BG2290">
        <v>0</v>
      </c>
      <c r="BH2290">
        <v>2375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"06:18:41.578"</f>
        <v>06:18:41.578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6</v>
      </c>
      <c r="CP2290" t="s">
        <v>119</v>
      </c>
      <c r="CQ2290">
        <v>465</v>
      </c>
      <c r="CR2290">
        <v>0</v>
      </c>
      <c r="CW2290">
        <v>4725275</v>
      </c>
      <c r="CY2290">
        <v>1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si="725"/>
        <v>08/29/2020 06:18:38.359</v>
      </c>
      <c r="C2291" t="str">
        <f t="shared" si="695"/>
        <v>FFDFD3C0</v>
      </c>
      <c r="D2291" t="s">
        <v>128</v>
      </c>
      <c r="E2291">
        <v>5</v>
      </c>
      <c r="H2291">
        <v>241</v>
      </c>
      <c r="I2291" t="s">
        <v>129</v>
      </c>
      <c r="J2291" t="s">
        <v>130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726"/>
        <v>06:18:41.570</v>
      </c>
      <c r="U2291" t="str">
        <f t="shared" si="698"/>
        <v>A7E2E0</v>
      </c>
      <c r="V2291">
        <v>0</v>
      </c>
      <c r="W2291">
        <v>0</v>
      </c>
      <c r="X2291">
        <v>1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0</v>
      </c>
      <c r="AI2291" t="s">
        <v>1297</v>
      </c>
      <c r="AJ2291">
        <v>38.941448000000001</v>
      </c>
      <c r="AK2291" t="s">
        <v>1298</v>
      </c>
      <c r="AL2291">
        <v>-87.615194000000002</v>
      </c>
      <c r="AM2291">
        <v>100</v>
      </c>
      <c r="AN2291">
        <v>2600</v>
      </c>
      <c r="AO2291" t="s">
        <v>118</v>
      </c>
      <c r="AP2291">
        <v>22</v>
      </c>
      <c r="AQ2291">
        <v>-157</v>
      </c>
      <c r="AR2291">
        <v>-704</v>
      </c>
      <c r="AZ2291">
        <v>4552</v>
      </c>
      <c r="BA2291">
        <v>1</v>
      </c>
      <c r="BB2291" t="str">
        <f t="shared" si="699"/>
        <v xml:space="preserve">N607SR  </v>
      </c>
      <c r="BC2291">
        <v>1</v>
      </c>
      <c r="BE2291">
        <v>0</v>
      </c>
      <c r="BF2291">
        <v>0</v>
      </c>
      <c r="BG2291">
        <v>0</v>
      </c>
      <c r="BH2291">
        <v>2375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"06:18:41.577"</f>
        <v>06:18:41.577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5</v>
      </c>
      <c r="CP2291" t="s">
        <v>119</v>
      </c>
      <c r="CQ2291">
        <v>517</v>
      </c>
      <c r="CR2291">
        <v>1</v>
      </c>
      <c r="CW2291">
        <v>2485412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si="725"/>
        <v>08/29/2020 06:18:38.359</v>
      </c>
      <c r="C2292" t="str">
        <f t="shared" si="695"/>
        <v>FFDFD3C0</v>
      </c>
      <c r="D2292" t="s">
        <v>113</v>
      </c>
      <c r="E2292">
        <v>5</v>
      </c>
      <c r="H2292">
        <v>163</v>
      </c>
      <c r="I2292" t="s">
        <v>114</v>
      </c>
      <c r="J2292" t="s">
        <v>115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726"/>
        <v>06:18:41.570</v>
      </c>
      <c r="U2292" t="str">
        <f t="shared" si="698"/>
        <v>A7E2E0</v>
      </c>
      <c r="V2292">
        <v>0</v>
      </c>
      <c r="W2292">
        <v>0</v>
      </c>
      <c r="X2292">
        <v>1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0</v>
      </c>
      <c r="AI2292" t="s">
        <v>1297</v>
      </c>
      <c r="AJ2292">
        <v>38.941448000000001</v>
      </c>
      <c r="AK2292" t="s">
        <v>1298</v>
      </c>
      <c r="AL2292">
        <v>-87.615194000000002</v>
      </c>
      <c r="AM2292">
        <v>100</v>
      </c>
      <c r="AN2292">
        <v>2600</v>
      </c>
      <c r="AO2292" t="s">
        <v>118</v>
      </c>
      <c r="AP2292">
        <v>22</v>
      </c>
      <c r="AQ2292">
        <v>-157</v>
      </c>
      <c r="AR2292">
        <v>-704</v>
      </c>
      <c r="AZ2292">
        <v>4552</v>
      </c>
      <c r="BA2292">
        <v>1</v>
      </c>
      <c r="BB2292" t="str">
        <f t="shared" si="699"/>
        <v xml:space="preserve">N607SR  </v>
      </c>
      <c r="BC2292">
        <v>1</v>
      </c>
      <c r="BE2292">
        <v>0</v>
      </c>
      <c r="BF2292">
        <v>0</v>
      </c>
      <c r="BG2292">
        <v>0</v>
      </c>
      <c r="BH2292">
        <v>2375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"06:18:41.577"</f>
        <v>06:18:41.577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5</v>
      </c>
      <c r="CP2292" t="s">
        <v>119</v>
      </c>
      <c r="CQ2292">
        <v>517</v>
      </c>
      <c r="CR2292">
        <v>1</v>
      </c>
      <c r="CW2292">
        <v>2485412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725"/>
        <v>08/29/2020 06:18:38.359</v>
      </c>
      <c r="C2293" t="str">
        <f t="shared" si="695"/>
        <v>FFDFD3C0</v>
      </c>
      <c r="D2293" t="s">
        <v>121</v>
      </c>
      <c r="E2293">
        <v>11</v>
      </c>
      <c r="F2293">
        <v>1011</v>
      </c>
      <c r="G2293" t="s">
        <v>125</v>
      </c>
      <c r="J2293" t="s">
        <v>123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726"/>
        <v>06:18:41.570</v>
      </c>
      <c r="T2293" t="str">
        <f>"06:18:41.170"</f>
        <v>06:18:41.170</v>
      </c>
      <c r="U2293" t="str">
        <f t="shared" si="698"/>
        <v>A7E2E0</v>
      </c>
      <c r="V2293">
        <v>0</v>
      </c>
      <c r="W2293">
        <v>0</v>
      </c>
      <c r="X2293">
        <v>1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0</v>
      </c>
      <c r="AI2293" t="s">
        <v>1297</v>
      </c>
      <c r="AJ2293">
        <v>38.941448000000001</v>
      </c>
      <c r="AK2293" t="s">
        <v>1298</v>
      </c>
      <c r="AL2293">
        <v>-87.615194000000002</v>
      </c>
      <c r="AM2293">
        <v>100</v>
      </c>
      <c r="AN2293">
        <v>2600</v>
      </c>
      <c r="AO2293" t="s">
        <v>118</v>
      </c>
      <c r="AP2293">
        <v>22</v>
      </c>
      <c r="AQ2293">
        <v>-157</v>
      </c>
      <c r="AR2293">
        <v>-704</v>
      </c>
      <c r="AZ2293">
        <v>4552</v>
      </c>
      <c r="BA2293">
        <v>1</v>
      </c>
      <c r="BB2293" t="str">
        <f t="shared" si="699"/>
        <v xml:space="preserve">N607SR  </v>
      </c>
      <c r="BC2293">
        <v>1</v>
      </c>
      <c r="BE2293">
        <v>0</v>
      </c>
      <c r="BF2293">
        <v>0</v>
      </c>
      <c r="BG2293">
        <v>0</v>
      </c>
      <c r="BH2293">
        <v>2375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"06:18:41.577"</f>
        <v>06:18:41.577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6</v>
      </c>
      <c r="CP2293" t="s">
        <v>119</v>
      </c>
      <c r="CQ2293">
        <v>457</v>
      </c>
      <c r="CR2293">
        <v>0</v>
      </c>
      <c r="CW2293">
        <v>15520467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si="725"/>
        <v>08/29/2020 06:18:38.359</v>
      </c>
      <c r="C2294" t="str">
        <f t="shared" si="695"/>
        <v>FFDFD3C0</v>
      </c>
      <c r="D2294" t="s">
        <v>121</v>
      </c>
      <c r="E2294">
        <v>13</v>
      </c>
      <c r="F2294">
        <v>1013</v>
      </c>
      <c r="G2294" t="s">
        <v>122</v>
      </c>
      <c r="J2294" t="s">
        <v>123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726"/>
        <v>06:18:41.570</v>
      </c>
      <c r="U2294" t="str">
        <f t="shared" si="698"/>
        <v>A7E2E0</v>
      </c>
      <c r="V2294">
        <v>0</v>
      </c>
      <c r="W2294">
        <v>0</v>
      </c>
      <c r="X2294">
        <v>1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0</v>
      </c>
      <c r="AI2294" t="s">
        <v>1297</v>
      </c>
      <c r="AJ2294">
        <v>38.941448000000001</v>
      </c>
      <c r="AK2294" t="s">
        <v>1298</v>
      </c>
      <c r="AL2294">
        <v>-87.615194000000002</v>
      </c>
      <c r="AM2294">
        <v>100</v>
      </c>
      <c r="AN2294">
        <v>2600</v>
      </c>
      <c r="AO2294" t="s">
        <v>118</v>
      </c>
      <c r="AP2294">
        <v>22</v>
      </c>
      <c r="AQ2294">
        <v>-157</v>
      </c>
      <c r="AR2294">
        <v>-704</v>
      </c>
      <c r="AZ2294">
        <v>4552</v>
      </c>
      <c r="BA2294">
        <v>1</v>
      </c>
      <c r="BB2294" t="str">
        <f t="shared" si="699"/>
        <v xml:space="preserve">N607SR  </v>
      </c>
      <c r="BC2294">
        <v>1</v>
      </c>
      <c r="BE2294">
        <v>0</v>
      </c>
      <c r="BF2294">
        <v>0</v>
      </c>
      <c r="BG2294">
        <v>0</v>
      </c>
      <c r="BH2294">
        <v>2375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>"06:18:41.577"</f>
        <v>06:18:41.577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5</v>
      </c>
      <c r="CP2294" t="s">
        <v>119</v>
      </c>
      <c r="CQ2294">
        <v>517</v>
      </c>
      <c r="CR2294">
        <v>1</v>
      </c>
      <c r="CW2294">
        <v>2485412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 t="shared" si="725"/>
        <v>08/29/2020 06:18:38.359</v>
      </c>
      <c r="C2295" t="str">
        <f t="shared" si="695"/>
        <v>FFDFD3C0</v>
      </c>
      <c r="D2295" t="s">
        <v>121</v>
      </c>
      <c r="E2295">
        <v>10</v>
      </c>
      <c r="F2295">
        <v>1010</v>
      </c>
      <c r="G2295" t="s">
        <v>114</v>
      </c>
      <c r="J2295" t="s">
        <v>123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726"/>
        <v>06:18:41.570</v>
      </c>
      <c r="U2295" t="str">
        <f t="shared" si="698"/>
        <v>A7E2E0</v>
      </c>
      <c r="V2295">
        <v>0</v>
      </c>
      <c r="W2295">
        <v>0</v>
      </c>
      <c r="X2295">
        <v>1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0</v>
      </c>
      <c r="AI2295" t="s">
        <v>1297</v>
      </c>
      <c r="AJ2295">
        <v>38.941448000000001</v>
      </c>
      <c r="AK2295" t="s">
        <v>1298</v>
      </c>
      <c r="AL2295">
        <v>-87.615194000000002</v>
      </c>
      <c r="AM2295">
        <v>100</v>
      </c>
      <c r="AN2295">
        <v>2600</v>
      </c>
      <c r="AO2295" t="s">
        <v>118</v>
      </c>
      <c r="AP2295">
        <v>22</v>
      </c>
      <c r="AQ2295">
        <v>-157</v>
      </c>
      <c r="AR2295">
        <v>-704</v>
      </c>
      <c r="AZ2295">
        <v>4552</v>
      </c>
      <c r="BA2295">
        <v>1</v>
      </c>
      <c r="BB2295" t="str">
        <f t="shared" si="699"/>
        <v xml:space="preserve">N607SR  </v>
      </c>
      <c r="BC2295">
        <v>1</v>
      </c>
      <c r="BE2295">
        <v>0</v>
      </c>
      <c r="BF2295">
        <v>0</v>
      </c>
      <c r="BG2295">
        <v>0</v>
      </c>
      <c r="BH2295">
        <v>2375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>"06:18:41.577"</f>
        <v>06:18:41.577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5</v>
      </c>
      <c r="CP2295" t="s">
        <v>119</v>
      </c>
      <c r="CQ2295">
        <v>517</v>
      </c>
      <c r="CR2295">
        <v>1</v>
      </c>
      <c r="CW2295">
        <v>2485412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 t="shared" ref="A2296:A2301" si="727">"08/29/2020 06:18:39.415"</f>
        <v>08/29/2020 06:18:39.415</v>
      </c>
      <c r="C2296" t="str">
        <f t="shared" si="695"/>
        <v>FFDFD3C0</v>
      </c>
      <c r="D2296" t="s">
        <v>939</v>
      </c>
      <c r="E2296">
        <v>10</v>
      </c>
      <c r="H2296">
        <v>79</v>
      </c>
      <c r="I2296" t="s">
        <v>940</v>
      </c>
      <c r="J2296" t="s">
        <v>130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ref="S2296:S2301" si="728">"06:18:42.641"</f>
        <v>06:18:42.641</v>
      </c>
      <c r="U2296" t="str">
        <f t="shared" si="698"/>
        <v>A7E2E0</v>
      </c>
      <c r="V2296">
        <v>0</v>
      </c>
      <c r="W2296">
        <v>0</v>
      </c>
      <c r="X2296">
        <v>1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0</v>
      </c>
      <c r="AI2296" t="s">
        <v>1299</v>
      </c>
      <c r="AJ2296">
        <v>38.940674999999999</v>
      </c>
      <c r="AK2296" t="s">
        <v>1300</v>
      </c>
      <c r="AL2296">
        <v>-87.615043999999997</v>
      </c>
      <c r="AM2296">
        <v>100</v>
      </c>
      <c r="AN2296">
        <v>2500</v>
      </c>
      <c r="AO2296" t="s">
        <v>118</v>
      </c>
      <c r="AP2296">
        <v>21</v>
      </c>
      <c r="AQ2296">
        <v>-157</v>
      </c>
      <c r="AR2296">
        <v>-576</v>
      </c>
      <c r="AZ2296">
        <v>4552</v>
      </c>
      <c r="BA2296">
        <v>1</v>
      </c>
      <c r="BB2296" t="str">
        <f t="shared" si="699"/>
        <v xml:space="preserve">N607SR  </v>
      </c>
      <c r="BC2296">
        <v>1</v>
      </c>
      <c r="BE2296">
        <v>0</v>
      </c>
      <c r="BF2296">
        <v>0</v>
      </c>
      <c r="BG2296">
        <v>0</v>
      </c>
      <c r="BH2296">
        <v>2350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 t="shared" ref="BW2296:BW2301" si="729">"06:18:42.647"</f>
        <v>06:18:42.647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6</v>
      </c>
      <c r="CP2296" t="s">
        <v>119</v>
      </c>
      <c r="CQ2296">
        <v>465</v>
      </c>
      <c r="CR2296">
        <v>0</v>
      </c>
      <c r="CW2296">
        <v>4725311</v>
      </c>
      <c r="CY2296">
        <v>1</v>
      </c>
      <c r="CZ2296">
        <v>0</v>
      </c>
      <c r="DA2296">
        <v>0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 t="shared" si="727"/>
        <v>08/29/2020 06:18:39.415</v>
      </c>
      <c r="C2297" t="str">
        <f t="shared" si="695"/>
        <v>FFDFD3C0</v>
      </c>
      <c r="D2297" t="s">
        <v>128</v>
      </c>
      <c r="E2297">
        <v>5</v>
      </c>
      <c r="H2297">
        <v>241</v>
      </c>
      <c r="I2297" t="s">
        <v>129</v>
      </c>
      <c r="J2297" t="s">
        <v>130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728"/>
        <v>06:18:42.641</v>
      </c>
      <c r="U2297" t="str">
        <f t="shared" si="698"/>
        <v>A7E2E0</v>
      </c>
      <c r="V2297">
        <v>0</v>
      </c>
      <c r="W2297">
        <v>0</v>
      </c>
      <c r="X2297">
        <v>1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0</v>
      </c>
      <c r="AI2297" t="s">
        <v>1299</v>
      </c>
      <c r="AJ2297">
        <v>38.940674999999999</v>
      </c>
      <c r="AK2297" t="s">
        <v>1300</v>
      </c>
      <c r="AL2297">
        <v>-87.615043999999997</v>
      </c>
      <c r="AM2297">
        <v>100</v>
      </c>
      <c r="AN2297">
        <v>2500</v>
      </c>
      <c r="AO2297" t="s">
        <v>118</v>
      </c>
      <c r="AP2297">
        <v>21</v>
      </c>
      <c r="AQ2297">
        <v>-157</v>
      </c>
      <c r="AR2297">
        <v>-576</v>
      </c>
      <c r="AZ2297">
        <v>4552</v>
      </c>
      <c r="BA2297">
        <v>1</v>
      </c>
      <c r="BB2297" t="str">
        <f t="shared" si="699"/>
        <v xml:space="preserve">N607SR  </v>
      </c>
      <c r="BC2297">
        <v>1</v>
      </c>
      <c r="BE2297">
        <v>0</v>
      </c>
      <c r="BF2297">
        <v>0</v>
      </c>
      <c r="BG2297">
        <v>0</v>
      </c>
      <c r="BH2297">
        <v>2350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 t="shared" si="729"/>
        <v>06:18:42.647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6</v>
      </c>
      <c r="CP2297" t="s">
        <v>119</v>
      </c>
      <c r="CQ2297">
        <v>465</v>
      </c>
      <c r="CR2297">
        <v>0</v>
      </c>
      <c r="CW2297">
        <v>4725311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 t="shared" si="727"/>
        <v>08/29/2020 06:18:39.415</v>
      </c>
      <c r="C2298" t="str">
        <f t="shared" si="695"/>
        <v>FFDFD3C0</v>
      </c>
      <c r="D2298" t="s">
        <v>121</v>
      </c>
      <c r="E2298">
        <v>11</v>
      </c>
      <c r="F2298">
        <v>1011</v>
      </c>
      <c r="G2298" t="s">
        <v>125</v>
      </c>
      <c r="J2298" t="s">
        <v>123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728"/>
        <v>06:18:42.641</v>
      </c>
      <c r="T2298" t="str">
        <f>"06:18:42.141"</f>
        <v>06:18:42.141</v>
      </c>
      <c r="U2298" t="str">
        <f t="shared" si="698"/>
        <v>A7E2E0</v>
      </c>
      <c r="V2298">
        <v>0</v>
      </c>
      <c r="W2298">
        <v>0</v>
      </c>
      <c r="X2298">
        <v>1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0</v>
      </c>
      <c r="AI2298" t="s">
        <v>1299</v>
      </c>
      <c r="AJ2298">
        <v>38.940674999999999</v>
      </c>
      <c r="AK2298" t="s">
        <v>1300</v>
      </c>
      <c r="AL2298">
        <v>-87.615043999999997</v>
      </c>
      <c r="AM2298">
        <v>100</v>
      </c>
      <c r="AN2298">
        <v>2500</v>
      </c>
      <c r="AO2298" t="s">
        <v>118</v>
      </c>
      <c r="AP2298">
        <v>22</v>
      </c>
      <c r="AQ2298">
        <v>-157</v>
      </c>
      <c r="AR2298">
        <v>-640</v>
      </c>
      <c r="AZ2298">
        <v>4552</v>
      </c>
      <c r="BA2298">
        <v>1</v>
      </c>
      <c r="BB2298" t="str">
        <f t="shared" si="699"/>
        <v xml:space="preserve">N607SR  </v>
      </c>
      <c r="BC2298">
        <v>1</v>
      </c>
      <c r="BE2298">
        <v>0</v>
      </c>
      <c r="BF2298">
        <v>0</v>
      </c>
      <c r="BG2298">
        <v>0</v>
      </c>
      <c r="BH2298">
        <v>2275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 t="shared" si="729"/>
        <v>06:18:42.647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6</v>
      </c>
      <c r="CP2298" t="s">
        <v>119</v>
      </c>
      <c r="CQ2298">
        <v>457</v>
      </c>
      <c r="CR2298">
        <v>0</v>
      </c>
      <c r="CW2298">
        <v>15520493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 t="shared" si="727"/>
        <v>08/29/2020 06:18:39.415</v>
      </c>
      <c r="C2299" t="str">
        <f t="shared" si="695"/>
        <v>FFDFD3C0</v>
      </c>
      <c r="D2299" t="s">
        <v>121</v>
      </c>
      <c r="E2299">
        <v>13</v>
      </c>
      <c r="F2299">
        <v>1013</v>
      </c>
      <c r="G2299" t="s">
        <v>122</v>
      </c>
      <c r="J2299" t="s">
        <v>123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728"/>
        <v>06:18:42.641</v>
      </c>
      <c r="U2299" t="str">
        <f t="shared" si="698"/>
        <v>A7E2E0</v>
      </c>
      <c r="V2299">
        <v>0</v>
      </c>
      <c r="W2299">
        <v>0</v>
      </c>
      <c r="X2299">
        <v>1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0</v>
      </c>
      <c r="AI2299" t="s">
        <v>1299</v>
      </c>
      <c r="AJ2299">
        <v>38.940674999999999</v>
      </c>
      <c r="AK2299" t="s">
        <v>1300</v>
      </c>
      <c r="AL2299">
        <v>-87.615043999999997</v>
      </c>
      <c r="AM2299">
        <v>100</v>
      </c>
      <c r="AN2299">
        <v>2500</v>
      </c>
      <c r="AO2299" t="s">
        <v>118</v>
      </c>
      <c r="AP2299">
        <v>21</v>
      </c>
      <c r="AQ2299">
        <v>-157</v>
      </c>
      <c r="AR2299">
        <v>-576</v>
      </c>
      <c r="AZ2299">
        <v>4552</v>
      </c>
      <c r="BA2299">
        <v>1</v>
      </c>
      <c r="BB2299" t="str">
        <f t="shared" si="699"/>
        <v xml:space="preserve">N607SR  </v>
      </c>
      <c r="BC2299">
        <v>1</v>
      </c>
      <c r="BE2299">
        <v>0</v>
      </c>
      <c r="BF2299">
        <v>0</v>
      </c>
      <c r="BG2299">
        <v>0</v>
      </c>
      <c r="BH2299">
        <v>2350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 t="shared" si="729"/>
        <v>06:18:42.647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6</v>
      </c>
      <c r="CP2299" t="s">
        <v>119</v>
      </c>
      <c r="CQ2299">
        <v>465</v>
      </c>
      <c r="CR2299">
        <v>0</v>
      </c>
      <c r="CW2299">
        <v>4725311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 t="shared" si="727"/>
        <v>08/29/2020 06:18:39.415</v>
      </c>
      <c r="C2300" t="str">
        <f t="shared" si="695"/>
        <v>FFDFD3C0</v>
      </c>
      <c r="D2300" t="s">
        <v>121</v>
      </c>
      <c r="E2300">
        <v>10</v>
      </c>
      <c r="F2300">
        <v>1010</v>
      </c>
      <c r="G2300" t="s">
        <v>114</v>
      </c>
      <c r="J2300" t="s">
        <v>123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728"/>
        <v>06:18:42.641</v>
      </c>
      <c r="U2300" t="str">
        <f t="shared" si="698"/>
        <v>A7E2E0</v>
      </c>
      <c r="V2300">
        <v>0</v>
      </c>
      <c r="W2300">
        <v>0</v>
      </c>
      <c r="X2300">
        <v>1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0</v>
      </c>
      <c r="AI2300" t="s">
        <v>1299</v>
      </c>
      <c r="AJ2300">
        <v>38.940674999999999</v>
      </c>
      <c r="AK2300" t="s">
        <v>1300</v>
      </c>
      <c r="AL2300">
        <v>-87.615043999999997</v>
      </c>
      <c r="AM2300">
        <v>100</v>
      </c>
      <c r="AN2300">
        <v>2500</v>
      </c>
      <c r="AO2300" t="s">
        <v>118</v>
      </c>
      <c r="AP2300">
        <v>21</v>
      </c>
      <c r="AQ2300">
        <v>-157</v>
      </c>
      <c r="AR2300">
        <v>-576</v>
      </c>
      <c r="AZ2300">
        <v>4552</v>
      </c>
      <c r="BA2300">
        <v>1</v>
      </c>
      <c r="BB2300" t="str">
        <f t="shared" si="699"/>
        <v xml:space="preserve">N607SR  </v>
      </c>
      <c r="BC2300">
        <v>1</v>
      </c>
      <c r="BE2300">
        <v>0</v>
      </c>
      <c r="BF2300">
        <v>0</v>
      </c>
      <c r="BG2300">
        <v>0</v>
      </c>
      <c r="BH2300">
        <v>2350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 t="shared" si="729"/>
        <v>06:18:42.647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6</v>
      </c>
      <c r="CP2300" t="s">
        <v>119</v>
      </c>
      <c r="CQ2300">
        <v>465</v>
      </c>
      <c r="CR2300">
        <v>0</v>
      </c>
      <c r="CW2300">
        <v>4725311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 t="shared" si="727"/>
        <v>08/29/2020 06:18:39.415</v>
      </c>
      <c r="C2301" t="str">
        <f t="shared" si="695"/>
        <v>FFDFD3C0</v>
      </c>
      <c r="D2301" t="s">
        <v>113</v>
      </c>
      <c r="E2301">
        <v>5</v>
      </c>
      <c r="H2301">
        <v>163</v>
      </c>
      <c r="I2301" t="s">
        <v>114</v>
      </c>
      <c r="J2301" t="s">
        <v>115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728"/>
        <v>06:18:42.641</v>
      </c>
      <c r="U2301" t="str">
        <f t="shared" si="698"/>
        <v>A7E2E0</v>
      </c>
      <c r="V2301">
        <v>0</v>
      </c>
      <c r="W2301">
        <v>0</v>
      </c>
      <c r="X2301">
        <v>1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0</v>
      </c>
      <c r="AI2301" t="s">
        <v>1299</v>
      </c>
      <c r="AJ2301">
        <v>38.940674999999999</v>
      </c>
      <c r="AK2301" t="s">
        <v>1300</v>
      </c>
      <c r="AL2301">
        <v>-87.615043999999997</v>
      </c>
      <c r="AM2301">
        <v>100</v>
      </c>
      <c r="AN2301">
        <v>2500</v>
      </c>
      <c r="AO2301" t="s">
        <v>118</v>
      </c>
      <c r="AP2301">
        <v>21</v>
      </c>
      <c r="AQ2301">
        <v>-157</v>
      </c>
      <c r="AR2301">
        <v>-576</v>
      </c>
      <c r="AZ2301">
        <v>4552</v>
      </c>
      <c r="BA2301">
        <v>1</v>
      </c>
      <c r="BB2301" t="str">
        <f t="shared" si="699"/>
        <v xml:space="preserve">N607SR  </v>
      </c>
      <c r="BC2301">
        <v>1</v>
      </c>
      <c r="BE2301">
        <v>0</v>
      </c>
      <c r="BF2301">
        <v>0</v>
      </c>
      <c r="BG2301">
        <v>0</v>
      </c>
      <c r="BH2301">
        <v>2350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 t="shared" si="729"/>
        <v>06:18:42.647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6</v>
      </c>
      <c r="CP2301" t="s">
        <v>119</v>
      </c>
      <c r="CQ2301">
        <v>465</v>
      </c>
      <c r="CR2301">
        <v>0</v>
      </c>
      <c r="CW2301">
        <v>4725311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 t="shared" ref="A2302:A2307" si="730">"08/29/2020 06:18:40.414"</f>
        <v>08/29/2020 06:18:40.414</v>
      </c>
      <c r="C2302" t="str">
        <f t="shared" si="695"/>
        <v>FFDFD3C0</v>
      </c>
      <c r="D2302" t="s">
        <v>121</v>
      </c>
      <c r="E2302">
        <v>10</v>
      </c>
      <c r="F2302">
        <v>1010</v>
      </c>
      <c r="G2302" t="s">
        <v>114</v>
      </c>
      <c r="J2302" t="s">
        <v>123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ref="S2302:S2307" si="731">"06:18:43.664"</f>
        <v>06:18:43.664</v>
      </c>
      <c r="T2302" t="str">
        <f t="shared" ref="T2302:T2307" si="732">"06:18:43.264"</f>
        <v>06:18:43.264</v>
      </c>
      <c r="U2302" t="str">
        <f t="shared" si="698"/>
        <v>A7E2E0</v>
      </c>
      <c r="V2302">
        <v>0</v>
      </c>
      <c r="W2302">
        <v>0</v>
      </c>
      <c r="X2302">
        <v>1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0</v>
      </c>
      <c r="AI2302" t="s">
        <v>1301</v>
      </c>
      <c r="AJ2302">
        <v>38.939923999999998</v>
      </c>
      <c r="AK2302" t="s">
        <v>1302</v>
      </c>
      <c r="AL2302">
        <v>-87.614936999999998</v>
      </c>
      <c r="AM2302">
        <v>100</v>
      </c>
      <c r="AN2302">
        <v>2500</v>
      </c>
      <c r="AO2302" t="s">
        <v>118</v>
      </c>
      <c r="AP2302">
        <v>21</v>
      </c>
      <c r="AQ2302">
        <v>-157</v>
      </c>
      <c r="AR2302">
        <v>-576</v>
      </c>
      <c r="AZ2302">
        <v>4552</v>
      </c>
      <c r="BA2302">
        <v>1</v>
      </c>
      <c r="BB2302" t="str">
        <f t="shared" si="699"/>
        <v xml:space="preserve">N607SR  </v>
      </c>
      <c r="BC2302">
        <v>1</v>
      </c>
      <c r="BE2302">
        <v>0</v>
      </c>
      <c r="BF2302">
        <v>0</v>
      </c>
      <c r="BG2302">
        <v>0</v>
      </c>
      <c r="BH2302">
        <v>2350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 t="shared" ref="BW2302:BW2307" si="733">"06:18:43.670"</f>
        <v>06:18:43.670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6</v>
      </c>
      <c r="CP2302" t="s">
        <v>119</v>
      </c>
      <c r="CQ2302">
        <v>465</v>
      </c>
      <c r="CR2302">
        <v>0</v>
      </c>
      <c r="CW2302">
        <v>4725343</v>
      </c>
      <c r="CY2302">
        <v>1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 t="shared" si="730"/>
        <v>08/29/2020 06:18:40.414</v>
      </c>
      <c r="C2303" t="str">
        <f t="shared" si="695"/>
        <v>FFDFD3C0</v>
      </c>
      <c r="D2303" t="s">
        <v>113</v>
      </c>
      <c r="E2303">
        <v>5</v>
      </c>
      <c r="H2303">
        <v>163</v>
      </c>
      <c r="I2303" t="s">
        <v>114</v>
      </c>
      <c r="J2303" t="s">
        <v>115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731"/>
        <v>06:18:43.664</v>
      </c>
      <c r="T2303" t="str">
        <f t="shared" si="732"/>
        <v>06:18:43.264</v>
      </c>
      <c r="U2303" t="str">
        <f t="shared" si="698"/>
        <v>A7E2E0</v>
      </c>
      <c r="V2303">
        <v>0</v>
      </c>
      <c r="W2303">
        <v>0</v>
      </c>
      <c r="X2303">
        <v>1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0</v>
      </c>
      <c r="AI2303" t="s">
        <v>1301</v>
      </c>
      <c r="AJ2303">
        <v>38.939923999999998</v>
      </c>
      <c r="AK2303" t="s">
        <v>1302</v>
      </c>
      <c r="AL2303">
        <v>-87.614936999999998</v>
      </c>
      <c r="AM2303">
        <v>100</v>
      </c>
      <c r="AN2303">
        <v>2500</v>
      </c>
      <c r="AO2303" t="s">
        <v>118</v>
      </c>
      <c r="AP2303">
        <v>21</v>
      </c>
      <c r="AQ2303">
        <v>-157</v>
      </c>
      <c r="AR2303">
        <v>-576</v>
      </c>
      <c r="AZ2303">
        <v>4552</v>
      </c>
      <c r="BA2303">
        <v>1</v>
      </c>
      <c r="BB2303" t="str">
        <f t="shared" si="699"/>
        <v xml:space="preserve">N607SR  </v>
      </c>
      <c r="BC2303">
        <v>1</v>
      </c>
      <c r="BE2303">
        <v>0</v>
      </c>
      <c r="BF2303">
        <v>0</v>
      </c>
      <c r="BG2303">
        <v>0</v>
      </c>
      <c r="BH2303">
        <v>2350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 t="shared" si="733"/>
        <v>06:18:43.670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6</v>
      </c>
      <c r="CP2303" t="s">
        <v>119</v>
      </c>
      <c r="CQ2303">
        <v>465</v>
      </c>
      <c r="CR2303">
        <v>0</v>
      </c>
      <c r="CW2303">
        <v>4725343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 t="shared" si="730"/>
        <v>08/29/2020 06:18:40.414</v>
      </c>
      <c r="C2304" t="str">
        <f t="shared" si="695"/>
        <v>FFDFD3C0</v>
      </c>
      <c r="D2304" t="s">
        <v>939</v>
      </c>
      <c r="E2304">
        <v>10</v>
      </c>
      <c r="H2304">
        <v>79</v>
      </c>
      <c r="I2304" t="s">
        <v>940</v>
      </c>
      <c r="J2304" t="s">
        <v>130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731"/>
        <v>06:18:43.664</v>
      </c>
      <c r="T2304" t="str">
        <f t="shared" si="732"/>
        <v>06:18:43.264</v>
      </c>
      <c r="U2304" t="str">
        <f t="shared" si="698"/>
        <v>A7E2E0</v>
      </c>
      <c r="V2304">
        <v>0</v>
      </c>
      <c r="W2304">
        <v>0</v>
      </c>
      <c r="X2304">
        <v>1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0</v>
      </c>
      <c r="AI2304" t="s">
        <v>1301</v>
      </c>
      <c r="AJ2304">
        <v>38.939923999999998</v>
      </c>
      <c r="AK2304" t="s">
        <v>1302</v>
      </c>
      <c r="AL2304">
        <v>-87.614936999999998</v>
      </c>
      <c r="AM2304">
        <v>100</v>
      </c>
      <c r="AN2304">
        <v>2500</v>
      </c>
      <c r="AO2304" t="s">
        <v>118</v>
      </c>
      <c r="AP2304">
        <v>21</v>
      </c>
      <c r="AQ2304">
        <v>-157</v>
      </c>
      <c r="AR2304">
        <v>-576</v>
      </c>
      <c r="AZ2304">
        <v>4552</v>
      </c>
      <c r="BA2304">
        <v>1</v>
      </c>
      <c r="BB2304" t="str">
        <f t="shared" si="699"/>
        <v xml:space="preserve">N607SR  </v>
      </c>
      <c r="BC2304">
        <v>1</v>
      </c>
      <c r="BE2304">
        <v>0</v>
      </c>
      <c r="BF2304">
        <v>0</v>
      </c>
      <c r="BG2304">
        <v>0</v>
      </c>
      <c r="BH2304">
        <v>2350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 t="shared" si="733"/>
        <v>06:18:43.670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6</v>
      </c>
      <c r="CP2304" t="s">
        <v>119</v>
      </c>
      <c r="CQ2304">
        <v>465</v>
      </c>
      <c r="CR2304">
        <v>0</v>
      </c>
      <c r="CW2304">
        <v>4725343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 t="shared" si="730"/>
        <v>08/29/2020 06:18:40.414</v>
      </c>
      <c r="C2305" t="str">
        <f t="shared" si="695"/>
        <v>FFDFD3C0</v>
      </c>
      <c r="D2305" t="s">
        <v>128</v>
      </c>
      <c r="E2305">
        <v>5</v>
      </c>
      <c r="H2305">
        <v>241</v>
      </c>
      <c r="I2305" t="s">
        <v>129</v>
      </c>
      <c r="J2305" t="s">
        <v>130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731"/>
        <v>06:18:43.664</v>
      </c>
      <c r="T2305" t="str">
        <f t="shared" si="732"/>
        <v>06:18:43.264</v>
      </c>
      <c r="U2305" t="str">
        <f t="shared" si="698"/>
        <v>A7E2E0</v>
      </c>
      <c r="V2305">
        <v>0</v>
      </c>
      <c r="W2305">
        <v>0</v>
      </c>
      <c r="X2305">
        <v>1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0</v>
      </c>
      <c r="AI2305" t="s">
        <v>1301</v>
      </c>
      <c r="AJ2305">
        <v>38.939923999999998</v>
      </c>
      <c r="AK2305" t="s">
        <v>1302</v>
      </c>
      <c r="AL2305">
        <v>-87.614936999999998</v>
      </c>
      <c r="AM2305">
        <v>100</v>
      </c>
      <c r="AN2305">
        <v>2500</v>
      </c>
      <c r="AO2305" t="s">
        <v>118</v>
      </c>
      <c r="AP2305">
        <v>21</v>
      </c>
      <c r="AQ2305">
        <v>-157</v>
      </c>
      <c r="AR2305">
        <v>-576</v>
      </c>
      <c r="AZ2305">
        <v>4552</v>
      </c>
      <c r="BA2305">
        <v>1</v>
      </c>
      <c r="BB2305" t="str">
        <f t="shared" si="699"/>
        <v xml:space="preserve">N607SR  </v>
      </c>
      <c r="BC2305">
        <v>1</v>
      </c>
      <c r="BE2305">
        <v>0</v>
      </c>
      <c r="BF2305">
        <v>0</v>
      </c>
      <c r="BG2305">
        <v>0</v>
      </c>
      <c r="BH2305">
        <v>2350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 t="shared" si="733"/>
        <v>06:18:43.670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6</v>
      </c>
      <c r="CP2305" t="s">
        <v>119</v>
      </c>
      <c r="CQ2305">
        <v>465</v>
      </c>
      <c r="CR2305">
        <v>0</v>
      </c>
      <c r="CW2305">
        <v>4725343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 t="shared" si="730"/>
        <v>08/29/2020 06:18:40.414</v>
      </c>
      <c r="C2306" t="str">
        <f t="shared" ref="C2306:C2369" si="734">"FFDFD3C0"</f>
        <v>FFDFD3C0</v>
      </c>
      <c r="D2306" t="s">
        <v>121</v>
      </c>
      <c r="E2306">
        <v>11</v>
      </c>
      <c r="F2306">
        <v>1011</v>
      </c>
      <c r="G2306" t="s">
        <v>125</v>
      </c>
      <c r="J2306" t="s">
        <v>123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731"/>
        <v>06:18:43.664</v>
      </c>
      <c r="T2306" t="str">
        <f t="shared" si="732"/>
        <v>06:18:43.264</v>
      </c>
      <c r="U2306" t="str">
        <f t="shared" ref="U2306:U2369" si="735">"A7E2E0"</f>
        <v>A7E2E0</v>
      </c>
      <c r="V2306">
        <v>0</v>
      </c>
      <c r="W2306">
        <v>0</v>
      </c>
      <c r="X2306">
        <v>1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0</v>
      </c>
      <c r="AI2306" t="s">
        <v>1301</v>
      </c>
      <c r="AJ2306">
        <v>38.939923999999998</v>
      </c>
      <c r="AK2306" t="s">
        <v>1302</v>
      </c>
      <c r="AL2306">
        <v>-87.614936999999998</v>
      </c>
      <c r="AM2306">
        <v>100</v>
      </c>
      <c r="AN2306">
        <v>2500</v>
      </c>
      <c r="AO2306" t="s">
        <v>118</v>
      </c>
      <c r="AP2306">
        <v>21</v>
      </c>
      <c r="AQ2306">
        <v>-157</v>
      </c>
      <c r="AR2306">
        <v>-576</v>
      </c>
      <c r="AZ2306">
        <v>4552</v>
      </c>
      <c r="BA2306">
        <v>1</v>
      </c>
      <c r="BB2306" t="str">
        <f t="shared" ref="BB2306:BB2369" si="736">"N607SR  "</f>
        <v xml:space="preserve">N607SR  </v>
      </c>
      <c r="BC2306">
        <v>1</v>
      </c>
      <c r="BE2306">
        <v>0</v>
      </c>
      <c r="BF2306">
        <v>0</v>
      </c>
      <c r="BG2306">
        <v>0</v>
      </c>
      <c r="BH2306">
        <v>2350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 t="shared" si="733"/>
        <v>06:18:43.670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6</v>
      </c>
      <c r="CP2306" t="s">
        <v>119</v>
      </c>
      <c r="CQ2306">
        <v>457</v>
      </c>
      <c r="CR2306">
        <v>0</v>
      </c>
      <c r="CW2306">
        <v>15520517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 t="shared" si="730"/>
        <v>08/29/2020 06:18:40.414</v>
      </c>
      <c r="C2307" t="str">
        <f t="shared" si="734"/>
        <v>FFDFD3C0</v>
      </c>
      <c r="D2307" t="s">
        <v>121</v>
      </c>
      <c r="E2307">
        <v>13</v>
      </c>
      <c r="F2307">
        <v>1013</v>
      </c>
      <c r="G2307" t="s">
        <v>122</v>
      </c>
      <c r="J2307" t="s">
        <v>123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731"/>
        <v>06:18:43.664</v>
      </c>
      <c r="T2307" t="str">
        <f t="shared" si="732"/>
        <v>06:18:43.264</v>
      </c>
      <c r="U2307" t="str">
        <f t="shared" si="735"/>
        <v>A7E2E0</v>
      </c>
      <c r="V2307">
        <v>0</v>
      </c>
      <c r="W2307">
        <v>0</v>
      </c>
      <c r="X2307">
        <v>1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0</v>
      </c>
      <c r="AI2307" t="s">
        <v>1301</v>
      </c>
      <c r="AJ2307">
        <v>38.939923999999998</v>
      </c>
      <c r="AK2307" t="s">
        <v>1302</v>
      </c>
      <c r="AL2307">
        <v>-87.614936999999998</v>
      </c>
      <c r="AM2307">
        <v>100</v>
      </c>
      <c r="AN2307">
        <v>2500</v>
      </c>
      <c r="AO2307" t="s">
        <v>118</v>
      </c>
      <c r="AP2307">
        <v>21</v>
      </c>
      <c r="AQ2307">
        <v>-157</v>
      </c>
      <c r="AR2307">
        <v>-576</v>
      </c>
      <c r="AZ2307">
        <v>4552</v>
      </c>
      <c r="BA2307">
        <v>1</v>
      </c>
      <c r="BB2307" t="str">
        <f t="shared" si="736"/>
        <v xml:space="preserve">N607SR  </v>
      </c>
      <c r="BC2307">
        <v>1</v>
      </c>
      <c r="BE2307">
        <v>0</v>
      </c>
      <c r="BF2307">
        <v>0</v>
      </c>
      <c r="BG2307">
        <v>0</v>
      </c>
      <c r="BH2307">
        <v>2350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 t="shared" si="733"/>
        <v>06:18:43.670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6</v>
      </c>
      <c r="CP2307" t="s">
        <v>119</v>
      </c>
      <c r="CQ2307">
        <v>465</v>
      </c>
      <c r="CR2307">
        <v>0</v>
      </c>
      <c r="CW2307">
        <v>4725343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 t="shared" ref="A2308:A2313" si="737">"08/29/2020 06:18:41.633"</f>
        <v>08/29/2020 06:18:41.633</v>
      </c>
      <c r="C2308" t="str">
        <f t="shared" si="734"/>
        <v>FFDFD3C0</v>
      </c>
      <c r="D2308" t="s">
        <v>113</v>
      </c>
      <c r="E2308">
        <v>5</v>
      </c>
      <c r="H2308">
        <v>163</v>
      </c>
      <c r="I2308" t="s">
        <v>114</v>
      </c>
      <c r="J2308" t="s">
        <v>115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ref="S2308:S2313" si="738">"06:18:44.852"</f>
        <v>06:18:44.852</v>
      </c>
      <c r="T2308" t="str">
        <f t="shared" ref="T2308:T2313" si="739">"06:18:44.352"</f>
        <v>06:18:44.352</v>
      </c>
      <c r="U2308" t="str">
        <f t="shared" si="735"/>
        <v>A7E2E0</v>
      </c>
      <c r="V2308">
        <v>0</v>
      </c>
      <c r="W2308">
        <v>0</v>
      </c>
      <c r="X2308">
        <v>1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0</v>
      </c>
      <c r="AI2308" t="s">
        <v>1303</v>
      </c>
      <c r="AJ2308">
        <v>38.939044000000003</v>
      </c>
      <c r="AK2308" t="s">
        <v>1304</v>
      </c>
      <c r="AL2308">
        <v>-87.614744000000002</v>
      </c>
      <c r="AM2308">
        <v>100</v>
      </c>
      <c r="AN2308">
        <v>2500</v>
      </c>
      <c r="AO2308" t="s">
        <v>118</v>
      </c>
      <c r="AP2308">
        <v>21</v>
      </c>
      <c r="AQ2308">
        <v>-157</v>
      </c>
      <c r="AR2308">
        <v>-512</v>
      </c>
      <c r="AZ2308">
        <v>4552</v>
      </c>
      <c r="BA2308">
        <v>1</v>
      </c>
      <c r="BB2308" t="str">
        <f t="shared" si="736"/>
        <v xml:space="preserve">N607SR  </v>
      </c>
      <c r="BC2308">
        <v>1</v>
      </c>
      <c r="BE2308">
        <v>0</v>
      </c>
      <c r="BF2308">
        <v>0</v>
      </c>
      <c r="BG2308">
        <v>0</v>
      </c>
      <c r="BH2308">
        <v>2350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 t="shared" ref="BW2308:BW2313" si="740">"06:18:44.853"</f>
        <v>06:18:44.853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6</v>
      </c>
      <c r="CP2308" t="s">
        <v>119</v>
      </c>
      <c r="CQ2308">
        <v>465</v>
      </c>
      <c r="CR2308">
        <v>0</v>
      </c>
      <c r="CW2308">
        <v>4725382</v>
      </c>
      <c r="CY2308">
        <v>1</v>
      </c>
      <c r="CZ2308">
        <v>0</v>
      </c>
      <c r="DA2308">
        <v>0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 t="shared" si="737"/>
        <v>08/29/2020 06:18:41.633</v>
      </c>
      <c r="C2309" t="str">
        <f t="shared" si="734"/>
        <v>FFDFD3C0</v>
      </c>
      <c r="D2309" t="s">
        <v>939</v>
      </c>
      <c r="E2309">
        <v>10</v>
      </c>
      <c r="H2309">
        <v>79</v>
      </c>
      <c r="I2309" t="s">
        <v>940</v>
      </c>
      <c r="J2309" t="s">
        <v>130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738"/>
        <v>06:18:44.852</v>
      </c>
      <c r="T2309" t="str">
        <f t="shared" si="739"/>
        <v>06:18:44.352</v>
      </c>
      <c r="U2309" t="str">
        <f t="shared" si="735"/>
        <v>A7E2E0</v>
      </c>
      <c r="V2309">
        <v>0</v>
      </c>
      <c r="W2309">
        <v>0</v>
      </c>
      <c r="X2309">
        <v>1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0</v>
      </c>
      <c r="AI2309" t="s">
        <v>1303</v>
      </c>
      <c r="AJ2309">
        <v>38.939044000000003</v>
      </c>
      <c r="AK2309" t="s">
        <v>1304</v>
      </c>
      <c r="AL2309">
        <v>-87.614744000000002</v>
      </c>
      <c r="AM2309">
        <v>100</v>
      </c>
      <c r="AN2309">
        <v>2500</v>
      </c>
      <c r="AO2309" t="s">
        <v>118</v>
      </c>
      <c r="AP2309">
        <v>21</v>
      </c>
      <c r="AQ2309">
        <v>-157</v>
      </c>
      <c r="AR2309">
        <v>-512</v>
      </c>
      <c r="AZ2309">
        <v>4552</v>
      </c>
      <c r="BA2309">
        <v>1</v>
      </c>
      <c r="BB2309" t="str">
        <f t="shared" si="736"/>
        <v xml:space="preserve">N607SR  </v>
      </c>
      <c r="BC2309">
        <v>1</v>
      </c>
      <c r="BE2309">
        <v>0</v>
      </c>
      <c r="BF2309">
        <v>0</v>
      </c>
      <c r="BG2309">
        <v>0</v>
      </c>
      <c r="BH2309">
        <v>2350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 t="shared" si="740"/>
        <v>06:18:44.853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6</v>
      </c>
      <c r="CP2309" t="s">
        <v>119</v>
      </c>
      <c r="CQ2309">
        <v>465</v>
      </c>
      <c r="CR2309">
        <v>0</v>
      </c>
      <c r="CW2309">
        <v>4725382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 t="shared" si="737"/>
        <v>08/29/2020 06:18:41.633</v>
      </c>
      <c r="C2310" t="str">
        <f t="shared" si="734"/>
        <v>FFDFD3C0</v>
      </c>
      <c r="D2310" t="s">
        <v>128</v>
      </c>
      <c r="E2310">
        <v>5</v>
      </c>
      <c r="H2310">
        <v>241</v>
      </c>
      <c r="I2310" t="s">
        <v>129</v>
      </c>
      <c r="J2310" t="s">
        <v>130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738"/>
        <v>06:18:44.852</v>
      </c>
      <c r="T2310" t="str">
        <f t="shared" si="739"/>
        <v>06:18:44.352</v>
      </c>
      <c r="U2310" t="str">
        <f t="shared" si="735"/>
        <v>A7E2E0</v>
      </c>
      <c r="V2310">
        <v>0</v>
      </c>
      <c r="W2310">
        <v>0</v>
      </c>
      <c r="X2310">
        <v>1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0</v>
      </c>
      <c r="AI2310" t="s">
        <v>1303</v>
      </c>
      <c r="AJ2310">
        <v>38.939044000000003</v>
      </c>
      <c r="AK2310" t="s">
        <v>1304</v>
      </c>
      <c r="AL2310">
        <v>-87.614744000000002</v>
      </c>
      <c r="AM2310">
        <v>100</v>
      </c>
      <c r="AN2310">
        <v>2500</v>
      </c>
      <c r="AO2310" t="s">
        <v>118</v>
      </c>
      <c r="AP2310">
        <v>21</v>
      </c>
      <c r="AQ2310">
        <v>-157</v>
      </c>
      <c r="AR2310">
        <v>-512</v>
      </c>
      <c r="AZ2310">
        <v>4552</v>
      </c>
      <c r="BA2310">
        <v>1</v>
      </c>
      <c r="BB2310" t="str">
        <f t="shared" si="736"/>
        <v xml:space="preserve">N607SR  </v>
      </c>
      <c r="BC2310">
        <v>1</v>
      </c>
      <c r="BE2310">
        <v>0</v>
      </c>
      <c r="BF2310">
        <v>0</v>
      </c>
      <c r="BG2310">
        <v>0</v>
      </c>
      <c r="BH2310">
        <v>2350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 t="shared" si="740"/>
        <v>06:18:44.853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6</v>
      </c>
      <c r="CP2310" t="s">
        <v>119</v>
      </c>
      <c r="CQ2310">
        <v>465</v>
      </c>
      <c r="CR2310">
        <v>0</v>
      </c>
      <c r="CW2310">
        <v>4725382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 t="shared" si="737"/>
        <v>08/29/2020 06:18:41.633</v>
      </c>
      <c r="C2311" t="str">
        <f t="shared" si="734"/>
        <v>FFDFD3C0</v>
      </c>
      <c r="D2311" t="s">
        <v>121</v>
      </c>
      <c r="E2311">
        <v>11</v>
      </c>
      <c r="F2311">
        <v>1011</v>
      </c>
      <c r="G2311" t="s">
        <v>125</v>
      </c>
      <c r="J2311" t="s">
        <v>123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738"/>
        <v>06:18:44.852</v>
      </c>
      <c r="T2311" t="str">
        <f t="shared" si="739"/>
        <v>06:18:44.352</v>
      </c>
      <c r="U2311" t="str">
        <f t="shared" si="735"/>
        <v>A7E2E0</v>
      </c>
      <c r="V2311">
        <v>0</v>
      </c>
      <c r="W2311">
        <v>0</v>
      </c>
      <c r="X2311">
        <v>1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0</v>
      </c>
      <c r="AI2311" t="s">
        <v>1303</v>
      </c>
      <c r="AJ2311">
        <v>38.939044000000003</v>
      </c>
      <c r="AK2311" t="s">
        <v>1304</v>
      </c>
      <c r="AL2311">
        <v>-87.614744000000002</v>
      </c>
      <c r="AM2311">
        <v>100</v>
      </c>
      <c r="AN2311">
        <v>2500</v>
      </c>
      <c r="AO2311" t="s">
        <v>118</v>
      </c>
      <c r="AP2311">
        <v>21</v>
      </c>
      <c r="AQ2311">
        <v>-157</v>
      </c>
      <c r="AR2311">
        <v>-512</v>
      </c>
      <c r="AZ2311">
        <v>4552</v>
      </c>
      <c r="BA2311">
        <v>1</v>
      </c>
      <c r="BB2311" t="str">
        <f t="shared" si="736"/>
        <v xml:space="preserve">N607SR  </v>
      </c>
      <c r="BC2311">
        <v>1</v>
      </c>
      <c r="BE2311">
        <v>0</v>
      </c>
      <c r="BF2311">
        <v>0</v>
      </c>
      <c r="BG2311">
        <v>0</v>
      </c>
      <c r="BH2311">
        <v>2350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 t="shared" si="740"/>
        <v>06:18:44.853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6</v>
      </c>
      <c r="CP2311" t="s">
        <v>119</v>
      </c>
      <c r="CQ2311">
        <v>177</v>
      </c>
      <c r="CR2311">
        <v>2</v>
      </c>
      <c r="CW2311">
        <v>1668173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 t="shared" si="737"/>
        <v>08/29/2020 06:18:41.633</v>
      </c>
      <c r="C2312" t="str">
        <f t="shared" si="734"/>
        <v>FFDFD3C0</v>
      </c>
      <c r="D2312" t="s">
        <v>121</v>
      </c>
      <c r="E2312">
        <v>13</v>
      </c>
      <c r="F2312">
        <v>1013</v>
      </c>
      <c r="G2312" t="s">
        <v>122</v>
      </c>
      <c r="J2312" t="s">
        <v>123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738"/>
        <v>06:18:44.852</v>
      </c>
      <c r="T2312" t="str">
        <f t="shared" si="739"/>
        <v>06:18:44.352</v>
      </c>
      <c r="U2312" t="str">
        <f t="shared" si="735"/>
        <v>A7E2E0</v>
      </c>
      <c r="V2312">
        <v>0</v>
      </c>
      <c r="W2312">
        <v>0</v>
      </c>
      <c r="X2312">
        <v>1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0</v>
      </c>
      <c r="AI2312" t="s">
        <v>1303</v>
      </c>
      <c r="AJ2312">
        <v>38.939044000000003</v>
      </c>
      <c r="AK2312" t="s">
        <v>1304</v>
      </c>
      <c r="AL2312">
        <v>-87.614744000000002</v>
      </c>
      <c r="AM2312">
        <v>100</v>
      </c>
      <c r="AN2312">
        <v>2500</v>
      </c>
      <c r="AO2312" t="s">
        <v>118</v>
      </c>
      <c r="AP2312">
        <v>21</v>
      </c>
      <c r="AQ2312">
        <v>-157</v>
      </c>
      <c r="AR2312">
        <v>-512</v>
      </c>
      <c r="AZ2312">
        <v>4552</v>
      </c>
      <c r="BA2312">
        <v>1</v>
      </c>
      <c r="BB2312" t="str">
        <f t="shared" si="736"/>
        <v xml:space="preserve">N607SR  </v>
      </c>
      <c r="BC2312">
        <v>1</v>
      </c>
      <c r="BE2312">
        <v>0</v>
      </c>
      <c r="BF2312">
        <v>0</v>
      </c>
      <c r="BG2312">
        <v>0</v>
      </c>
      <c r="BH2312">
        <v>2350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 t="shared" si="740"/>
        <v>06:18:44.853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6</v>
      </c>
      <c r="CP2312" t="s">
        <v>119</v>
      </c>
      <c r="CQ2312">
        <v>465</v>
      </c>
      <c r="CR2312">
        <v>0</v>
      </c>
      <c r="CW2312">
        <v>4725382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si="737"/>
        <v>08/29/2020 06:18:41.633</v>
      </c>
      <c r="C2313" t="str">
        <f t="shared" si="734"/>
        <v>FFDFD3C0</v>
      </c>
      <c r="D2313" t="s">
        <v>121</v>
      </c>
      <c r="E2313">
        <v>10</v>
      </c>
      <c r="F2313">
        <v>1010</v>
      </c>
      <c r="G2313" t="s">
        <v>114</v>
      </c>
      <c r="J2313" t="s">
        <v>123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738"/>
        <v>06:18:44.852</v>
      </c>
      <c r="T2313" t="str">
        <f t="shared" si="739"/>
        <v>06:18:44.352</v>
      </c>
      <c r="U2313" t="str">
        <f t="shared" si="735"/>
        <v>A7E2E0</v>
      </c>
      <c r="V2313">
        <v>0</v>
      </c>
      <c r="W2313">
        <v>0</v>
      </c>
      <c r="X2313">
        <v>1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0</v>
      </c>
      <c r="AI2313" t="s">
        <v>1303</v>
      </c>
      <c r="AJ2313">
        <v>38.939044000000003</v>
      </c>
      <c r="AK2313" t="s">
        <v>1304</v>
      </c>
      <c r="AL2313">
        <v>-87.614744000000002</v>
      </c>
      <c r="AM2313">
        <v>100</v>
      </c>
      <c r="AN2313">
        <v>2500</v>
      </c>
      <c r="AO2313" t="s">
        <v>118</v>
      </c>
      <c r="AP2313">
        <v>21</v>
      </c>
      <c r="AQ2313">
        <v>-157</v>
      </c>
      <c r="AR2313">
        <v>-512</v>
      </c>
      <c r="AZ2313">
        <v>4552</v>
      </c>
      <c r="BA2313">
        <v>1</v>
      </c>
      <c r="BB2313" t="str">
        <f t="shared" si="736"/>
        <v xml:space="preserve">N607SR  </v>
      </c>
      <c r="BC2313">
        <v>1</v>
      </c>
      <c r="BE2313">
        <v>0</v>
      </c>
      <c r="BF2313">
        <v>0</v>
      </c>
      <c r="BG2313">
        <v>0</v>
      </c>
      <c r="BH2313">
        <v>2350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 t="shared" si="740"/>
        <v>06:18:44.853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6</v>
      </c>
      <c r="CP2313" t="s">
        <v>119</v>
      </c>
      <c r="CQ2313">
        <v>465</v>
      </c>
      <c r="CR2313">
        <v>0</v>
      </c>
      <c r="CW2313">
        <v>4725382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ref="A2314:A2319" si="741">"08/29/2020 06:18:42.644"</f>
        <v>08/29/2020 06:18:42.644</v>
      </c>
      <c r="C2314" t="str">
        <f t="shared" si="734"/>
        <v>FFDFD3C0</v>
      </c>
      <c r="D2314" t="s">
        <v>939</v>
      </c>
      <c r="E2314">
        <v>10</v>
      </c>
      <c r="H2314">
        <v>79</v>
      </c>
      <c r="I2314" t="s">
        <v>940</v>
      </c>
      <c r="J2314" t="s">
        <v>130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ref="S2314:S2319" si="742">"06:18:45.859"</f>
        <v>06:18:45.859</v>
      </c>
      <c r="T2314" t="str">
        <f t="shared" ref="T2314:T2319" si="743">"06:18:45.359"</f>
        <v>06:18:45.359</v>
      </c>
      <c r="U2314" t="str">
        <f t="shared" si="735"/>
        <v>A7E2E0</v>
      </c>
      <c r="V2314">
        <v>0</v>
      </c>
      <c r="W2314">
        <v>0</v>
      </c>
      <c r="X2314">
        <v>1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0</v>
      </c>
      <c r="AI2314" t="s">
        <v>1305</v>
      </c>
      <c r="AJ2314">
        <v>38.938293000000002</v>
      </c>
      <c r="AK2314" t="s">
        <v>1306</v>
      </c>
      <c r="AL2314">
        <v>-87.614615000000001</v>
      </c>
      <c r="AM2314">
        <v>100</v>
      </c>
      <c r="AN2314">
        <v>2500</v>
      </c>
      <c r="AO2314" t="s">
        <v>118</v>
      </c>
      <c r="AP2314">
        <v>21</v>
      </c>
      <c r="AQ2314">
        <v>-157</v>
      </c>
      <c r="AR2314">
        <v>-512</v>
      </c>
      <c r="AZ2314">
        <v>4552</v>
      </c>
      <c r="BA2314">
        <v>1</v>
      </c>
      <c r="BB2314" t="str">
        <f t="shared" si="736"/>
        <v xml:space="preserve">N607SR  </v>
      </c>
      <c r="BC2314">
        <v>1</v>
      </c>
      <c r="BE2314">
        <v>0</v>
      </c>
      <c r="BF2314">
        <v>0</v>
      </c>
      <c r="BG2314">
        <v>0</v>
      </c>
      <c r="BH2314">
        <v>2350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 t="shared" ref="BW2314:BW2319" si="744">"06:18:45.862"</f>
        <v>06:18:45.862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465</v>
      </c>
      <c r="CR2314">
        <v>0</v>
      </c>
      <c r="CW2314">
        <v>4725414</v>
      </c>
      <c r="CY2314">
        <v>1</v>
      </c>
      <c r="CZ2314">
        <v>0</v>
      </c>
      <c r="DA2314">
        <v>0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741"/>
        <v>08/29/2020 06:18:42.644</v>
      </c>
      <c r="C2315" t="str">
        <f t="shared" si="734"/>
        <v>FFDFD3C0</v>
      </c>
      <c r="D2315" t="s">
        <v>113</v>
      </c>
      <c r="E2315">
        <v>5</v>
      </c>
      <c r="H2315">
        <v>163</v>
      </c>
      <c r="I2315" t="s">
        <v>114</v>
      </c>
      <c r="J2315" t="s">
        <v>115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742"/>
        <v>06:18:45.859</v>
      </c>
      <c r="T2315" t="str">
        <f t="shared" si="743"/>
        <v>06:18:45.359</v>
      </c>
      <c r="U2315" t="str">
        <f t="shared" si="735"/>
        <v>A7E2E0</v>
      </c>
      <c r="V2315">
        <v>0</v>
      </c>
      <c r="W2315">
        <v>0</v>
      </c>
      <c r="X2315">
        <v>1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0</v>
      </c>
      <c r="AI2315" t="s">
        <v>1305</v>
      </c>
      <c r="AJ2315">
        <v>38.938293000000002</v>
      </c>
      <c r="AK2315" t="s">
        <v>1306</v>
      </c>
      <c r="AL2315">
        <v>-87.614615000000001</v>
      </c>
      <c r="AM2315">
        <v>100</v>
      </c>
      <c r="AN2315">
        <v>2500</v>
      </c>
      <c r="AO2315" t="s">
        <v>118</v>
      </c>
      <c r="AP2315">
        <v>21</v>
      </c>
      <c r="AQ2315">
        <v>-157</v>
      </c>
      <c r="AR2315">
        <v>-512</v>
      </c>
      <c r="AZ2315">
        <v>4552</v>
      </c>
      <c r="BA2315">
        <v>1</v>
      </c>
      <c r="BB2315" t="str">
        <f t="shared" si="736"/>
        <v xml:space="preserve">N607SR  </v>
      </c>
      <c r="BC2315">
        <v>1</v>
      </c>
      <c r="BE2315">
        <v>0</v>
      </c>
      <c r="BF2315">
        <v>0</v>
      </c>
      <c r="BG2315">
        <v>0</v>
      </c>
      <c r="BH2315">
        <v>2350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 t="shared" si="744"/>
        <v>06:18:45.862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465</v>
      </c>
      <c r="CR2315">
        <v>0</v>
      </c>
      <c r="CW2315">
        <v>4725414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si="741"/>
        <v>08/29/2020 06:18:42.644</v>
      </c>
      <c r="C2316" t="str">
        <f t="shared" si="734"/>
        <v>FFDFD3C0</v>
      </c>
      <c r="D2316" t="s">
        <v>128</v>
      </c>
      <c r="E2316">
        <v>5</v>
      </c>
      <c r="H2316">
        <v>241</v>
      </c>
      <c r="I2316" t="s">
        <v>129</v>
      </c>
      <c r="J2316" t="s">
        <v>130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742"/>
        <v>06:18:45.859</v>
      </c>
      <c r="T2316" t="str">
        <f t="shared" si="743"/>
        <v>06:18:45.359</v>
      </c>
      <c r="U2316" t="str">
        <f t="shared" si="735"/>
        <v>A7E2E0</v>
      </c>
      <c r="V2316">
        <v>0</v>
      </c>
      <c r="W2316">
        <v>0</v>
      </c>
      <c r="X2316">
        <v>1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0</v>
      </c>
      <c r="AI2316" t="s">
        <v>1305</v>
      </c>
      <c r="AJ2316">
        <v>38.938293000000002</v>
      </c>
      <c r="AK2316" t="s">
        <v>1306</v>
      </c>
      <c r="AL2316">
        <v>-87.614615000000001</v>
      </c>
      <c r="AM2316">
        <v>100</v>
      </c>
      <c r="AN2316">
        <v>2500</v>
      </c>
      <c r="AO2316" t="s">
        <v>118</v>
      </c>
      <c r="AP2316">
        <v>21</v>
      </c>
      <c r="AQ2316">
        <v>-157</v>
      </c>
      <c r="AR2316">
        <v>-512</v>
      </c>
      <c r="AZ2316">
        <v>4552</v>
      </c>
      <c r="BA2316">
        <v>1</v>
      </c>
      <c r="BB2316" t="str">
        <f t="shared" si="736"/>
        <v xml:space="preserve">N607SR  </v>
      </c>
      <c r="BC2316">
        <v>1</v>
      </c>
      <c r="BE2316">
        <v>0</v>
      </c>
      <c r="BF2316">
        <v>0</v>
      </c>
      <c r="BG2316">
        <v>0</v>
      </c>
      <c r="BH2316">
        <v>2350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 t="shared" si="744"/>
        <v>06:18:45.862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465</v>
      </c>
      <c r="CR2316">
        <v>0</v>
      </c>
      <c r="CW2316">
        <v>4725414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741"/>
        <v>08/29/2020 06:18:42.644</v>
      </c>
      <c r="C2317" t="str">
        <f t="shared" si="734"/>
        <v>FFDFD3C0</v>
      </c>
      <c r="D2317" t="s">
        <v>121</v>
      </c>
      <c r="E2317">
        <v>11</v>
      </c>
      <c r="F2317">
        <v>1011</v>
      </c>
      <c r="G2317" t="s">
        <v>125</v>
      </c>
      <c r="J2317" t="s">
        <v>123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742"/>
        <v>06:18:45.859</v>
      </c>
      <c r="T2317" t="str">
        <f t="shared" si="743"/>
        <v>06:18:45.359</v>
      </c>
      <c r="U2317" t="str">
        <f t="shared" si="735"/>
        <v>A7E2E0</v>
      </c>
      <c r="V2317">
        <v>0</v>
      </c>
      <c r="W2317">
        <v>0</v>
      </c>
      <c r="X2317">
        <v>1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0</v>
      </c>
      <c r="AI2317" t="s">
        <v>1305</v>
      </c>
      <c r="AJ2317">
        <v>38.938293000000002</v>
      </c>
      <c r="AK2317" t="s">
        <v>1306</v>
      </c>
      <c r="AL2317">
        <v>-87.614615000000001</v>
      </c>
      <c r="AM2317">
        <v>100</v>
      </c>
      <c r="AN2317">
        <v>2500</v>
      </c>
      <c r="AO2317" t="s">
        <v>118</v>
      </c>
      <c r="AP2317">
        <v>21</v>
      </c>
      <c r="AQ2317">
        <v>-157</v>
      </c>
      <c r="AR2317">
        <v>-512</v>
      </c>
      <c r="AZ2317">
        <v>4552</v>
      </c>
      <c r="BA2317">
        <v>1</v>
      </c>
      <c r="BB2317" t="str">
        <f t="shared" si="736"/>
        <v xml:space="preserve">N607SR  </v>
      </c>
      <c r="BC2317">
        <v>1</v>
      </c>
      <c r="BE2317">
        <v>0</v>
      </c>
      <c r="BF2317">
        <v>0</v>
      </c>
      <c r="BG2317">
        <v>0</v>
      </c>
      <c r="BH2317">
        <v>2350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 t="shared" si="744"/>
        <v>06:18:45.862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6</v>
      </c>
      <c r="CP2317" t="s">
        <v>119</v>
      </c>
      <c r="CQ2317">
        <v>457</v>
      </c>
      <c r="CR2317">
        <v>0</v>
      </c>
      <c r="CW2317">
        <v>15520577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si="741"/>
        <v>08/29/2020 06:18:42.644</v>
      </c>
      <c r="C2318" t="str">
        <f t="shared" si="734"/>
        <v>FFDFD3C0</v>
      </c>
      <c r="D2318" t="s">
        <v>121</v>
      </c>
      <c r="E2318">
        <v>13</v>
      </c>
      <c r="F2318">
        <v>1013</v>
      </c>
      <c r="G2318" t="s">
        <v>122</v>
      </c>
      <c r="J2318" t="s">
        <v>123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742"/>
        <v>06:18:45.859</v>
      </c>
      <c r="T2318" t="str">
        <f t="shared" si="743"/>
        <v>06:18:45.359</v>
      </c>
      <c r="U2318" t="str">
        <f t="shared" si="735"/>
        <v>A7E2E0</v>
      </c>
      <c r="V2318">
        <v>0</v>
      </c>
      <c r="W2318">
        <v>0</v>
      </c>
      <c r="X2318">
        <v>1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0</v>
      </c>
      <c r="AI2318" t="s">
        <v>1305</v>
      </c>
      <c r="AJ2318">
        <v>38.938293000000002</v>
      </c>
      <c r="AK2318" t="s">
        <v>1306</v>
      </c>
      <c r="AL2318">
        <v>-87.614615000000001</v>
      </c>
      <c r="AM2318">
        <v>100</v>
      </c>
      <c r="AN2318">
        <v>2500</v>
      </c>
      <c r="AO2318" t="s">
        <v>118</v>
      </c>
      <c r="AP2318">
        <v>21</v>
      </c>
      <c r="AQ2318">
        <v>-157</v>
      </c>
      <c r="AR2318">
        <v>-512</v>
      </c>
      <c r="AZ2318">
        <v>4552</v>
      </c>
      <c r="BA2318">
        <v>1</v>
      </c>
      <c r="BB2318" t="str">
        <f t="shared" si="736"/>
        <v xml:space="preserve">N607SR  </v>
      </c>
      <c r="BC2318">
        <v>1</v>
      </c>
      <c r="BE2318">
        <v>0</v>
      </c>
      <c r="BF2318">
        <v>0</v>
      </c>
      <c r="BG2318">
        <v>0</v>
      </c>
      <c r="BH2318">
        <v>2350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 t="shared" si="744"/>
        <v>06:18:45.862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465</v>
      </c>
      <c r="CR2318">
        <v>0</v>
      </c>
      <c r="CW2318">
        <v>4725414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 t="shared" si="741"/>
        <v>08/29/2020 06:18:42.644</v>
      </c>
      <c r="C2319" t="str">
        <f t="shared" si="734"/>
        <v>FFDFD3C0</v>
      </c>
      <c r="D2319" t="s">
        <v>121</v>
      </c>
      <c r="E2319">
        <v>10</v>
      </c>
      <c r="F2319">
        <v>1010</v>
      </c>
      <c r="G2319" t="s">
        <v>114</v>
      </c>
      <c r="J2319" t="s">
        <v>123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742"/>
        <v>06:18:45.859</v>
      </c>
      <c r="T2319" t="str">
        <f t="shared" si="743"/>
        <v>06:18:45.359</v>
      </c>
      <c r="U2319" t="str">
        <f t="shared" si="735"/>
        <v>A7E2E0</v>
      </c>
      <c r="V2319">
        <v>0</v>
      </c>
      <c r="W2319">
        <v>0</v>
      </c>
      <c r="X2319">
        <v>1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0</v>
      </c>
      <c r="AI2319" t="s">
        <v>1305</v>
      </c>
      <c r="AJ2319">
        <v>38.938293000000002</v>
      </c>
      <c r="AK2319" t="s">
        <v>1306</v>
      </c>
      <c r="AL2319">
        <v>-87.614615000000001</v>
      </c>
      <c r="AM2319">
        <v>100</v>
      </c>
      <c r="AN2319">
        <v>2500</v>
      </c>
      <c r="AO2319" t="s">
        <v>118</v>
      </c>
      <c r="AP2319">
        <v>21</v>
      </c>
      <c r="AQ2319">
        <v>-157</v>
      </c>
      <c r="AR2319">
        <v>-512</v>
      </c>
      <c r="AZ2319">
        <v>4552</v>
      </c>
      <c r="BA2319">
        <v>1</v>
      </c>
      <c r="BB2319" t="str">
        <f t="shared" si="736"/>
        <v xml:space="preserve">N607SR  </v>
      </c>
      <c r="BC2319">
        <v>1</v>
      </c>
      <c r="BE2319">
        <v>0</v>
      </c>
      <c r="BF2319">
        <v>0</v>
      </c>
      <c r="BG2319">
        <v>0</v>
      </c>
      <c r="BH2319">
        <v>2350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 t="shared" si="744"/>
        <v>06:18:45.862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465</v>
      </c>
      <c r="CR2319">
        <v>0</v>
      </c>
      <c r="CW2319">
        <v>4725414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 t="shared" ref="A2320:A2325" si="745">"08/29/2020 06:18:43.749"</f>
        <v>08/29/2020 06:18:43.749</v>
      </c>
      <c r="C2320" t="str">
        <f t="shared" si="734"/>
        <v>FFDFD3C0</v>
      </c>
      <c r="D2320" t="s">
        <v>939</v>
      </c>
      <c r="E2320">
        <v>10</v>
      </c>
      <c r="H2320">
        <v>79</v>
      </c>
      <c r="I2320" t="s">
        <v>940</v>
      </c>
      <c r="J2320" t="s">
        <v>130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ref="S2320:S2325" si="746">"06:18:47.000"</f>
        <v>06:18:47.000</v>
      </c>
      <c r="T2320" t="str">
        <f t="shared" ref="T2320:T2325" si="747">"06:18:46.500"</f>
        <v>06:18:46.500</v>
      </c>
      <c r="U2320" t="str">
        <f t="shared" si="735"/>
        <v>A7E2E0</v>
      </c>
      <c r="V2320">
        <v>0</v>
      </c>
      <c r="W2320">
        <v>0</v>
      </c>
      <c r="X2320">
        <v>1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0</v>
      </c>
      <c r="AI2320" t="s">
        <v>1307</v>
      </c>
      <c r="AJ2320">
        <v>38.937520999999997</v>
      </c>
      <c r="AK2320" t="s">
        <v>1266</v>
      </c>
      <c r="AL2320">
        <v>-87.614529000000005</v>
      </c>
      <c r="AM2320">
        <v>100</v>
      </c>
      <c r="AN2320">
        <v>2500</v>
      </c>
      <c r="AO2320" t="s">
        <v>118</v>
      </c>
      <c r="AP2320">
        <v>21</v>
      </c>
      <c r="AQ2320">
        <v>-157</v>
      </c>
      <c r="AR2320">
        <v>-512</v>
      </c>
      <c r="AZ2320">
        <v>4552</v>
      </c>
      <c r="BA2320">
        <v>1</v>
      </c>
      <c r="BB2320" t="str">
        <f t="shared" si="736"/>
        <v xml:space="preserve">N607SR  </v>
      </c>
      <c r="BC2320">
        <v>1</v>
      </c>
      <c r="BE2320">
        <v>0</v>
      </c>
      <c r="BF2320">
        <v>0</v>
      </c>
      <c r="BG2320">
        <v>0</v>
      </c>
      <c r="BH2320">
        <v>2325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 t="shared" ref="BW2320:BW2325" si="748">"06:18:47.002"</f>
        <v>06:18:47.002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465</v>
      </c>
      <c r="CR2320">
        <v>0</v>
      </c>
      <c r="CW2320">
        <v>4725454</v>
      </c>
      <c r="CY2320">
        <v>1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 t="shared" si="745"/>
        <v>08/29/2020 06:18:43.749</v>
      </c>
      <c r="C2321" t="str">
        <f t="shared" si="734"/>
        <v>FFDFD3C0</v>
      </c>
      <c r="D2321" t="s">
        <v>113</v>
      </c>
      <c r="E2321">
        <v>5</v>
      </c>
      <c r="H2321">
        <v>163</v>
      </c>
      <c r="I2321" t="s">
        <v>114</v>
      </c>
      <c r="J2321" t="s">
        <v>115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746"/>
        <v>06:18:47.000</v>
      </c>
      <c r="T2321" t="str">
        <f t="shared" si="747"/>
        <v>06:18:46.500</v>
      </c>
      <c r="U2321" t="str">
        <f t="shared" si="735"/>
        <v>A7E2E0</v>
      </c>
      <c r="V2321">
        <v>0</v>
      </c>
      <c r="W2321">
        <v>0</v>
      </c>
      <c r="X2321">
        <v>1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0</v>
      </c>
      <c r="AI2321" t="s">
        <v>1307</v>
      </c>
      <c r="AJ2321">
        <v>38.937520999999997</v>
      </c>
      <c r="AK2321" t="s">
        <v>1266</v>
      </c>
      <c r="AL2321">
        <v>-87.614529000000005</v>
      </c>
      <c r="AM2321">
        <v>100</v>
      </c>
      <c r="AN2321">
        <v>2500</v>
      </c>
      <c r="AO2321" t="s">
        <v>118</v>
      </c>
      <c r="AP2321">
        <v>21</v>
      </c>
      <c r="AQ2321">
        <v>-157</v>
      </c>
      <c r="AR2321">
        <v>-512</v>
      </c>
      <c r="AZ2321">
        <v>4552</v>
      </c>
      <c r="BA2321">
        <v>1</v>
      </c>
      <c r="BB2321" t="str">
        <f t="shared" si="736"/>
        <v xml:space="preserve">N607SR  </v>
      </c>
      <c r="BC2321">
        <v>1</v>
      </c>
      <c r="BE2321">
        <v>0</v>
      </c>
      <c r="BF2321">
        <v>0</v>
      </c>
      <c r="BG2321">
        <v>0</v>
      </c>
      <c r="BH2321">
        <v>2325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 t="shared" si="748"/>
        <v>06:18:47.002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465</v>
      </c>
      <c r="CR2321">
        <v>0</v>
      </c>
      <c r="CW2321">
        <v>4725454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 t="shared" si="745"/>
        <v>08/29/2020 06:18:43.749</v>
      </c>
      <c r="C2322" t="str">
        <f t="shared" si="734"/>
        <v>FFDFD3C0</v>
      </c>
      <c r="D2322" t="s">
        <v>128</v>
      </c>
      <c r="E2322">
        <v>5</v>
      </c>
      <c r="H2322">
        <v>241</v>
      </c>
      <c r="I2322" t="s">
        <v>129</v>
      </c>
      <c r="J2322" t="s">
        <v>130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746"/>
        <v>06:18:47.000</v>
      </c>
      <c r="T2322" t="str">
        <f t="shared" si="747"/>
        <v>06:18:46.500</v>
      </c>
      <c r="U2322" t="str">
        <f t="shared" si="735"/>
        <v>A7E2E0</v>
      </c>
      <c r="V2322">
        <v>0</v>
      </c>
      <c r="W2322">
        <v>0</v>
      </c>
      <c r="X2322">
        <v>1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0</v>
      </c>
      <c r="AI2322" t="s">
        <v>1307</v>
      </c>
      <c r="AJ2322">
        <v>38.937520999999997</v>
      </c>
      <c r="AK2322" t="s">
        <v>1266</v>
      </c>
      <c r="AL2322">
        <v>-87.614529000000005</v>
      </c>
      <c r="AM2322">
        <v>100</v>
      </c>
      <c r="AN2322">
        <v>2500</v>
      </c>
      <c r="AO2322" t="s">
        <v>118</v>
      </c>
      <c r="AP2322">
        <v>21</v>
      </c>
      <c r="AQ2322">
        <v>-157</v>
      </c>
      <c r="AR2322">
        <v>-512</v>
      </c>
      <c r="AZ2322">
        <v>4552</v>
      </c>
      <c r="BA2322">
        <v>1</v>
      </c>
      <c r="BB2322" t="str">
        <f t="shared" si="736"/>
        <v xml:space="preserve">N607SR  </v>
      </c>
      <c r="BC2322">
        <v>1</v>
      </c>
      <c r="BE2322">
        <v>0</v>
      </c>
      <c r="BF2322">
        <v>0</v>
      </c>
      <c r="BG2322">
        <v>0</v>
      </c>
      <c r="BH2322">
        <v>2325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 t="shared" si="748"/>
        <v>06:18:47.002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465</v>
      </c>
      <c r="CR2322">
        <v>0</v>
      </c>
      <c r="CW2322">
        <v>4725454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 t="shared" si="745"/>
        <v>08/29/2020 06:18:43.749</v>
      </c>
      <c r="C2323" t="str">
        <f t="shared" si="734"/>
        <v>FFDFD3C0</v>
      </c>
      <c r="D2323" t="s">
        <v>121</v>
      </c>
      <c r="E2323">
        <v>11</v>
      </c>
      <c r="F2323">
        <v>1011</v>
      </c>
      <c r="G2323" t="s">
        <v>125</v>
      </c>
      <c r="J2323" t="s">
        <v>123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746"/>
        <v>06:18:47.000</v>
      </c>
      <c r="T2323" t="str">
        <f t="shared" si="747"/>
        <v>06:18:46.500</v>
      </c>
      <c r="U2323" t="str">
        <f t="shared" si="735"/>
        <v>A7E2E0</v>
      </c>
      <c r="V2323">
        <v>0</v>
      </c>
      <c r="W2323">
        <v>0</v>
      </c>
      <c r="X2323">
        <v>1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0</v>
      </c>
      <c r="AI2323" t="s">
        <v>1307</v>
      </c>
      <c r="AJ2323">
        <v>38.937520999999997</v>
      </c>
      <c r="AK2323" t="s">
        <v>1266</v>
      </c>
      <c r="AL2323">
        <v>-87.614529000000005</v>
      </c>
      <c r="AM2323">
        <v>100</v>
      </c>
      <c r="AN2323">
        <v>2500</v>
      </c>
      <c r="AO2323" t="s">
        <v>118</v>
      </c>
      <c r="AP2323">
        <v>21</v>
      </c>
      <c r="AQ2323">
        <v>-157</v>
      </c>
      <c r="AR2323">
        <v>-512</v>
      </c>
      <c r="AZ2323">
        <v>4552</v>
      </c>
      <c r="BA2323">
        <v>1</v>
      </c>
      <c r="BB2323" t="str">
        <f t="shared" si="736"/>
        <v xml:space="preserve">N607SR  </v>
      </c>
      <c r="BC2323">
        <v>1</v>
      </c>
      <c r="BE2323">
        <v>0</v>
      </c>
      <c r="BF2323">
        <v>0</v>
      </c>
      <c r="BG2323">
        <v>0</v>
      </c>
      <c r="BH2323">
        <v>2325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 t="shared" si="748"/>
        <v>06:18:47.002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6</v>
      </c>
      <c r="CP2323" t="s">
        <v>119</v>
      </c>
      <c r="CQ2323">
        <v>457</v>
      </c>
      <c r="CR2323">
        <v>0</v>
      </c>
      <c r="CW2323">
        <v>15520608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 t="shared" si="745"/>
        <v>08/29/2020 06:18:43.749</v>
      </c>
      <c r="C2324" t="str">
        <f t="shared" si="734"/>
        <v>FFDFD3C0</v>
      </c>
      <c r="D2324" t="s">
        <v>121</v>
      </c>
      <c r="E2324">
        <v>13</v>
      </c>
      <c r="F2324">
        <v>1013</v>
      </c>
      <c r="G2324" t="s">
        <v>122</v>
      </c>
      <c r="J2324" t="s">
        <v>123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746"/>
        <v>06:18:47.000</v>
      </c>
      <c r="T2324" t="str">
        <f t="shared" si="747"/>
        <v>06:18:46.500</v>
      </c>
      <c r="U2324" t="str">
        <f t="shared" si="735"/>
        <v>A7E2E0</v>
      </c>
      <c r="V2324">
        <v>0</v>
      </c>
      <c r="W2324">
        <v>0</v>
      </c>
      <c r="X2324">
        <v>1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0</v>
      </c>
      <c r="AI2324" t="s">
        <v>1307</v>
      </c>
      <c r="AJ2324">
        <v>38.937520999999997</v>
      </c>
      <c r="AK2324" t="s">
        <v>1266</v>
      </c>
      <c r="AL2324">
        <v>-87.614529000000005</v>
      </c>
      <c r="AM2324">
        <v>100</v>
      </c>
      <c r="AN2324">
        <v>2500</v>
      </c>
      <c r="AO2324" t="s">
        <v>118</v>
      </c>
      <c r="AP2324">
        <v>21</v>
      </c>
      <c r="AQ2324">
        <v>-157</v>
      </c>
      <c r="AR2324">
        <v>-512</v>
      </c>
      <c r="AZ2324">
        <v>4552</v>
      </c>
      <c r="BA2324">
        <v>1</v>
      </c>
      <c r="BB2324" t="str">
        <f t="shared" si="736"/>
        <v xml:space="preserve">N607SR  </v>
      </c>
      <c r="BC2324">
        <v>1</v>
      </c>
      <c r="BE2324">
        <v>0</v>
      </c>
      <c r="BF2324">
        <v>0</v>
      </c>
      <c r="BG2324">
        <v>0</v>
      </c>
      <c r="BH2324">
        <v>2325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 t="shared" si="748"/>
        <v>06:18:47.002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465</v>
      </c>
      <c r="CR2324">
        <v>0</v>
      </c>
      <c r="CW2324">
        <v>4725454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 t="shared" si="745"/>
        <v>08/29/2020 06:18:43.749</v>
      </c>
      <c r="C2325" t="str">
        <f t="shared" si="734"/>
        <v>FFDFD3C0</v>
      </c>
      <c r="D2325" t="s">
        <v>121</v>
      </c>
      <c r="E2325">
        <v>10</v>
      </c>
      <c r="F2325">
        <v>1010</v>
      </c>
      <c r="G2325" t="s">
        <v>114</v>
      </c>
      <c r="J2325" t="s">
        <v>123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746"/>
        <v>06:18:47.000</v>
      </c>
      <c r="T2325" t="str">
        <f t="shared" si="747"/>
        <v>06:18:46.500</v>
      </c>
      <c r="U2325" t="str">
        <f t="shared" si="735"/>
        <v>A7E2E0</v>
      </c>
      <c r="V2325">
        <v>0</v>
      </c>
      <c r="W2325">
        <v>0</v>
      </c>
      <c r="X2325">
        <v>1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0</v>
      </c>
      <c r="AI2325" t="s">
        <v>1307</v>
      </c>
      <c r="AJ2325">
        <v>38.937520999999997</v>
      </c>
      <c r="AK2325" t="s">
        <v>1266</v>
      </c>
      <c r="AL2325">
        <v>-87.614529000000005</v>
      </c>
      <c r="AM2325">
        <v>100</v>
      </c>
      <c r="AN2325">
        <v>2500</v>
      </c>
      <c r="AO2325" t="s">
        <v>118</v>
      </c>
      <c r="AP2325">
        <v>21</v>
      </c>
      <c r="AQ2325">
        <v>-157</v>
      </c>
      <c r="AR2325">
        <v>-512</v>
      </c>
      <c r="AZ2325">
        <v>4552</v>
      </c>
      <c r="BA2325">
        <v>1</v>
      </c>
      <c r="BB2325" t="str">
        <f t="shared" si="736"/>
        <v xml:space="preserve">N607SR  </v>
      </c>
      <c r="BC2325">
        <v>1</v>
      </c>
      <c r="BE2325">
        <v>0</v>
      </c>
      <c r="BF2325">
        <v>0</v>
      </c>
      <c r="BG2325">
        <v>0</v>
      </c>
      <c r="BH2325">
        <v>2325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 t="shared" si="748"/>
        <v>06:18:47.002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465</v>
      </c>
      <c r="CR2325">
        <v>0</v>
      </c>
      <c r="CW2325">
        <v>4725454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 t="shared" ref="A2326:A2331" si="749">"08/29/2020 06:18:44.923"</f>
        <v>08/29/2020 06:18:44.923</v>
      </c>
      <c r="C2326" t="str">
        <f t="shared" si="734"/>
        <v>FFDFD3C0</v>
      </c>
      <c r="D2326" t="s">
        <v>113</v>
      </c>
      <c r="E2326">
        <v>5</v>
      </c>
      <c r="H2326">
        <v>163</v>
      </c>
      <c r="I2326" t="s">
        <v>114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ref="S2326:S2331" si="750">"06:18:48.133"</f>
        <v>06:18:48.133</v>
      </c>
      <c r="T2326" t="str">
        <f t="shared" ref="T2326:T2331" si="751">"06:18:47.633"</f>
        <v>06:18:47.633</v>
      </c>
      <c r="U2326" t="str">
        <f t="shared" si="735"/>
        <v>A7E2E0</v>
      </c>
      <c r="V2326">
        <v>0</v>
      </c>
      <c r="W2326">
        <v>0</v>
      </c>
      <c r="X2326">
        <v>1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0</v>
      </c>
      <c r="AI2326" t="s">
        <v>1308</v>
      </c>
      <c r="AJ2326">
        <v>38.936641000000002</v>
      </c>
      <c r="AK2326" t="s">
        <v>1309</v>
      </c>
      <c r="AL2326">
        <v>-87.614356999999998</v>
      </c>
      <c r="AM2326">
        <v>100</v>
      </c>
      <c r="AN2326">
        <v>2500</v>
      </c>
      <c r="AO2326" t="s">
        <v>118</v>
      </c>
      <c r="AP2326">
        <v>21</v>
      </c>
      <c r="AQ2326">
        <v>-157</v>
      </c>
      <c r="AR2326">
        <v>-448</v>
      </c>
      <c r="AZ2326">
        <v>4552</v>
      </c>
      <c r="BA2326">
        <v>1</v>
      </c>
      <c r="BB2326" t="str">
        <f t="shared" si="736"/>
        <v xml:space="preserve">N607SR  </v>
      </c>
      <c r="BC2326">
        <v>1</v>
      </c>
      <c r="BE2326">
        <v>0</v>
      </c>
      <c r="BF2326">
        <v>0</v>
      </c>
      <c r="BG2326">
        <v>0</v>
      </c>
      <c r="BH2326">
        <v>2325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 t="shared" ref="BW2326:BW2331" si="752">"06:18:48.138"</f>
        <v>06:18:48.138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6</v>
      </c>
      <c r="CP2326" t="s">
        <v>119</v>
      </c>
      <c r="CQ2326">
        <v>465</v>
      </c>
      <c r="CR2326">
        <v>0</v>
      </c>
      <c r="CW2326">
        <v>4725485</v>
      </c>
      <c r="CY2326">
        <v>1</v>
      </c>
      <c r="CZ2326">
        <v>0</v>
      </c>
      <c r="DA2326">
        <v>0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 t="shared" si="749"/>
        <v>08/29/2020 06:18:44.923</v>
      </c>
      <c r="C2327" t="str">
        <f t="shared" si="734"/>
        <v>FFDFD3C0</v>
      </c>
      <c r="D2327" t="s">
        <v>128</v>
      </c>
      <c r="E2327">
        <v>5</v>
      </c>
      <c r="H2327">
        <v>241</v>
      </c>
      <c r="I2327" t="s">
        <v>129</v>
      </c>
      <c r="J2327" t="s">
        <v>130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750"/>
        <v>06:18:48.133</v>
      </c>
      <c r="T2327" t="str">
        <f t="shared" si="751"/>
        <v>06:18:47.633</v>
      </c>
      <c r="U2327" t="str">
        <f t="shared" si="735"/>
        <v>A7E2E0</v>
      </c>
      <c r="V2327">
        <v>0</v>
      </c>
      <c r="W2327">
        <v>0</v>
      </c>
      <c r="X2327">
        <v>1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0</v>
      </c>
      <c r="AI2327" t="s">
        <v>1308</v>
      </c>
      <c r="AJ2327">
        <v>38.936641000000002</v>
      </c>
      <c r="AK2327" t="s">
        <v>1309</v>
      </c>
      <c r="AL2327">
        <v>-87.614356999999998</v>
      </c>
      <c r="AM2327">
        <v>100</v>
      </c>
      <c r="AN2327">
        <v>2500</v>
      </c>
      <c r="AO2327" t="s">
        <v>118</v>
      </c>
      <c r="AP2327">
        <v>21</v>
      </c>
      <c r="AQ2327">
        <v>-157</v>
      </c>
      <c r="AR2327">
        <v>-448</v>
      </c>
      <c r="AZ2327">
        <v>4552</v>
      </c>
      <c r="BA2327">
        <v>1</v>
      </c>
      <c r="BB2327" t="str">
        <f t="shared" si="736"/>
        <v xml:space="preserve">N607SR  </v>
      </c>
      <c r="BC2327">
        <v>1</v>
      </c>
      <c r="BE2327">
        <v>0</v>
      </c>
      <c r="BF2327">
        <v>0</v>
      </c>
      <c r="BG2327">
        <v>0</v>
      </c>
      <c r="BH2327">
        <v>2325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 t="shared" si="752"/>
        <v>06:18:48.138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6</v>
      </c>
      <c r="CP2327" t="s">
        <v>119</v>
      </c>
      <c r="CQ2327">
        <v>465</v>
      </c>
      <c r="CR2327">
        <v>0</v>
      </c>
      <c r="CW2327">
        <v>4725485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 t="shared" si="749"/>
        <v>08/29/2020 06:18:44.923</v>
      </c>
      <c r="C2328" t="str">
        <f t="shared" si="734"/>
        <v>FFDFD3C0</v>
      </c>
      <c r="D2328" t="s">
        <v>121</v>
      </c>
      <c r="E2328">
        <v>11</v>
      </c>
      <c r="F2328">
        <v>1011</v>
      </c>
      <c r="G2328" t="s">
        <v>125</v>
      </c>
      <c r="J2328" t="s">
        <v>123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750"/>
        <v>06:18:48.133</v>
      </c>
      <c r="T2328" t="str">
        <f t="shared" si="751"/>
        <v>06:18:47.633</v>
      </c>
      <c r="U2328" t="str">
        <f t="shared" si="735"/>
        <v>A7E2E0</v>
      </c>
      <c r="V2328">
        <v>0</v>
      </c>
      <c r="W2328">
        <v>0</v>
      </c>
      <c r="X2328">
        <v>1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0</v>
      </c>
      <c r="AI2328" t="s">
        <v>1308</v>
      </c>
      <c r="AJ2328">
        <v>38.936641000000002</v>
      </c>
      <c r="AK2328" t="s">
        <v>1309</v>
      </c>
      <c r="AL2328">
        <v>-87.614356999999998</v>
      </c>
      <c r="AM2328">
        <v>100</v>
      </c>
      <c r="AN2328">
        <v>2500</v>
      </c>
      <c r="AO2328" t="s">
        <v>118</v>
      </c>
      <c r="AP2328">
        <v>21</v>
      </c>
      <c r="AQ2328">
        <v>-157</v>
      </c>
      <c r="AR2328">
        <v>-448</v>
      </c>
      <c r="AZ2328">
        <v>4552</v>
      </c>
      <c r="BA2328">
        <v>1</v>
      </c>
      <c r="BB2328" t="str">
        <f t="shared" si="736"/>
        <v xml:space="preserve">N607SR  </v>
      </c>
      <c r="BC2328">
        <v>1</v>
      </c>
      <c r="BE2328">
        <v>0</v>
      </c>
      <c r="BF2328">
        <v>0</v>
      </c>
      <c r="BG2328">
        <v>0</v>
      </c>
      <c r="BH2328">
        <v>2325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 t="shared" si="752"/>
        <v>06:18:48.138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5</v>
      </c>
      <c r="CP2328" t="s">
        <v>119</v>
      </c>
      <c r="CQ2328">
        <v>177</v>
      </c>
      <c r="CR2328">
        <v>2</v>
      </c>
      <c r="CW2328">
        <v>1668750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 t="shared" si="749"/>
        <v>08/29/2020 06:18:44.923</v>
      </c>
      <c r="C2329" t="str">
        <f t="shared" si="734"/>
        <v>FFDFD3C0</v>
      </c>
      <c r="D2329" t="s">
        <v>121</v>
      </c>
      <c r="E2329">
        <v>13</v>
      </c>
      <c r="F2329">
        <v>1013</v>
      </c>
      <c r="G2329" t="s">
        <v>122</v>
      </c>
      <c r="J2329" t="s">
        <v>123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750"/>
        <v>06:18:48.133</v>
      </c>
      <c r="T2329" t="str">
        <f t="shared" si="751"/>
        <v>06:18:47.633</v>
      </c>
      <c r="U2329" t="str">
        <f t="shared" si="735"/>
        <v>A7E2E0</v>
      </c>
      <c r="V2329">
        <v>0</v>
      </c>
      <c r="W2329">
        <v>0</v>
      </c>
      <c r="X2329">
        <v>1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0</v>
      </c>
      <c r="AI2329" t="s">
        <v>1308</v>
      </c>
      <c r="AJ2329">
        <v>38.936641000000002</v>
      </c>
      <c r="AK2329" t="s">
        <v>1309</v>
      </c>
      <c r="AL2329">
        <v>-87.614356999999998</v>
      </c>
      <c r="AM2329">
        <v>100</v>
      </c>
      <c r="AN2329">
        <v>2500</v>
      </c>
      <c r="AO2329" t="s">
        <v>118</v>
      </c>
      <c r="AP2329">
        <v>21</v>
      </c>
      <c r="AQ2329">
        <v>-157</v>
      </c>
      <c r="AR2329">
        <v>-448</v>
      </c>
      <c r="AZ2329">
        <v>4552</v>
      </c>
      <c r="BA2329">
        <v>1</v>
      </c>
      <c r="BB2329" t="str">
        <f t="shared" si="736"/>
        <v xml:space="preserve">N607SR  </v>
      </c>
      <c r="BC2329">
        <v>1</v>
      </c>
      <c r="BE2329">
        <v>0</v>
      </c>
      <c r="BF2329">
        <v>0</v>
      </c>
      <c r="BG2329">
        <v>0</v>
      </c>
      <c r="BH2329">
        <v>2325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 t="shared" si="752"/>
        <v>06:18:48.138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6</v>
      </c>
      <c r="CP2329" t="s">
        <v>119</v>
      </c>
      <c r="CQ2329">
        <v>465</v>
      </c>
      <c r="CR2329">
        <v>0</v>
      </c>
      <c r="CW2329">
        <v>4725485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 t="shared" si="749"/>
        <v>08/29/2020 06:18:44.923</v>
      </c>
      <c r="C2330" t="str">
        <f t="shared" si="734"/>
        <v>FFDFD3C0</v>
      </c>
      <c r="D2330" t="s">
        <v>939</v>
      </c>
      <c r="E2330">
        <v>10</v>
      </c>
      <c r="H2330">
        <v>79</v>
      </c>
      <c r="I2330" t="s">
        <v>940</v>
      </c>
      <c r="J2330" t="s">
        <v>130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750"/>
        <v>06:18:48.133</v>
      </c>
      <c r="T2330" t="str">
        <f t="shared" si="751"/>
        <v>06:18:47.633</v>
      </c>
      <c r="U2330" t="str">
        <f t="shared" si="735"/>
        <v>A7E2E0</v>
      </c>
      <c r="V2330">
        <v>0</v>
      </c>
      <c r="W2330">
        <v>0</v>
      </c>
      <c r="X2330">
        <v>1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0</v>
      </c>
      <c r="AI2330" t="s">
        <v>1308</v>
      </c>
      <c r="AJ2330">
        <v>38.936641000000002</v>
      </c>
      <c r="AK2330" t="s">
        <v>1309</v>
      </c>
      <c r="AL2330">
        <v>-87.614356999999998</v>
      </c>
      <c r="AM2330">
        <v>100</v>
      </c>
      <c r="AN2330">
        <v>2500</v>
      </c>
      <c r="AO2330" t="s">
        <v>118</v>
      </c>
      <c r="AP2330">
        <v>21</v>
      </c>
      <c r="AQ2330">
        <v>-157</v>
      </c>
      <c r="AR2330">
        <v>-448</v>
      </c>
      <c r="AZ2330">
        <v>4552</v>
      </c>
      <c r="BA2330">
        <v>1</v>
      </c>
      <c r="BB2330" t="str">
        <f t="shared" si="736"/>
        <v xml:space="preserve">N607SR  </v>
      </c>
      <c r="BC2330">
        <v>1</v>
      </c>
      <c r="BE2330">
        <v>0</v>
      </c>
      <c r="BF2330">
        <v>0</v>
      </c>
      <c r="BG2330">
        <v>0</v>
      </c>
      <c r="BH2330">
        <v>2325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 t="shared" si="752"/>
        <v>06:18:48.138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6</v>
      </c>
      <c r="CP2330" t="s">
        <v>119</v>
      </c>
      <c r="CQ2330">
        <v>465</v>
      </c>
      <c r="CR2330">
        <v>0</v>
      </c>
      <c r="CW2330">
        <v>4725485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 t="shared" si="749"/>
        <v>08/29/2020 06:18:44.923</v>
      </c>
      <c r="C2331" t="str">
        <f t="shared" si="734"/>
        <v>FFDFD3C0</v>
      </c>
      <c r="D2331" t="s">
        <v>121</v>
      </c>
      <c r="E2331">
        <v>10</v>
      </c>
      <c r="F2331">
        <v>1010</v>
      </c>
      <c r="G2331" t="s">
        <v>114</v>
      </c>
      <c r="J2331" t="s">
        <v>123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750"/>
        <v>06:18:48.133</v>
      </c>
      <c r="T2331" t="str">
        <f t="shared" si="751"/>
        <v>06:18:47.633</v>
      </c>
      <c r="U2331" t="str">
        <f t="shared" si="735"/>
        <v>A7E2E0</v>
      </c>
      <c r="V2331">
        <v>0</v>
      </c>
      <c r="W2331">
        <v>0</v>
      </c>
      <c r="X2331">
        <v>1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0</v>
      </c>
      <c r="AI2331" t="s">
        <v>1308</v>
      </c>
      <c r="AJ2331">
        <v>38.936641000000002</v>
      </c>
      <c r="AK2331" t="s">
        <v>1309</v>
      </c>
      <c r="AL2331">
        <v>-87.614356999999998</v>
      </c>
      <c r="AM2331">
        <v>100</v>
      </c>
      <c r="AN2331">
        <v>2500</v>
      </c>
      <c r="AO2331" t="s">
        <v>118</v>
      </c>
      <c r="AP2331">
        <v>21</v>
      </c>
      <c r="AQ2331">
        <v>-157</v>
      </c>
      <c r="AR2331">
        <v>-448</v>
      </c>
      <c r="AZ2331">
        <v>4552</v>
      </c>
      <c r="BA2331">
        <v>1</v>
      </c>
      <c r="BB2331" t="str">
        <f t="shared" si="736"/>
        <v xml:space="preserve">N607SR  </v>
      </c>
      <c r="BC2331">
        <v>1</v>
      </c>
      <c r="BE2331">
        <v>0</v>
      </c>
      <c r="BF2331">
        <v>0</v>
      </c>
      <c r="BG2331">
        <v>0</v>
      </c>
      <c r="BH2331">
        <v>2325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 t="shared" si="752"/>
        <v>06:18:48.138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6</v>
      </c>
      <c r="CP2331" t="s">
        <v>119</v>
      </c>
      <c r="CQ2331">
        <v>465</v>
      </c>
      <c r="CR2331">
        <v>0</v>
      </c>
      <c r="CW2331">
        <v>4725485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 t="shared" ref="A2332:A2337" si="753">"08/29/2020 06:18:45.802"</f>
        <v>08/29/2020 06:18:45.802</v>
      </c>
      <c r="C2332" t="str">
        <f t="shared" si="734"/>
        <v>FFDFD3C0</v>
      </c>
      <c r="D2332" t="s">
        <v>121</v>
      </c>
      <c r="E2332">
        <v>11</v>
      </c>
      <c r="F2332">
        <v>1011</v>
      </c>
      <c r="G2332" t="s">
        <v>125</v>
      </c>
      <c r="J2332" t="s">
        <v>123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ref="S2332:S2337" si="754">"06:18:49.023"</f>
        <v>06:18:49.023</v>
      </c>
      <c r="T2332" t="str">
        <f>"06:18:48.623"</f>
        <v>06:18:48.623</v>
      </c>
      <c r="U2332" t="str">
        <f t="shared" si="735"/>
        <v>A7E2E0</v>
      </c>
      <c r="V2332">
        <v>0</v>
      </c>
      <c r="W2332">
        <v>0</v>
      </c>
      <c r="X2332">
        <v>1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0</v>
      </c>
      <c r="AI2332" t="s">
        <v>1310</v>
      </c>
      <c r="AJ2332">
        <v>38.935975999999997</v>
      </c>
      <c r="AK2332" t="s">
        <v>1264</v>
      </c>
      <c r="AL2332">
        <v>-87.614249999999998</v>
      </c>
      <c r="AM2332">
        <v>100</v>
      </c>
      <c r="AN2332">
        <v>2500</v>
      </c>
      <c r="AO2332" t="s">
        <v>118</v>
      </c>
      <c r="AP2332">
        <v>21</v>
      </c>
      <c r="AQ2332">
        <v>-157</v>
      </c>
      <c r="AR2332">
        <v>-448</v>
      </c>
      <c r="AZ2332">
        <v>4552</v>
      </c>
      <c r="BA2332">
        <v>1</v>
      </c>
      <c r="BB2332" t="str">
        <f t="shared" si="736"/>
        <v xml:space="preserve">N607SR  </v>
      </c>
      <c r="BC2332">
        <v>1</v>
      </c>
      <c r="BE2332">
        <v>0</v>
      </c>
      <c r="BF2332">
        <v>0</v>
      </c>
      <c r="BG2332">
        <v>0</v>
      </c>
      <c r="BH2332">
        <v>2300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 t="shared" ref="BW2332:BW2337" si="755">"06:18:49.024"</f>
        <v>06:18:49.024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6</v>
      </c>
      <c r="CP2332" t="s">
        <v>119</v>
      </c>
      <c r="CQ2332">
        <v>177</v>
      </c>
      <c r="CR2332">
        <v>2</v>
      </c>
      <c r="CW2332">
        <v>1668910</v>
      </c>
      <c r="CY2332">
        <v>1</v>
      </c>
      <c r="CZ2332">
        <v>0</v>
      </c>
      <c r="DA2332">
        <v>0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 t="shared" si="753"/>
        <v>08/29/2020 06:18:45.802</v>
      </c>
      <c r="C2333" t="str">
        <f t="shared" si="734"/>
        <v>FFDFD3C0</v>
      </c>
      <c r="D2333" t="s">
        <v>128</v>
      </c>
      <c r="E2333">
        <v>5</v>
      </c>
      <c r="H2333">
        <v>241</v>
      </c>
      <c r="I2333" t="s">
        <v>129</v>
      </c>
      <c r="J2333" t="s">
        <v>130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754"/>
        <v>06:18:49.023</v>
      </c>
      <c r="U2333" t="str">
        <f t="shared" si="735"/>
        <v>A7E2E0</v>
      </c>
      <c r="V2333">
        <v>0</v>
      </c>
      <c r="W2333">
        <v>0</v>
      </c>
      <c r="X2333">
        <v>1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0</v>
      </c>
      <c r="AI2333" t="s">
        <v>1310</v>
      </c>
      <c r="AJ2333">
        <v>38.935975999999997</v>
      </c>
      <c r="AK2333" t="s">
        <v>1264</v>
      </c>
      <c r="AL2333">
        <v>-87.614249999999998</v>
      </c>
      <c r="AM2333">
        <v>100</v>
      </c>
      <c r="AN2333">
        <v>2500</v>
      </c>
      <c r="AO2333" t="s">
        <v>118</v>
      </c>
      <c r="AP2333">
        <v>21</v>
      </c>
      <c r="AQ2333">
        <v>-157</v>
      </c>
      <c r="AR2333">
        <v>-384</v>
      </c>
      <c r="AZ2333">
        <v>4552</v>
      </c>
      <c r="BA2333">
        <v>1</v>
      </c>
      <c r="BB2333" t="str">
        <f t="shared" si="736"/>
        <v xml:space="preserve">N607SR  </v>
      </c>
      <c r="BC2333">
        <v>1</v>
      </c>
      <c r="BE2333">
        <v>0</v>
      </c>
      <c r="BF2333">
        <v>0</v>
      </c>
      <c r="BG2333">
        <v>0</v>
      </c>
      <c r="BH2333">
        <v>2300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 t="shared" si="755"/>
        <v>06:18:49.024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5</v>
      </c>
      <c r="CP2333" t="s">
        <v>119</v>
      </c>
      <c r="CQ2333">
        <v>517</v>
      </c>
      <c r="CR2333">
        <v>1</v>
      </c>
      <c r="CW2333">
        <v>2485625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 t="shared" si="753"/>
        <v>08/29/2020 06:18:45.802</v>
      </c>
      <c r="C2334" t="str">
        <f t="shared" si="734"/>
        <v>FFDFD3C0</v>
      </c>
      <c r="D2334" t="s">
        <v>939</v>
      </c>
      <c r="E2334">
        <v>10</v>
      </c>
      <c r="H2334">
        <v>79</v>
      </c>
      <c r="I2334" t="s">
        <v>940</v>
      </c>
      <c r="J2334" t="s">
        <v>130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754"/>
        <v>06:18:49.023</v>
      </c>
      <c r="T2334" t="str">
        <f>"06:18:48.623"</f>
        <v>06:18:48.623</v>
      </c>
      <c r="U2334" t="str">
        <f t="shared" si="735"/>
        <v>A7E2E0</v>
      </c>
      <c r="V2334">
        <v>0</v>
      </c>
      <c r="W2334">
        <v>0</v>
      </c>
      <c r="X2334">
        <v>1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0</v>
      </c>
      <c r="AI2334" t="s">
        <v>1310</v>
      </c>
      <c r="AJ2334">
        <v>38.935975999999997</v>
      </c>
      <c r="AK2334" t="s">
        <v>1264</v>
      </c>
      <c r="AL2334">
        <v>-87.614249999999998</v>
      </c>
      <c r="AM2334">
        <v>100</v>
      </c>
      <c r="AN2334">
        <v>2500</v>
      </c>
      <c r="AO2334" t="s">
        <v>118</v>
      </c>
      <c r="AP2334">
        <v>21</v>
      </c>
      <c r="AQ2334">
        <v>-157</v>
      </c>
      <c r="AR2334">
        <v>-448</v>
      </c>
      <c r="AZ2334">
        <v>4552</v>
      </c>
      <c r="BA2334">
        <v>1</v>
      </c>
      <c r="BB2334" t="str">
        <f t="shared" si="736"/>
        <v xml:space="preserve">N607SR  </v>
      </c>
      <c r="BC2334">
        <v>1</v>
      </c>
      <c r="BE2334">
        <v>0</v>
      </c>
      <c r="BF2334">
        <v>0</v>
      </c>
      <c r="BG2334">
        <v>0</v>
      </c>
      <c r="BH2334">
        <v>2300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 t="shared" si="755"/>
        <v>06:18:49.024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6</v>
      </c>
      <c r="CP2334" t="s">
        <v>119</v>
      </c>
      <c r="CQ2334">
        <v>465</v>
      </c>
      <c r="CR2334">
        <v>0</v>
      </c>
      <c r="CW2334">
        <v>4725513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 t="shared" si="753"/>
        <v>08/29/2020 06:18:45.802</v>
      </c>
      <c r="C2335" t="str">
        <f t="shared" si="734"/>
        <v>FFDFD3C0</v>
      </c>
      <c r="D2335" t="s">
        <v>121</v>
      </c>
      <c r="E2335">
        <v>13</v>
      </c>
      <c r="F2335">
        <v>1013</v>
      </c>
      <c r="G2335" t="s">
        <v>122</v>
      </c>
      <c r="J2335" t="s">
        <v>123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754"/>
        <v>06:18:49.023</v>
      </c>
      <c r="U2335" t="str">
        <f t="shared" si="735"/>
        <v>A7E2E0</v>
      </c>
      <c r="V2335">
        <v>0</v>
      </c>
      <c r="W2335">
        <v>0</v>
      </c>
      <c r="X2335">
        <v>1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0</v>
      </c>
      <c r="AI2335" t="s">
        <v>1310</v>
      </c>
      <c r="AJ2335">
        <v>38.935975999999997</v>
      </c>
      <c r="AK2335" t="s">
        <v>1264</v>
      </c>
      <c r="AL2335">
        <v>-87.614249999999998</v>
      </c>
      <c r="AM2335">
        <v>100</v>
      </c>
      <c r="AN2335">
        <v>2500</v>
      </c>
      <c r="AO2335" t="s">
        <v>118</v>
      </c>
      <c r="AP2335">
        <v>21</v>
      </c>
      <c r="AQ2335">
        <v>-157</v>
      </c>
      <c r="AR2335">
        <v>-384</v>
      </c>
      <c r="AZ2335">
        <v>4552</v>
      </c>
      <c r="BA2335">
        <v>1</v>
      </c>
      <c r="BB2335" t="str">
        <f t="shared" si="736"/>
        <v xml:space="preserve">N607SR  </v>
      </c>
      <c r="BC2335">
        <v>1</v>
      </c>
      <c r="BE2335">
        <v>0</v>
      </c>
      <c r="BF2335">
        <v>0</v>
      </c>
      <c r="BG2335">
        <v>0</v>
      </c>
      <c r="BH2335">
        <v>2300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 t="shared" si="755"/>
        <v>06:18:49.024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5</v>
      </c>
      <c r="CP2335" t="s">
        <v>119</v>
      </c>
      <c r="CQ2335">
        <v>517</v>
      </c>
      <c r="CR2335">
        <v>1</v>
      </c>
      <c r="CW2335">
        <v>2485625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 t="shared" si="753"/>
        <v>08/29/2020 06:18:45.802</v>
      </c>
      <c r="C2336" t="str">
        <f t="shared" si="734"/>
        <v>FFDFD3C0</v>
      </c>
      <c r="D2336" t="s">
        <v>121</v>
      </c>
      <c r="E2336">
        <v>10</v>
      </c>
      <c r="F2336">
        <v>1010</v>
      </c>
      <c r="G2336" t="s">
        <v>114</v>
      </c>
      <c r="J2336" t="s">
        <v>123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754"/>
        <v>06:18:49.023</v>
      </c>
      <c r="U2336" t="str">
        <f t="shared" si="735"/>
        <v>A7E2E0</v>
      </c>
      <c r="V2336">
        <v>0</v>
      </c>
      <c r="W2336">
        <v>0</v>
      </c>
      <c r="X2336">
        <v>1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0</v>
      </c>
      <c r="AI2336" t="s">
        <v>1310</v>
      </c>
      <c r="AJ2336">
        <v>38.935975999999997</v>
      </c>
      <c r="AK2336" t="s">
        <v>1264</v>
      </c>
      <c r="AL2336">
        <v>-87.614249999999998</v>
      </c>
      <c r="AM2336">
        <v>100</v>
      </c>
      <c r="AN2336">
        <v>2500</v>
      </c>
      <c r="AO2336" t="s">
        <v>118</v>
      </c>
      <c r="AP2336">
        <v>21</v>
      </c>
      <c r="AQ2336">
        <v>-157</v>
      </c>
      <c r="AR2336">
        <v>-384</v>
      </c>
      <c r="AZ2336">
        <v>4552</v>
      </c>
      <c r="BA2336">
        <v>1</v>
      </c>
      <c r="BB2336" t="str">
        <f t="shared" si="736"/>
        <v xml:space="preserve">N607SR  </v>
      </c>
      <c r="BC2336">
        <v>1</v>
      </c>
      <c r="BE2336">
        <v>0</v>
      </c>
      <c r="BF2336">
        <v>0</v>
      </c>
      <c r="BG2336">
        <v>0</v>
      </c>
      <c r="BH2336">
        <v>2300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 t="shared" si="755"/>
        <v>06:18:49.024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5</v>
      </c>
      <c r="CP2336" t="s">
        <v>119</v>
      </c>
      <c r="CQ2336">
        <v>517</v>
      </c>
      <c r="CR2336">
        <v>1</v>
      </c>
      <c r="CW2336">
        <v>2485625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 t="shared" si="753"/>
        <v>08/29/2020 06:18:45.802</v>
      </c>
      <c r="C2337" t="str">
        <f t="shared" si="734"/>
        <v>FFDFD3C0</v>
      </c>
      <c r="D2337" t="s">
        <v>113</v>
      </c>
      <c r="E2337">
        <v>5</v>
      </c>
      <c r="H2337">
        <v>163</v>
      </c>
      <c r="I2337" t="s">
        <v>114</v>
      </c>
      <c r="J2337" t="s">
        <v>115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754"/>
        <v>06:18:49.023</v>
      </c>
      <c r="U2337" t="str">
        <f t="shared" si="735"/>
        <v>A7E2E0</v>
      </c>
      <c r="V2337">
        <v>0</v>
      </c>
      <c r="W2337">
        <v>0</v>
      </c>
      <c r="X2337">
        <v>1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0</v>
      </c>
      <c r="AI2337" t="s">
        <v>1310</v>
      </c>
      <c r="AJ2337">
        <v>38.935975999999997</v>
      </c>
      <c r="AK2337" t="s">
        <v>1264</v>
      </c>
      <c r="AL2337">
        <v>-87.614249999999998</v>
      </c>
      <c r="AM2337">
        <v>100</v>
      </c>
      <c r="AN2337">
        <v>2500</v>
      </c>
      <c r="AO2337" t="s">
        <v>118</v>
      </c>
      <c r="AP2337">
        <v>21</v>
      </c>
      <c r="AQ2337">
        <v>-157</v>
      </c>
      <c r="AR2337">
        <v>-384</v>
      </c>
      <c r="AZ2337">
        <v>4552</v>
      </c>
      <c r="BA2337">
        <v>1</v>
      </c>
      <c r="BB2337" t="str">
        <f t="shared" si="736"/>
        <v xml:space="preserve">N607SR  </v>
      </c>
      <c r="BC2337">
        <v>1</v>
      </c>
      <c r="BE2337">
        <v>0</v>
      </c>
      <c r="BF2337">
        <v>0</v>
      </c>
      <c r="BG2337">
        <v>0</v>
      </c>
      <c r="BH2337">
        <v>2300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 t="shared" si="755"/>
        <v>06:18:49.024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5</v>
      </c>
      <c r="CP2337" t="s">
        <v>119</v>
      </c>
      <c r="CQ2337">
        <v>517</v>
      </c>
      <c r="CR2337">
        <v>1</v>
      </c>
      <c r="CW2337">
        <v>2485625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 t="shared" ref="A2338:A2343" si="756">"08/29/2020 06:18:46.767"</f>
        <v>08/29/2020 06:18:46.767</v>
      </c>
      <c r="C2338" t="str">
        <f t="shared" si="734"/>
        <v>FFDFD3C0</v>
      </c>
      <c r="D2338" t="s">
        <v>939</v>
      </c>
      <c r="E2338">
        <v>10</v>
      </c>
      <c r="H2338">
        <v>79</v>
      </c>
      <c r="I2338" t="s">
        <v>940</v>
      </c>
      <c r="J2338" t="s">
        <v>130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ref="S2338:S2343" si="757">"06:18:50.000"</f>
        <v>06:18:50.000</v>
      </c>
      <c r="T2338" t="str">
        <f>"06:18:49.600"</f>
        <v>06:18:49.600</v>
      </c>
      <c r="U2338" t="str">
        <f t="shared" si="735"/>
        <v>A7E2E0</v>
      </c>
      <c r="V2338">
        <v>0</v>
      </c>
      <c r="W2338">
        <v>0</v>
      </c>
      <c r="X2338">
        <v>1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0</v>
      </c>
      <c r="AI2338" t="s">
        <v>1311</v>
      </c>
      <c r="AJ2338">
        <v>38.935353999999997</v>
      </c>
      <c r="AK2338" t="s">
        <v>1312</v>
      </c>
      <c r="AL2338">
        <v>-87.614186000000004</v>
      </c>
      <c r="AM2338">
        <v>100</v>
      </c>
      <c r="AN2338">
        <v>2500</v>
      </c>
      <c r="AO2338" t="s">
        <v>118</v>
      </c>
      <c r="AP2338">
        <v>21</v>
      </c>
      <c r="AQ2338">
        <v>-157</v>
      </c>
      <c r="AR2338">
        <v>-384</v>
      </c>
      <c r="AZ2338">
        <v>4552</v>
      </c>
      <c r="BA2338">
        <v>1</v>
      </c>
      <c r="BB2338" t="str">
        <f t="shared" si="736"/>
        <v xml:space="preserve">N607SR  </v>
      </c>
      <c r="BC2338">
        <v>1</v>
      </c>
      <c r="BE2338">
        <v>0</v>
      </c>
      <c r="BF2338">
        <v>0</v>
      </c>
      <c r="BG2338">
        <v>0</v>
      </c>
      <c r="BH2338">
        <v>2300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 t="shared" ref="BW2338:BW2343" si="758">"06:18:50.002"</f>
        <v>06:18:50.002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465</v>
      </c>
      <c r="CR2338">
        <v>0</v>
      </c>
      <c r="CW2338">
        <v>4725539</v>
      </c>
      <c r="CY2338">
        <v>1</v>
      </c>
      <c r="CZ2338">
        <v>0</v>
      </c>
      <c r="DA2338">
        <v>0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 t="shared" si="756"/>
        <v>08/29/2020 06:18:46.767</v>
      </c>
      <c r="C2339" t="str">
        <f t="shared" si="734"/>
        <v>FFDFD3C0</v>
      </c>
      <c r="D2339" t="s">
        <v>128</v>
      </c>
      <c r="E2339">
        <v>5</v>
      </c>
      <c r="H2339">
        <v>241</v>
      </c>
      <c r="I2339" t="s">
        <v>129</v>
      </c>
      <c r="J2339" t="s">
        <v>130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757"/>
        <v>06:18:50.000</v>
      </c>
      <c r="U2339" t="str">
        <f t="shared" si="735"/>
        <v>A7E2E0</v>
      </c>
      <c r="V2339">
        <v>0</v>
      </c>
      <c r="W2339">
        <v>0</v>
      </c>
      <c r="X2339">
        <v>1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0</v>
      </c>
      <c r="AI2339" t="s">
        <v>1311</v>
      </c>
      <c r="AJ2339">
        <v>38.935353999999997</v>
      </c>
      <c r="AK2339" t="s">
        <v>1312</v>
      </c>
      <c r="AL2339">
        <v>-87.614186000000004</v>
      </c>
      <c r="AM2339">
        <v>100</v>
      </c>
      <c r="AN2339">
        <v>2500</v>
      </c>
      <c r="AO2339" t="s">
        <v>118</v>
      </c>
      <c r="AP2339">
        <v>21</v>
      </c>
      <c r="AQ2339">
        <v>-157</v>
      </c>
      <c r="AR2339">
        <v>-384</v>
      </c>
      <c r="AZ2339">
        <v>4552</v>
      </c>
      <c r="BA2339">
        <v>1</v>
      </c>
      <c r="BB2339" t="str">
        <f t="shared" si="736"/>
        <v xml:space="preserve">N607SR  </v>
      </c>
      <c r="BC2339">
        <v>1</v>
      </c>
      <c r="BE2339">
        <v>0</v>
      </c>
      <c r="BF2339">
        <v>0</v>
      </c>
      <c r="BG2339">
        <v>0</v>
      </c>
      <c r="BH2339">
        <v>2300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 t="shared" si="758"/>
        <v>06:18:50.002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5</v>
      </c>
      <c r="CP2339" t="s">
        <v>119</v>
      </c>
      <c r="CQ2339">
        <v>517</v>
      </c>
      <c r="CR2339">
        <v>1</v>
      </c>
      <c r="CW2339">
        <v>2485649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 t="shared" si="756"/>
        <v>08/29/2020 06:18:46.767</v>
      </c>
      <c r="C2340" t="str">
        <f t="shared" si="734"/>
        <v>FFDFD3C0</v>
      </c>
      <c r="D2340" t="s">
        <v>113</v>
      </c>
      <c r="E2340">
        <v>5</v>
      </c>
      <c r="H2340">
        <v>163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757"/>
        <v>06:18:50.000</v>
      </c>
      <c r="U2340" t="str">
        <f t="shared" si="735"/>
        <v>A7E2E0</v>
      </c>
      <c r="V2340">
        <v>0</v>
      </c>
      <c r="W2340">
        <v>0</v>
      </c>
      <c r="X2340">
        <v>1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0</v>
      </c>
      <c r="AI2340" t="s">
        <v>1311</v>
      </c>
      <c r="AJ2340">
        <v>38.935353999999997</v>
      </c>
      <c r="AK2340" t="s">
        <v>1312</v>
      </c>
      <c r="AL2340">
        <v>-87.614186000000004</v>
      </c>
      <c r="AM2340">
        <v>100</v>
      </c>
      <c r="AN2340">
        <v>2500</v>
      </c>
      <c r="AO2340" t="s">
        <v>118</v>
      </c>
      <c r="AP2340">
        <v>21</v>
      </c>
      <c r="AQ2340">
        <v>-157</v>
      </c>
      <c r="AR2340">
        <v>-384</v>
      </c>
      <c r="AZ2340">
        <v>4552</v>
      </c>
      <c r="BA2340">
        <v>1</v>
      </c>
      <c r="BB2340" t="str">
        <f t="shared" si="736"/>
        <v xml:space="preserve">N607SR  </v>
      </c>
      <c r="BC2340">
        <v>1</v>
      </c>
      <c r="BE2340">
        <v>0</v>
      </c>
      <c r="BF2340">
        <v>0</v>
      </c>
      <c r="BG2340">
        <v>0</v>
      </c>
      <c r="BH2340">
        <v>2300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 t="shared" si="758"/>
        <v>06:18:50.002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5</v>
      </c>
      <c r="CP2340" t="s">
        <v>119</v>
      </c>
      <c r="CQ2340">
        <v>517</v>
      </c>
      <c r="CR2340">
        <v>1</v>
      </c>
      <c r="CW2340">
        <v>2485649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 t="shared" si="756"/>
        <v>08/29/2020 06:18:46.767</v>
      </c>
      <c r="C2341" t="str">
        <f t="shared" si="734"/>
        <v>FFDFD3C0</v>
      </c>
      <c r="D2341" t="s">
        <v>121</v>
      </c>
      <c r="E2341">
        <v>11</v>
      </c>
      <c r="F2341">
        <v>1011</v>
      </c>
      <c r="G2341" t="s">
        <v>125</v>
      </c>
      <c r="J2341" t="s">
        <v>123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757"/>
        <v>06:18:50.000</v>
      </c>
      <c r="T2341" t="str">
        <f>"06:18:49.600"</f>
        <v>06:18:49.600</v>
      </c>
      <c r="U2341" t="str">
        <f t="shared" si="735"/>
        <v>A7E2E0</v>
      </c>
      <c r="V2341">
        <v>0</v>
      </c>
      <c r="W2341">
        <v>0</v>
      </c>
      <c r="X2341">
        <v>1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0</v>
      </c>
      <c r="AI2341" t="s">
        <v>1311</v>
      </c>
      <c r="AJ2341">
        <v>38.935353999999997</v>
      </c>
      <c r="AK2341" t="s">
        <v>1312</v>
      </c>
      <c r="AL2341">
        <v>-87.614186000000004</v>
      </c>
      <c r="AM2341">
        <v>100</v>
      </c>
      <c r="AN2341">
        <v>2500</v>
      </c>
      <c r="AO2341" t="s">
        <v>118</v>
      </c>
      <c r="AP2341">
        <v>21</v>
      </c>
      <c r="AQ2341">
        <v>-157</v>
      </c>
      <c r="AR2341">
        <v>-384</v>
      </c>
      <c r="AZ2341">
        <v>4552</v>
      </c>
      <c r="BA2341">
        <v>1</v>
      </c>
      <c r="BB2341" t="str">
        <f t="shared" si="736"/>
        <v xml:space="preserve">N607SR  </v>
      </c>
      <c r="BC2341">
        <v>1</v>
      </c>
      <c r="BE2341">
        <v>0</v>
      </c>
      <c r="BF2341">
        <v>0</v>
      </c>
      <c r="BG2341">
        <v>0</v>
      </c>
      <c r="BH2341">
        <v>2300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 t="shared" si="758"/>
        <v>06:18:50.002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6</v>
      </c>
      <c r="CP2341" t="s">
        <v>119</v>
      </c>
      <c r="CQ2341">
        <v>177</v>
      </c>
      <c r="CR2341">
        <v>2</v>
      </c>
      <c r="CW2341">
        <v>1669060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 t="shared" si="756"/>
        <v>08/29/2020 06:18:46.767</v>
      </c>
      <c r="C2342" t="str">
        <f t="shared" si="734"/>
        <v>FFDFD3C0</v>
      </c>
      <c r="D2342" t="s">
        <v>121</v>
      </c>
      <c r="E2342">
        <v>13</v>
      </c>
      <c r="F2342">
        <v>1013</v>
      </c>
      <c r="G2342" t="s">
        <v>122</v>
      </c>
      <c r="J2342" t="s">
        <v>123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757"/>
        <v>06:18:50.000</v>
      </c>
      <c r="U2342" t="str">
        <f t="shared" si="735"/>
        <v>A7E2E0</v>
      </c>
      <c r="V2342">
        <v>0</v>
      </c>
      <c r="W2342">
        <v>0</v>
      </c>
      <c r="X2342">
        <v>1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0</v>
      </c>
      <c r="AI2342" t="s">
        <v>1311</v>
      </c>
      <c r="AJ2342">
        <v>38.935353999999997</v>
      </c>
      <c r="AK2342" t="s">
        <v>1312</v>
      </c>
      <c r="AL2342">
        <v>-87.614186000000004</v>
      </c>
      <c r="AM2342">
        <v>100</v>
      </c>
      <c r="AN2342">
        <v>2500</v>
      </c>
      <c r="AO2342" t="s">
        <v>118</v>
      </c>
      <c r="AP2342">
        <v>21</v>
      </c>
      <c r="AQ2342">
        <v>-157</v>
      </c>
      <c r="AR2342">
        <v>-384</v>
      </c>
      <c r="AZ2342">
        <v>4552</v>
      </c>
      <c r="BA2342">
        <v>1</v>
      </c>
      <c r="BB2342" t="str">
        <f t="shared" si="736"/>
        <v xml:space="preserve">N607SR  </v>
      </c>
      <c r="BC2342">
        <v>1</v>
      </c>
      <c r="BE2342">
        <v>0</v>
      </c>
      <c r="BF2342">
        <v>0</v>
      </c>
      <c r="BG2342">
        <v>0</v>
      </c>
      <c r="BH2342">
        <v>2300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 t="shared" si="758"/>
        <v>06:18:50.002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5</v>
      </c>
      <c r="CP2342" t="s">
        <v>119</v>
      </c>
      <c r="CQ2342">
        <v>517</v>
      </c>
      <c r="CR2342">
        <v>1</v>
      </c>
      <c r="CW2342">
        <v>2485649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 t="shared" si="756"/>
        <v>08/29/2020 06:18:46.767</v>
      </c>
      <c r="C2343" t="str">
        <f t="shared" si="734"/>
        <v>FFDFD3C0</v>
      </c>
      <c r="D2343" t="s">
        <v>121</v>
      </c>
      <c r="E2343">
        <v>10</v>
      </c>
      <c r="F2343">
        <v>1010</v>
      </c>
      <c r="G2343" t="s">
        <v>114</v>
      </c>
      <c r="J2343" t="s">
        <v>123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757"/>
        <v>06:18:50.000</v>
      </c>
      <c r="U2343" t="str">
        <f t="shared" si="735"/>
        <v>A7E2E0</v>
      </c>
      <c r="V2343">
        <v>0</v>
      </c>
      <c r="W2343">
        <v>0</v>
      </c>
      <c r="X2343">
        <v>1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0</v>
      </c>
      <c r="AI2343" t="s">
        <v>1311</v>
      </c>
      <c r="AJ2343">
        <v>38.935353999999997</v>
      </c>
      <c r="AK2343" t="s">
        <v>1312</v>
      </c>
      <c r="AL2343">
        <v>-87.614186000000004</v>
      </c>
      <c r="AM2343">
        <v>100</v>
      </c>
      <c r="AN2343">
        <v>2500</v>
      </c>
      <c r="AO2343" t="s">
        <v>118</v>
      </c>
      <c r="AP2343">
        <v>21</v>
      </c>
      <c r="AQ2343">
        <v>-157</v>
      </c>
      <c r="AR2343">
        <v>-384</v>
      </c>
      <c r="AZ2343">
        <v>4552</v>
      </c>
      <c r="BA2343">
        <v>1</v>
      </c>
      <c r="BB2343" t="str">
        <f t="shared" si="736"/>
        <v xml:space="preserve">N607SR  </v>
      </c>
      <c r="BC2343">
        <v>1</v>
      </c>
      <c r="BE2343">
        <v>0</v>
      </c>
      <c r="BF2343">
        <v>0</v>
      </c>
      <c r="BG2343">
        <v>0</v>
      </c>
      <c r="BH2343">
        <v>2300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 t="shared" si="758"/>
        <v>06:18:50.002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5</v>
      </c>
      <c r="CP2343" t="s">
        <v>119</v>
      </c>
      <c r="CQ2343">
        <v>517</v>
      </c>
      <c r="CR2343">
        <v>1</v>
      </c>
      <c r="CW2343">
        <v>2485649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 t="shared" ref="A2344:A2349" si="759">"08/29/2020 06:18:47.612"</f>
        <v>08/29/2020 06:18:47.612</v>
      </c>
      <c r="C2344" t="str">
        <f t="shared" si="734"/>
        <v>FFDFD3C0</v>
      </c>
      <c r="D2344" t="s">
        <v>113</v>
      </c>
      <c r="E2344">
        <v>5</v>
      </c>
      <c r="H2344">
        <v>163</v>
      </c>
      <c r="I2344" t="s">
        <v>114</v>
      </c>
      <c r="J2344" t="s">
        <v>115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ref="S2344:S2349" si="760">"06:18:50.875"</f>
        <v>06:18:50.875</v>
      </c>
      <c r="T2344" t="str">
        <f t="shared" ref="T2344:T2349" si="761">"06:18:50.475"</f>
        <v>06:18:50.475</v>
      </c>
      <c r="U2344" t="str">
        <f t="shared" si="735"/>
        <v>A7E2E0</v>
      </c>
      <c r="V2344">
        <v>0</v>
      </c>
      <c r="W2344">
        <v>0</v>
      </c>
      <c r="X2344">
        <v>1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0</v>
      </c>
      <c r="AI2344" t="s">
        <v>1313</v>
      </c>
      <c r="AJ2344">
        <v>38.934666999999997</v>
      </c>
      <c r="AK2344" t="s">
        <v>1314</v>
      </c>
      <c r="AL2344">
        <v>-87.614013999999997</v>
      </c>
      <c r="AM2344">
        <v>100</v>
      </c>
      <c r="AN2344">
        <v>2500</v>
      </c>
      <c r="AO2344" t="s">
        <v>118</v>
      </c>
      <c r="AP2344">
        <v>21</v>
      </c>
      <c r="AQ2344">
        <v>-157</v>
      </c>
      <c r="AR2344">
        <v>-384</v>
      </c>
      <c r="AZ2344">
        <v>4552</v>
      </c>
      <c r="BA2344">
        <v>1</v>
      </c>
      <c r="BB2344" t="str">
        <f t="shared" si="736"/>
        <v xml:space="preserve">N607SR  </v>
      </c>
      <c r="BC2344">
        <v>1</v>
      </c>
      <c r="BE2344">
        <v>0</v>
      </c>
      <c r="BF2344">
        <v>0</v>
      </c>
      <c r="BG2344">
        <v>0</v>
      </c>
      <c r="BH2344">
        <v>2300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 t="shared" ref="BW2344:BW2349" si="762">"06:18:50.882"</f>
        <v>06:18:50.882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6</v>
      </c>
      <c r="CP2344" t="s">
        <v>119</v>
      </c>
      <c r="CQ2344">
        <v>465</v>
      </c>
      <c r="CR2344">
        <v>0</v>
      </c>
      <c r="CW2344">
        <v>4725566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 t="shared" si="759"/>
        <v>08/29/2020 06:18:47.612</v>
      </c>
      <c r="C2345" t="str">
        <f t="shared" si="734"/>
        <v>FFDFD3C0</v>
      </c>
      <c r="D2345" t="s">
        <v>128</v>
      </c>
      <c r="E2345">
        <v>5</v>
      </c>
      <c r="H2345">
        <v>241</v>
      </c>
      <c r="I2345" t="s">
        <v>129</v>
      </c>
      <c r="J2345" t="s">
        <v>130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760"/>
        <v>06:18:50.875</v>
      </c>
      <c r="T2345" t="str">
        <f t="shared" si="761"/>
        <v>06:18:50.475</v>
      </c>
      <c r="U2345" t="str">
        <f t="shared" si="735"/>
        <v>A7E2E0</v>
      </c>
      <c r="V2345">
        <v>0</v>
      </c>
      <c r="W2345">
        <v>0</v>
      </c>
      <c r="X2345">
        <v>1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0</v>
      </c>
      <c r="AI2345" t="s">
        <v>1313</v>
      </c>
      <c r="AJ2345">
        <v>38.934666999999997</v>
      </c>
      <c r="AK2345" t="s">
        <v>1314</v>
      </c>
      <c r="AL2345">
        <v>-87.614013999999997</v>
      </c>
      <c r="AM2345">
        <v>100</v>
      </c>
      <c r="AN2345">
        <v>2500</v>
      </c>
      <c r="AO2345" t="s">
        <v>118</v>
      </c>
      <c r="AP2345">
        <v>21</v>
      </c>
      <c r="AQ2345">
        <v>-157</v>
      </c>
      <c r="AR2345">
        <v>-384</v>
      </c>
      <c r="AZ2345">
        <v>4552</v>
      </c>
      <c r="BA2345">
        <v>1</v>
      </c>
      <c r="BB2345" t="str">
        <f t="shared" si="736"/>
        <v xml:space="preserve">N607SR  </v>
      </c>
      <c r="BC2345">
        <v>1</v>
      </c>
      <c r="BE2345">
        <v>0</v>
      </c>
      <c r="BF2345">
        <v>0</v>
      </c>
      <c r="BG2345">
        <v>0</v>
      </c>
      <c r="BH2345">
        <v>2300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 t="shared" si="762"/>
        <v>06:18:50.882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6</v>
      </c>
      <c r="CP2345" t="s">
        <v>119</v>
      </c>
      <c r="CQ2345">
        <v>465</v>
      </c>
      <c r="CR2345">
        <v>0</v>
      </c>
      <c r="CW2345">
        <v>4725566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 t="shared" si="759"/>
        <v>08/29/2020 06:18:47.612</v>
      </c>
      <c r="C2346" t="str">
        <f t="shared" si="734"/>
        <v>FFDFD3C0</v>
      </c>
      <c r="D2346" t="s">
        <v>939</v>
      </c>
      <c r="E2346">
        <v>10</v>
      </c>
      <c r="H2346">
        <v>79</v>
      </c>
      <c r="I2346" t="s">
        <v>940</v>
      </c>
      <c r="J2346" t="s">
        <v>130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760"/>
        <v>06:18:50.875</v>
      </c>
      <c r="T2346" t="str">
        <f t="shared" si="761"/>
        <v>06:18:50.475</v>
      </c>
      <c r="U2346" t="str">
        <f t="shared" si="735"/>
        <v>A7E2E0</v>
      </c>
      <c r="V2346">
        <v>0</v>
      </c>
      <c r="W2346">
        <v>0</v>
      </c>
      <c r="X2346">
        <v>1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0</v>
      </c>
      <c r="AI2346" t="s">
        <v>1313</v>
      </c>
      <c r="AJ2346">
        <v>38.934666999999997</v>
      </c>
      <c r="AK2346" t="s">
        <v>1314</v>
      </c>
      <c r="AL2346">
        <v>-87.614013999999997</v>
      </c>
      <c r="AM2346">
        <v>100</v>
      </c>
      <c r="AN2346">
        <v>2500</v>
      </c>
      <c r="AO2346" t="s">
        <v>118</v>
      </c>
      <c r="AP2346">
        <v>21</v>
      </c>
      <c r="AQ2346">
        <v>-157</v>
      </c>
      <c r="AR2346">
        <v>-384</v>
      </c>
      <c r="AZ2346">
        <v>4552</v>
      </c>
      <c r="BA2346">
        <v>1</v>
      </c>
      <c r="BB2346" t="str">
        <f t="shared" si="736"/>
        <v xml:space="preserve">N607SR  </v>
      </c>
      <c r="BC2346">
        <v>1</v>
      </c>
      <c r="BE2346">
        <v>0</v>
      </c>
      <c r="BF2346">
        <v>0</v>
      </c>
      <c r="BG2346">
        <v>0</v>
      </c>
      <c r="BH2346">
        <v>2300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 t="shared" si="762"/>
        <v>06:18:50.882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6</v>
      </c>
      <c r="CP2346" t="s">
        <v>119</v>
      </c>
      <c r="CQ2346">
        <v>465</v>
      </c>
      <c r="CR2346">
        <v>0</v>
      </c>
      <c r="CW2346">
        <v>4725566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 t="shared" si="759"/>
        <v>08/29/2020 06:18:47.612</v>
      </c>
      <c r="C2347" t="str">
        <f t="shared" si="734"/>
        <v>FFDFD3C0</v>
      </c>
      <c r="D2347" t="s">
        <v>121</v>
      </c>
      <c r="E2347">
        <v>11</v>
      </c>
      <c r="F2347">
        <v>1011</v>
      </c>
      <c r="G2347" t="s">
        <v>125</v>
      </c>
      <c r="J2347" t="s">
        <v>123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760"/>
        <v>06:18:50.875</v>
      </c>
      <c r="T2347" t="str">
        <f t="shared" si="761"/>
        <v>06:18:50.475</v>
      </c>
      <c r="U2347" t="str">
        <f t="shared" si="735"/>
        <v>A7E2E0</v>
      </c>
      <c r="V2347">
        <v>0</v>
      </c>
      <c r="W2347">
        <v>0</v>
      </c>
      <c r="X2347">
        <v>1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0</v>
      </c>
      <c r="AI2347" t="s">
        <v>1313</v>
      </c>
      <c r="AJ2347">
        <v>38.934666999999997</v>
      </c>
      <c r="AK2347" t="s">
        <v>1314</v>
      </c>
      <c r="AL2347">
        <v>-87.614013999999997</v>
      </c>
      <c r="AM2347">
        <v>100</v>
      </c>
      <c r="AN2347">
        <v>2500</v>
      </c>
      <c r="AO2347" t="s">
        <v>118</v>
      </c>
      <c r="AP2347">
        <v>21</v>
      </c>
      <c r="AQ2347">
        <v>-157</v>
      </c>
      <c r="AR2347">
        <v>-384</v>
      </c>
      <c r="AZ2347">
        <v>4552</v>
      </c>
      <c r="BA2347">
        <v>1</v>
      </c>
      <c r="BB2347" t="str">
        <f t="shared" si="736"/>
        <v xml:space="preserve">N607SR  </v>
      </c>
      <c r="BC2347">
        <v>1</v>
      </c>
      <c r="BE2347">
        <v>0</v>
      </c>
      <c r="BF2347">
        <v>0</v>
      </c>
      <c r="BG2347">
        <v>0</v>
      </c>
      <c r="BH2347">
        <v>2300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 t="shared" si="762"/>
        <v>06:18:50.882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6</v>
      </c>
      <c r="CP2347" t="s">
        <v>119</v>
      </c>
      <c r="CQ2347">
        <v>177</v>
      </c>
      <c r="CR2347">
        <v>2</v>
      </c>
      <c r="CW2347">
        <v>1669198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 t="shared" si="759"/>
        <v>08/29/2020 06:18:47.612</v>
      </c>
      <c r="C2348" t="str">
        <f t="shared" si="734"/>
        <v>FFDFD3C0</v>
      </c>
      <c r="D2348" t="s">
        <v>121</v>
      </c>
      <c r="E2348">
        <v>13</v>
      </c>
      <c r="F2348">
        <v>1013</v>
      </c>
      <c r="G2348" t="s">
        <v>122</v>
      </c>
      <c r="J2348" t="s">
        <v>123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760"/>
        <v>06:18:50.875</v>
      </c>
      <c r="T2348" t="str">
        <f t="shared" si="761"/>
        <v>06:18:50.475</v>
      </c>
      <c r="U2348" t="str">
        <f t="shared" si="735"/>
        <v>A7E2E0</v>
      </c>
      <c r="V2348">
        <v>0</v>
      </c>
      <c r="W2348">
        <v>0</v>
      </c>
      <c r="X2348">
        <v>1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0</v>
      </c>
      <c r="AI2348" t="s">
        <v>1313</v>
      </c>
      <c r="AJ2348">
        <v>38.934666999999997</v>
      </c>
      <c r="AK2348" t="s">
        <v>1314</v>
      </c>
      <c r="AL2348">
        <v>-87.614013999999997</v>
      </c>
      <c r="AM2348">
        <v>100</v>
      </c>
      <c r="AN2348">
        <v>2500</v>
      </c>
      <c r="AO2348" t="s">
        <v>118</v>
      </c>
      <c r="AP2348">
        <v>21</v>
      </c>
      <c r="AQ2348">
        <v>-157</v>
      </c>
      <c r="AR2348">
        <v>-384</v>
      </c>
      <c r="AZ2348">
        <v>4552</v>
      </c>
      <c r="BA2348">
        <v>1</v>
      </c>
      <c r="BB2348" t="str">
        <f t="shared" si="736"/>
        <v xml:space="preserve">N607SR  </v>
      </c>
      <c r="BC2348">
        <v>1</v>
      </c>
      <c r="BE2348">
        <v>0</v>
      </c>
      <c r="BF2348">
        <v>0</v>
      </c>
      <c r="BG2348">
        <v>0</v>
      </c>
      <c r="BH2348">
        <v>2300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 t="shared" si="762"/>
        <v>06:18:50.882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6</v>
      </c>
      <c r="CP2348" t="s">
        <v>119</v>
      </c>
      <c r="CQ2348">
        <v>465</v>
      </c>
      <c r="CR2348">
        <v>0</v>
      </c>
      <c r="CW2348">
        <v>4725566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 t="shared" si="759"/>
        <v>08/29/2020 06:18:47.612</v>
      </c>
      <c r="C2349" t="str">
        <f t="shared" si="734"/>
        <v>FFDFD3C0</v>
      </c>
      <c r="D2349" t="s">
        <v>121</v>
      </c>
      <c r="E2349">
        <v>10</v>
      </c>
      <c r="F2349">
        <v>1010</v>
      </c>
      <c r="G2349" t="s">
        <v>114</v>
      </c>
      <c r="J2349" t="s">
        <v>123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760"/>
        <v>06:18:50.875</v>
      </c>
      <c r="T2349" t="str">
        <f t="shared" si="761"/>
        <v>06:18:50.475</v>
      </c>
      <c r="U2349" t="str">
        <f t="shared" si="735"/>
        <v>A7E2E0</v>
      </c>
      <c r="V2349">
        <v>0</v>
      </c>
      <c r="W2349">
        <v>0</v>
      </c>
      <c r="X2349">
        <v>1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0</v>
      </c>
      <c r="AI2349" t="s">
        <v>1313</v>
      </c>
      <c r="AJ2349">
        <v>38.934666999999997</v>
      </c>
      <c r="AK2349" t="s">
        <v>1314</v>
      </c>
      <c r="AL2349">
        <v>-87.614013999999997</v>
      </c>
      <c r="AM2349">
        <v>100</v>
      </c>
      <c r="AN2349">
        <v>2500</v>
      </c>
      <c r="AO2349" t="s">
        <v>118</v>
      </c>
      <c r="AP2349">
        <v>21</v>
      </c>
      <c r="AQ2349">
        <v>-157</v>
      </c>
      <c r="AR2349">
        <v>-384</v>
      </c>
      <c r="AZ2349">
        <v>4552</v>
      </c>
      <c r="BA2349">
        <v>1</v>
      </c>
      <c r="BB2349" t="str">
        <f t="shared" si="736"/>
        <v xml:space="preserve">N607SR  </v>
      </c>
      <c r="BC2349">
        <v>1</v>
      </c>
      <c r="BE2349">
        <v>0</v>
      </c>
      <c r="BF2349">
        <v>0</v>
      </c>
      <c r="BG2349">
        <v>0</v>
      </c>
      <c r="BH2349">
        <v>2300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 t="shared" si="762"/>
        <v>06:18:50.882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6</v>
      </c>
      <c r="CP2349" t="s">
        <v>119</v>
      </c>
      <c r="CQ2349">
        <v>465</v>
      </c>
      <c r="CR2349">
        <v>0</v>
      </c>
      <c r="CW2349">
        <v>4725566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 t="shared" ref="A2350:A2355" si="763">"08/29/2020 06:18:48.676"</f>
        <v>08/29/2020 06:18:48.676</v>
      </c>
      <c r="C2350" t="str">
        <f t="shared" si="734"/>
        <v>FFDFD3C0</v>
      </c>
      <c r="D2350" t="s">
        <v>113</v>
      </c>
      <c r="E2350">
        <v>5</v>
      </c>
      <c r="H2350">
        <v>163</v>
      </c>
      <c r="I2350" t="s">
        <v>114</v>
      </c>
      <c r="J2350" t="s">
        <v>115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ref="S2350:S2355" si="764">"06:18:51.898"</f>
        <v>06:18:51.898</v>
      </c>
      <c r="T2350" t="str">
        <f t="shared" ref="T2350:T2355" si="765">"06:18:51.398"</f>
        <v>06:18:51.398</v>
      </c>
      <c r="U2350" t="str">
        <f t="shared" si="735"/>
        <v>A7E2E0</v>
      </c>
      <c r="V2350">
        <v>0</v>
      </c>
      <c r="W2350">
        <v>0</v>
      </c>
      <c r="X2350">
        <v>1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0</v>
      </c>
      <c r="AI2350" t="s">
        <v>1315</v>
      </c>
      <c r="AJ2350">
        <v>38.933959000000002</v>
      </c>
      <c r="AK2350" t="s">
        <v>1262</v>
      </c>
      <c r="AL2350">
        <v>-87.613884999999996</v>
      </c>
      <c r="AM2350">
        <v>100</v>
      </c>
      <c r="AN2350">
        <v>2500</v>
      </c>
      <c r="AO2350" t="s">
        <v>118</v>
      </c>
      <c r="AP2350">
        <v>21</v>
      </c>
      <c r="AQ2350">
        <v>-157</v>
      </c>
      <c r="AR2350">
        <v>-320</v>
      </c>
      <c r="AZ2350">
        <v>4552</v>
      </c>
      <c r="BA2350">
        <v>1</v>
      </c>
      <c r="BB2350" t="str">
        <f t="shared" si="736"/>
        <v xml:space="preserve">N607SR  </v>
      </c>
      <c r="BC2350">
        <v>1</v>
      </c>
      <c r="BE2350">
        <v>0</v>
      </c>
      <c r="BF2350">
        <v>0</v>
      </c>
      <c r="BG2350">
        <v>0</v>
      </c>
      <c r="BH2350">
        <v>2300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 t="shared" ref="BW2350:BW2355" si="766">"06:18:51.903"</f>
        <v>06:18:51.903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465</v>
      </c>
      <c r="CR2350">
        <v>0</v>
      </c>
      <c r="CW2350">
        <v>4725595</v>
      </c>
      <c r="CY2350">
        <v>1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 t="shared" si="763"/>
        <v>08/29/2020 06:18:48.676</v>
      </c>
      <c r="C2351" t="str">
        <f t="shared" si="734"/>
        <v>FFDFD3C0</v>
      </c>
      <c r="D2351" t="s">
        <v>939</v>
      </c>
      <c r="E2351">
        <v>10</v>
      </c>
      <c r="H2351">
        <v>79</v>
      </c>
      <c r="I2351" t="s">
        <v>940</v>
      </c>
      <c r="J2351" t="s">
        <v>130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764"/>
        <v>06:18:51.898</v>
      </c>
      <c r="T2351" t="str">
        <f t="shared" si="765"/>
        <v>06:18:51.398</v>
      </c>
      <c r="U2351" t="str">
        <f t="shared" si="735"/>
        <v>A7E2E0</v>
      </c>
      <c r="V2351">
        <v>0</v>
      </c>
      <c r="W2351">
        <v>0</v>
      </c>
      <c r="X2351">
        <v>1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0</v>
      </c>
      <c r="AI2351" t="s">
        <v>1315</v>
      </c>
      <c r="AJ2351">
        <v>38.933959000000002</v>
      </c>
      <c r="AK2351" t="s">
        <v>1262</v>
      </c>
      <c r="AL2351">
        <v>-87.613884999999996</v>
      </c>
      <c r="AM2351">
        <v>100</v>
      </c>
      <c r="AN2351">
        <v>2500</v>
      </c>
      <c r="AO2351" t="s">
        <v>118</v>
      </c>
      <c r="AP2351">
        <v>21</v>
      </c>
      <c r="AQ2351">
        <v>-157</v>
      </c>
      <c r="AR2351">
        <v>-320</v>
      </c>
      <c r="AZ2351">
        <v>4552</v>
      </c>
      <c r="BA2351">
        <v>1</v>
      </c>
      <c r="BB2351" t="str">
        <f t="shared" si="736"/>
        <v xml:space="preserve">N607SR  </v>
      </c>
      <c r="BC2351">
        <v>1</v>
      </c>
      <c r="BE2351">
        <v>0</v>
      </c>
      <c r="BF2351">
        <v>0</v>
      </c>
      <c r="BG2351">
        <v>0</v>
      </c>
      <c r="BH2351">
        <v>2300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 t="shared" si="766"/>
        <v>06:18:51.903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465</v>
      </c>
      <c r="CR2351">
        <v>0</v>
      </c>
      <c r="CW2351">
        <v>4725595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 t="shared" si="763"/>
        <v>08/29/2020 06:18:48.676</v>
      </c>
      <c r="C2352" t="str">
        <f t="shared" si="734"/>
        <v>FFDFD3C0</v>
      </c>
      <c r="D2352" t="s">
        <v>128</v>
      </c>
      <c r="E2352">
        <v>5</v>
      </c>
      <c r="H2352">
        <v>241</v>
      </c>
      <c r="I2352" t="s">
        <v>129</v>
      </c>
      <c r="J2352" t="s">
        <v>130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764"/>
        <v>06:18:51.898</v>
      </c>
      <c r="T2352" t="str">
        <f t="shared" si="765"/>
        <v>06:18:51.398</v>
      </c>
      <c r="U2352" t="str">
        <f t="shared" si="735"/>
        <v>A7E2E0</v>
      </c>
      <c r="V2352">
        <v>0</v>
      </c>
      <c r="W2352">
        <v>0</v>
      </c>
      <c r="X2352">
        <v>1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0</v>
      </c>
      <c r="AI2352" t="s">
        <v>1315</v>
      </c>
      <c r="AJ2352">
        <v>38.933959000000002</v>
      </c>
      <c r="AK2352" t="s">
        <v>1262</v>
      </c>
      <c r="AL2352">
        <v>-87.613884999999996</v>
      </c>
      <c r="AM2352">
        <v>100</v>
      </c>
      <c r="AN2352">
        <v>2500</v>
      </c>
      <c r="AO2352" t="s">
        <v>118</v>
      </c>
      <c r="AP2352">
        <v>21</v>
      </c>
      <c r="AQ2352">
        <v>-157</v>
      </c>
      <c r="AR2352">
        <v>-320</v>
      </c>
      <c r="AZ2352">
        <v>4552</v>
      </c>
      <c r="BA2352">
        <v>1</v>
      </c>
      <c r="BB2352" t="str">
        <f t="shared" si="736"/>
        <v xml:space="preserve">N607SR  </v>
      </c>
      <c r="BC2352">
        <v>1</v>
      </c>
      <c r="BE2352">
        <v>0</v>
      </c>
      <c r="BF2352">
        <v>0</v>
      </c>
      <c r="BG2352">
        <v>0</v>
      </c>
      <c r="BH2352">
        <v>2300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 t="shared" si="766"/>
        <v>06:18:51.903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465</v>
      </c>
      <c r="CR2352">
        <v>0</v>
      </c>
      <c r="CW2352">
        <v>4725595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 t="shared" si="763"/>
        <v>08/29/2020 06:18:48.676</v>
      </c>
      <c r="C2353" t="str">
        <f t="shared" si="734"/>
        <v>FFDFD3C0</v>
      </c>
      <c r="D2353" t="s">
        <v>121</v>
      </c>
      <c r="E2353">
        <v>11</v>
      </c>
      <c r="F2353">
        <v>1011</v>
      </c>
      <c r="G2353" t="s">
        <v>125</v>
      </c>
      <c r="J2353" t="s">
        <v>123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764"/>
        <v>06:18:51.898</v>
      </c>
      <c r="T2353" t="str">
        <f t="shared" si="765"/>
        <v>06:18:51.398</v>
      </c>
      <c r="U2353" t="str">
        <f t="shared" si="735"/>
        <v>A7E2E0</v>
      </c>
      <c r="V2353">
        <v>0</v>
      </c>
      <c r="W2353">
        <v>0</v>
      </c>
      <c r="X2353">
        <v>1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0</v>
      </c>
      <c r="AI2353" t="s">
        <v>1315</v>
      </c>
      <c r="AJ2353">
        <v>38.933959000000002</v>
      </c>
      <c r="AK2353" t="s">
        <v>1262</v>
      </c>
      <c r="AL2353">
        <v>-87.613884999999996</v>
      </c>
      <c r="AM2353">
        <v>100</v>
      </c>
      <c r="AN2353">
        <v>2500</v>
      </c>
      <c r="AO2353" t="s">
        <v>118</v>
      </c>
      <c r="AP2353">
        <v>21</v>
      </c>
      <c r="AQ2353">
        <v>-157</v>
      </c>
      <c r="AR2353">
        <v>-320</v>
      </c>
      <c r="AZ2353">
        <v>4552</v>
      </c>
      <c r="BA2353">
        <v>1</v>
      </c>
      <c r="BB2353" t="str">
        <f t="shared" si="736"/>
        <v xml:space="preserve">N607SR  </v>
      </c>
      <c r="BC2353">
        <v>1</v>
      </c>
      <c r="BE2353">
        <v>0</v>
      </c>
      <c r="BF2353">
        <v>0</v>
      </c>
      <c r="BG2353">
        <v>0</v>
      </c>
      <c r="BH2353">
        <v>2300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 t="shared" si="766"/>
        <v>06:18:51.903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6</v>
      </c>
      <c r="CP2353" t="s">
        <v>119</v>
      </c>
      <c r="CQ2353">
        <v>177</v>
      </c>
      <c r="CR2353">
        <v>2</v>
      </c>
      <c r="CW2353">
        <v>1669368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 t="shared" si="763"/>
        <v>08/29/2020 06:18:48.676</v>
      </c>
      <c r="C2354" t="str">
        <f t="shared" si="734"/>
        <v>FFDFD3C0</v>
      </c>
      <c r="D2354" t="s">
        <v>121</v>
      </c>
      <c r="E2354">
        <v>10</v>
      </c>
      <c r="F2354">
        <v>1010</v>
      </c>
      <c r="G2354" t="s">
        <v>114</v>
      </c>
      <c r="J2354" t="s">
        <v>123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764"/>
        <v>06:18:51.898</v>
      </c>
      <c r="T2354" t="str">
        <f t="shared" si="765"/>
        <v>06:18:51.398</v>
      </c>
      <c r="U2354" t="str">
        <f t="shared" si="735"/>
        <v>A7E2E0</v>
      </c>
      <c r="V2354">
        <v>0</v>
      </c>
      <c r="W2354">
        <v>0</v>
      </c>
      <c r="X2354">
        <v>1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0</v>
      </c>
      <c r="AI2354" t="s">
        <v>1315</v>
      </c>
      <c r="AJ2354">
        <v>38.933959000000002</v>
      </c>
      <c r="AK2354" t="s">
        <v>1262</v>
      </c>
      <c r="AL2354">
        <v>-87.613884999999996</v>
      </c>
      <c r="AM2354">
        <v>100</v>
      </c>
      <c r="AN2354">
        <v>2500</v>
      </c>
      <c r="AO2354" t="s">
        <v>118</v>
      </c>
      <c r="AP2354">
        <v>21</v>
      </c>
      <c r="AQ2354">
        <v>-157</v>
      </c>
      <c r="AR2354">
        <v>-320</v>
      </c>
      <c r="AZ2354">
        <v>4552</v>
      </c>
      <c r="BA2354">
        <v>1</v>
      </c>
      <c r="BB2354" t="str">
        <f t="shared" si="736"/>
        <v xml:space="preserve">N607SR  </v>
      </c>
      <c r="BC2354">
        <v>1</v>
      </c>
      <c r="BE2354">
        <v>0</v>
      </c>
      <c r="BF2354">
        <v>0</v>
      </c>
      <c r="BG2354">
        <v>0</v>
      </c>
      <c r="BH2354">
        <v>2300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 t="shared" si="766"/>
        <v>06:18:51.903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465</v>
      </c>
      <c r="CR2354">
        <v>0</v>
      </c>
      <c r="CW2354">
        <v>4725595</v>
      </c>
      <c r="CY2354">
        <v>1</v>
      </c>
      <c r="CZ2354">
        <v>0</v>
      </c>
      <c r="DA2354">
        <v>1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 t="shared" si="763"/>
        <v>08/29/2020 06:18:48.676</v>
      </c>
      <c r="C2355" t="str">
        <f t="shared" si="734"/>
        <v>FFDFD3C0</v>
      </c>
      <c r="D2355" t="s">
        <v>121</v>
      </c>
      <c r="E2355">
        <v>13</v>
      </c>
      <c r="F2355">
        <v>1013</v>
      </c>
      <c r="G2355" t="s">
        <v>122</v>
      </c>
      <c r="J2355" t="s">
        <v>123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764"/>
        <v>06:18:51.898</v>
      </c>
      <c r="T2355" t="str">
        <f t="shared" si="765"/>
        <v>06:18:51.398</v>
      </c>
      <c r="U2355" t="str">
        <f t="shared" si="735"/>
        <v>A7E2E0</v>
      </c>
      <c r="V2355">
        <v>0</v>
      </c>
      <c r="W2355">
        <v>0</v>
      </c>
      <c r="X2355">
        <v>1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0</v>
      </c>
      <c r="AI2355" t="s">
        <v>1315</v>
      </c>
      <c r="AJ2355">
        <v>38.933959000000002</v>
      </c>
      <c r="AK2355" t="s">
        <v>1262</v>
      </c>
      <c r="AL2355">
        <v>-87.613884999999996</v>
      </c>
      <c r="AM2355">
        <v>100</v>
      </c>
      <c r="AN2355">
        <v>2500</v>
      </c>
      <c r="AO2355" t="s">
        <v>118</v>
      </c>
      <c r="AP2355">
        <v>21</v>
      </c>
      <c r="AQ2355">
        <v>-157</v>
      </c>
      <c r="AR2355">
        <v>-320</v>
      </c>
      <c r="AZ2355">
        <v>4552</v>
      </c>
      <c r="BA2355">
        <v>1</v>
      </c>
      <c r="BB2355" t="str">
        <f t="shared" si="736"/>
        <v xml:space="preserve">N607SR  </v>
      </c>
      <c r="BC2355">
        <v>1</v>
      </c>
      <c r="BE2355">
        <v>0</v>
      </c>
      <c r="BF2355">
        <v>0</v>
      </c>
      <c r="BG2355">
        <v>0</v>
      </c>
      <c r="BH2355">
        <v>2300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 t="shared" si="766"/>
        <v>06:18:51.903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465</v>
      </c>
      <c r="CR2355">
        <v>0</v>
      </c>
      <c r="CW2355">
        <v>4725595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 t="shared" ref="A2356:A2361" si="767">"08/29/2020 06:18:49.662"</f>
        <v>08/29/2020 06:18:49.662</v>
      </c>
      <c r="C2356" t="str">
        <f t="shared" si="734"/>
        <v>FFDFD3C0</v>
      </c>
      <c r="D2356" t="s">
        <v>121</v>
      </c>
      <c r="E2356">
        <v>10</v>
      </c>
      <c r="F2356">
        <v>1010</v>
      </c>
      <c r="G2356" t="s">
        <v>114</v>
      </c>
      <c r="J2356" t="s">
        <v>123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ref="S2356:S2361" si="768">"06:18:52.867"</f>
        <v>06:18:52.867</v>
      </c>
      <c r="T2356" t="str">
        <f t="shared" ref="T2356:T2361" si="769">"06:18:52.467"</f>
        <v>06:18:52.467</v>
      </c>
      <c r="U2356" t="str">
        <f t="shared" si="735"/>
        <v>A7E2E0</v>
      </c>
      <c r="V2356">
        <v>0</v>
      </c>
      <c r="W2356">
        <v>0</v>
      </c>
      <c r="X2356">
        <v>1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0</v>
      </c>
      <c r="AI2356" t="s">
        <v>1316</v>
      </c>
      <c r="AJ2356">
        <v>38.933272000000002</v>
      </c>
      <c r="AK2356" t="s">
        <v>1317</v>
      </c>
      <c r="AL2356">
        <v>-87.613777999999996</v>
      </c>
      <c r="AM2356">
        <v>100</v>
      </c>
      <c r="AN2356">
        <v>2500</v>
      </c>
      <c r="AO2356" t="s">
        <v>118</v>
      </c>
      <c r="AP2356">
        <v>21</v>
      </c>
      <c r="AQ2356">
        <v>-156</v>
      </c>
      <c r="AR2356">
        <v>-320</v>
      </c>
      <c r="AZ2356">
        <v>4552</v>
      </c>
      <c r="BA2356">
        <v>1</v>
      </c>
      <c r="BB2356" t="str">
        <f t="shared" si="736"/>
        <v xml:space="preserve">N607SR  </v>
      </c>
      <c r="BC2356">
        <v>1</v>
      </c>
      <c r="BE2356">
        <v>0</v>
      </c>
      <c r="BF2356">
        <v>0</v>
      </c>
      <c r="BG2356">
        <v>0</v>
      </c>
      <c r="BH2356">
        <v>2300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 t="shared" ref="BW2356:BW2361" si="770">"06:18:52.870"</f>
        <v>06:18:52.870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465</v>
      </c>
      <c r="CR2356">
        <v>0</v>
      </c>
      <c r="CW2356">
        <v>4725629</v>
      </c>
      <c r="CY2356">
        <v>1</v>
      </c>
      <c r="CZ2356">
        <v>0</v>
      </c>
      <c r="DA2356">
        <v>0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 t="shared" si="767"/>
        <v>08/29/2020 06:18:49.662</v>
      </c>
      <c r="C2357" t="str">
        <f t="shared" si="734"/>
        <v>FFDFD3C0</v>
      </c>
      <c r="D2357" t="s">
        <v>121</v>
      </c>
      <c r="E2357">
        <v>11</v>
      </c>
      <c r="F2357">
        <v>1011</v>
      </c>
      <c r="G2357" t="s">
        <v>125</v>
      </c>
      <c r="J2357" t="s">
        <v>123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768"/>
        <v>06:18:52.867</v>
      </c>
      <c r="T2357" t="str">
        <f t="shared" si="769"/>
        <v>06:18:52.467</v>
      </c>
      <c r="U2357" t="str">
        <f t="shared" si="735"/>
        <v>A7E2E0</v>
      </c>
      <c r="V2357">
        <v>0</v>
      </c>
      <c r="W2357">
        <v>0</v>
      </c>
      <c r="X2357">
        <v>1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0</v>
      </c>
      <c r="AI2357" t="s">
        <v>1316</v>
      </c>
      <c r="AJ2357">
        <v>38.933272000000002</v>
      </c>
      <c r="AK2357" t="s">
        <v>1317</v>
      </c>
      <c r="AL2357">
        <v>-87.613777999999996</v>
      </c>
      <c r="AM2357">
        <v>100</v>
      </c>
      <c r="AN2357">
        <v>2500</v>
      </c>
      <c r="AO2357" t="s">
        <v>118</v>
      </c>
      <c r="AP2357">
        <v>21</v>
      </c>
      <c r="AQ2357">
        <v>-156</v>
      </c>
      <c r="AR2357">
        <v>-320</v>
      </c>
      <c r="AZ2357">
        <v>4552</v>
      </c>
      <c r="BA2357">
        <v>1</v>
      </c>
      <c r="BB2357" t="str">
        <f t="shared" si="736"/>
        <v xml:space="preserve">N607SR  </v>
      </c>
      <c r="BC2357">
        <v>1</v>
      </c>
      <c r="BE2357">
        <v>0</v>
      </c>
      <c r="BF2357">
        <v>0</v>
      </c>
      <c r="BG2357">
        <v>0</v>
      </c>
      <c r="BH2357">
        <v>2300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 t="shared" si="770"/>
        <v>06:18:52.870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6</v>
      </c>
      <c r="CP2357" t="s">
        <v>119</v>
      </c>
      <c r="CQ2357">
        <v>457</v>
      </c>
      <c r="CR2357">
        <v>0</v>
      </c>
      <c r="CW2357">
        <v>15520753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 t="shared" si="767"/>
        <v>08/29/2020 06:18:49.662</v>
      </c>
      <c r="C2358" t="str">
        <f t="shared" si="734"/>
        <v>FFDFD3C0</v>
      </c>
      <c r="D2358" t="s">
        <v>121</v>
      </c>
      <c r="E2358">
        <v>13</v>
      </c>
      <c r="F2358">
        <v>1013</v>
      </c>
      <c r="G2358" t="s">
        <v>122</v>
      </c>
      <c r="J2358" t="s">
        <v>123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768"/>
        <v>06:18:52.867</v>
      </c>
      <c r="T2358" t="str">
        <f t="shared" si="769"/>
        <v>06:18:52.467</v>
      </c>
      <c r="U2358" t="str">
        <f t="shared" si="735"/>
        <v>A7E2E0</v>
      </c>
      <c r="V2358">
        <v>0</v>
      </c>
      <c r="W2358">
        <v>0</v>
      </c>
      <c r="X2358">
        <v>1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0</v>
      </c>
      <c r="AI2358" t="s">
        <v>1316</v>
      </c>
      <c r="AJ2358">
        <v>38.933272000000002</v>
      </c>
      <c r="AK2358" t="s">
        <v>1317</v>
      </c>
      <c r="AL2358">
        <v>-87.613777999999996</v>
      </c>
      <c r="AM2358">
        <v>100</v>
      </c>
      <c r="AN2358">
        <v>2500</v>
      </c>
      <c r="AO2358" t="s">
        <v>118</v>
      </c>
      <c r="AP2358">
        <v>21</v>
      </c>
      <c r="AQ2358">
        <v>-156</v>
      </c>
      <c r="AR2358">
        <v>-320</v>
      </c>
      <c r="AZ2358">
        <v>4552</v>
      </c>
      <c r="BA2358">
        <v>1</v>
      </c>
      <c r="BB2358" t="str">
        <f t="shared" si="736"/>
        <v xml:space="preserve">N607SR  </v>
      </c>
      <c r="BC2358">
        <v>1</v>
      </c>
      <c r="BE2358">
        <v>0</v>
      </c>
      <c r="BF2358">
        <v>0</v>
      </c>
      <c r="BG2358">
        <v>0</v>
      </c>
      <c r="BH2358">
        <v>2300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 t="shared" si="770"/>
        <v>06:18:52.870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465</v>
      </c>
      <c r="CR2358">
        <v>0</v>
      </c>
      <c r="CW2358">
        <v>4725629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 t="shared" si="767"/>
        <v>08/29/2020 06:18:49.662</v>
      </c>
      <c r="C2359" t="str">
        <f t="shared" si="734"/>
        <v>FFDFD3C0</v>
      </c>
      <c r="D2359" t="s">
        <v>939</v>
      </c>
      <c r="E2359">
        <v>10</v>
      </c>
      <c r="H2359">
        <v>79</v>
      </c>
      <c r="I2359" t="s">
        <v>940</v>
      </c>
      <c r="J2359" t="s">
        <v>130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768"/>
        <v>06:18:52.867</v>
      </c>
      <c r="T2359" t="str">
        <f t="shared" si="769"/>
        <v>06:18:52.467</v>
      </c>
      <c r="U2359" t="str">
        <f t="shared" si="735"/>
        <v>A7E2E0</v>
      </c>
      <c r="V2359">
        <v>0</v>
      </c>
      <c r="W2359">
        <v>0</v>
      </c>
      <c r="X2359">
        <v>1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0</v>
      </c>
      <c r="AI2359" t="s">
        <v>1316</v>
      </c>
      <c r="AJ2359">
        <v>38.933272000000002</v>
      </c>
      <c r="AK2359" t="s">
        <v>1317</v>
      </c>
      <c r="AL2359">
        <v>-87.613777999999996</v>
      </c>
      <c r="AM2359">
        <v>100</v>
      </c>
      <c r="AN2359">
        <v>2500</v>
      </c>
      <c r="AO2359" t="s">
        <v>118</v>
      </c>
      <c r="AP2359">
        <v>21</v>
      </c>
      <c r="AQ2359">
        <v>-156</v>
      </c>
      <c r="AR2359">
        <v>-320</v>
      </c>
      <c r="AZ2359">
        <v>4552</v>
      </c>
      <c r="BA2359">
        <v>1</v>
      </c>
      <c r="BB2359" t="str">
        <f t="shared" si="736"/>
        <v xml:space="preserve">N607SR  </v>
      </c>
      <c r="BC2359">
        <v>1</v>
      </c>
      <c r="BE2359">
        <v>0</v>
      </c>
      <c r="BF2359">
        <v>0</v>
      </c>
      <c r="BG2359">
        <v>0</v>
      </c>
      <c r="BH2359">
        <v>2300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 t="shared" si="770"/>
        <v>06:18:52.870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465</v>
      </c>
      <c r="CR2359">
        <v>0</v>
      </c>
      <c r="CW2359">
        <v>4725629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 t="shared" si="767"/>
        <v>08/29/2020 06:18:49.662</v>
      </c>
      <c r="C2360" t="str">
        <f t="shared" si="734"/>
        <v>FFDFD3C0</v>
      </c>
      <c r="D2360" t="s">
        <v>113</v>
      </c>
      <c r="E2360">
        <v>5</v>
      </c>
      <c r="H2360">
        <v>163</v>
      </c>
      <c r="I2360" t="s">
        <v>114</v>
      </c>
      <c r="J2360" t="s">
        <v>115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768"/>
        <v>06:18:52.867</v>
      </c>
      <c r="T2360" t="str">
        <f t="shared" si="769"/>
        <v>06:18:52.467</v>
      </c>
      <c r="U2360" t="str">
        <f t="shared" si="735"/>
        <v>A7E2E0</v>
      </c>
      <c r="V2360">
        <v>0</v>
      </c>
      <c r="W2360">
        <v>0</v>
      </c>
      <c r="X2360">
        <v>1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0</v>
      </c>
      <c r="AI2360" t="s">
        <v>1316</v>
      </c>
      <c r="AJ2360">
        <v>38.933272000000002</v>
      </c>
      <c r="AK2360" t="s">
        <v>1317</v>
      </c>
      <c r="AL2360">
        <v>-87.613777999999996</v>
      </c>
      <c r="AM2360">
        <v>100</v>
      </c>
      <c r="AN2360">
        <v>2500</v>
      </c>
      <c r="AO2360" t="s">
        <v>118</v>
      </c>
      <c r="AP2360">
        <v>21</v>
      </c>
      <c r="AQ2360">
        <v>-156</v>
      </c>
      <c r="AR2360">
        <v>-320</v>
      </c>
      <c r="AZ2360">
        <v>4552</v>
      </c>
      <c r="BA2360">
        <v>1</v>
      </c>
      <c r="BB2360" t="str">
        <f t="shared" si="736"/>
        <v xml:space="preserve">N607SR  </v>
      </c>
      <c r="BC2360">
        <v>1</v>
      </c>
      <c r="BE2360">
        <v>0</v>
      </c>
      <c r="BF2360">
        <v>0</v>
      </c>
      <c r="BG2360">
        <v>0</v>
      </c>
      <c r="BH2360">
        <v>2300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 t="shared" si="770"/>
        <v>06:18:52.870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465</v>
      </c>
      <c r="CR2360">
        <v>0</v>
      </c>
      <c r="CW2360">
        <v>4725629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 t="shared" si="767"/>
        <v>08/29/2020 06:18:49.662</v>
      </c>
      <c r="C2361" t="str">
        <f t="shared" si="734"/>
        <v>FFDFD3C0</v>
      </c>
      <c r="D2361" t="s">
        <v>128</v>
      </c>
      <c r="E2361">
        <v>5</v>
      </c>
      <c r="H2361">
        <v>241</v>
      </c>
      <c r="I2361" t="s">
        <v>129</v>
      </c>
      <c r="J2361" t="s">
        <v>130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si="768"/>
        <v>06:18:52.867</v>
      </c>
      <c r="T2361" t="str">
        <f t="shared" si="769"/>
        <v>06:18:52.467</v>
      </c>
      <c r="U2361" t="str">
        <f t="shared" si="735"/>
        <v>A7E2E0</v>
      </c>
      <c r="V2361">
        <v>0</v>
      </c>
      <c r="W2361">
        <v>0</v>
      </c>
      <c r="X2361">
        <v>1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0</v>
      </c>
      <c r="AI2361" t="s">
        <v>1316</v>
      </c>
      <c r="AJ2361">
        <v>38.933272000000002</v>
      </c>
      <c r="AK2361" t="s">
        <v>1317</v>
      </c>
      <c r="AL2361">
        <v>-87.613777999999996</v>
      </c>
      <c r="AM2361">
        <v>100</v>
      </c>
      <c r="AN2361">
        <v>2500</v>
      </c>
      <c r="AO2361" t="s">
        <v>118</v>
      </c>
      <c r="AP2361">
        <v>21</v>
      </c>
      <c r="AQ2361">
        <v>-156</v>
      </c>
      <c r="AR2361">
        <v>-320</v>
      </c>
      <c r="AZ2361">
        <v>4552</v>
      </c>
      <c r="BA2361">
        <v>1</v>
      </c>
      <c r="BB2361" t="str">
        <f t="shared" si="736"/>
        <v xml:space="preserve">N607SR  </v>
      </c>
      <c r="BC2361">
        <v>1</v>
      </c>
      <c r="BE2361">
        <v>0</v>
      </c>
      <c r="BF2361">
        <v>0</v>
      </c>
      <c r="BG2361">
        <v>0</v>
      </c>
      <c r="BH2361">
        <v>2300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 t="shared" si="770"/>
        <v>06:18:52.870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465</v>
      </c>
      <c r="CR2361">
        <v>0</v>
      </c>
      <c r="CW2361">
        <v>4725629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 t="shared" ref="A2362:A2367" si="771">"08/29/2020 06:18:50.669"</f>
        <v>08/29/2020 06:18:50.669</v>
      </c>
      <c r="C2362" t="str">
        <f t="shared" si="734"/>
        <v>FFDFD3C0</v>
      </c>
      <c r="D2362" t="s">
        <v>121</v>
      </c>
      <c r="E2362">
        <v>11</v>
      </c>
      <c r="F2362">
        <v>1011</v>
      </c>
      <c r="G2362" t="s">
        <v>125</v>
      </c>
      <c r="J2362" t="s">
        <v>123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ref="S2362:S2367" si="772">"06:18:53.891"</f>
        <v>06:18:53.891</v>
      </c>
      <c r="T2362" t="str">
        <f t="shared" ref="T2362:T2367" si="773">"06:18:53.491"</f>
        <v>06:18:53.491</v>
      </c>
      <c r="U2362" t="str">
        <f t="shared" si="735"/>
        <v>A7E2E0</v>
      </c>
      <c r="V2362">
        <v>0</v>
      </c>
      <c r="W2362">
        <v>0</v>
      </c>
      <c r="X2362">
        <v>1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0</v>
      </c>
      <c r="AI2362" t="s">
        <v>1318</v>
      </c>
      <c r="AJ2362">
        <v>38.932521000000001</v>
      </c>
      <c r="AK2362" t="s">
        <v>1319</v>
      </c>
      <c r="AL2362">
        <v>-87.613648999999995</v>
      </c>
      <c r="AM2362">
        <v>100</v>
      </c>
      <c r="AN2362">
        <v>2500</v>
      </c>
      <c r="AO2362" t="s">
        <v>118</v>
      </c>
      <c r="AP2362">
        <v>20</v>
      </c>
      <c r="AQ2362">
        <v>-156</v>
      </c>
      <c r="AR2362">
        <v>-256</v>
      </c>
      <c r="AZ2362">
        <v>4552</v>
      </c>
      <c r="BA2362">
        <v>1</v>
      </c>
      <c r="BB2362" t="str">
        <f t="shared" si="736"/>
        <v xml:space="preserve">N607SR  </v>
      </c>
      <c r="BC2362">
        <v>1</v>
      </c>
      <c r="BE2362">
        <v>0</v>
      </c>
      <c r="BF2362">
        <v>0</v>
      </c>
      <c r="BG2362">
        <v>0</v>
      </c>
      <c r="BH2362">
        <v>2275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 t="shared" ref="BW2362:BW2367" si="774">"06:18:53.894"</f>
        <v>06:18:53.894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6</v>
      </c>
      <c r="CP2362" t="s">
        <v>119</v>
      </c>
      <c r="CQ2362">
        <v>457</v>
      </c>
      <c r="CR2362">
        <v>0</v>
      </c>
      <c r="CW2362">
        <v>15520784</v>
      </c>
      <c r="CY2362">
        <v>1</v>
      </c>
      <c r="CZ2362">
        <v>0</v>
      </c>
      <c r="DA2362">
        <v>0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 t="shared" si="771"/>
        <v>08/29/2020 06:18:50.669</v>
      </c>
      <c r="C2363" t="str">
        <f t="shared" si="734"/>
        <v>FFDFD3C0</v>
      </c>
      <c r="D2363" t="s">
        <v>121</v>
      </c>
      <c r="E2363">
        <v>10</v>
      </c>
      <c r="F2363">
        <v>1010</v>
      </c>
      <c r="G2363" t="s">
        <v>114</v>
      </c>
      <c r="J2363" t="s">
        <v>123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772"/>
        <v>06:18:53.891</v>
      </c>
      <c r="T2363" t="str">
        <f t="shared" si="773"/>
        <v>06:18:53.491</v>
      </c>
      <c r="U2363" t="str">
        <f t="shared" si="735"/>
        <v>A7E2E0</v>
      </c>
      <c r="V2363">
        <v>0</v>
      </c>
      <c r="W2363">
        <v>0</v>
      </c>
      <c r="X2363">
        <v>1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0</v>
      </c>
      <c r="AI2363" t="s">
        <v>1318</v>
      </c>
      <c r="AJ2363">
        <v>38.932521000000001</v>
      </c>
      <c r="AK2363" t="s">
        <v>1319</v>
      </c>
      <c r="AL2363">
        <v>-87.613648999999995</v>
      </c>
      <c r="AM2363">
        <v>100</v>
      </c>
      <c r="AN2363">
        <v>2500</v>
      </c>
      <c r="AO2363" t="s">
        <v>118</v>
      </c>
      <c r="AP2363">
        <v>20</v>
      </c>
      <c r="AQ2363">
        <v>-156</v>
      </c>
      <c r="AR2363">
        <v>-256</v>
      </c>
      <c r="AZ2363">
        <v>4552</v>
      </c>
      <c r="BA2363">
        <v>1</v>
      </c>
      <c r="BB2363" t="str">
        <f t="shared" si="736"/>
        <v xml:space="preserve">N607SR  </v>
      </c>
      <c r="BC2363">
        <v>1</v>
      </c>
      <c r="BE2363">
        <v>0</v>
      </c>
      <c r="BF2363">
        <v>0</v>
      </c>
      <c r="BG2363">
        <v>0</v>
      </c>
      <c r="BH2363">
        <v>2275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 t="shared" si="774"/>
        <v>06:18:53.894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6</v>
      </c>
      <c r="CP2363" t="s">
        <v>119</v>
      </c>
      <c r="CQ2363">
        <v>465</v>
      </c>
      <c r="CR2363">
        <v>0</v>
      </c>
      <c r="CW2363">
        <v>4725664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 t="shared" si="771"/>
        <v>08/29/2020 06:18:50.669</v>
      </c>
      <c r="C2364" t="str">
        <f t="shared" si="734"/>
        <v>FFDFD3C0</v>
      </c>
      <c r="D2364" t="s">
        <v>121</v>
      </c>
      <c r="E2364">
        <v>13</v>
      </c>
      <c r="F2364">
        <v>1013</v>
      </c>
      <c r="G2364" t="s">
        <v>122</v>
      </c>
      <c r="J2364" t="s">
        <v>123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772"/>
        <v>06:18:53.891</v>
      </c>
      <c r="T2364" t="str">
        <f t="shared" si="773"/>
        <v>06:18:53.491</v>
      </c>
      <c r="U2364" t="str">
        <f t="shared" si="735"/>
        <v>A7E2E0</v>
      </c>
      <c r="V2364">
        <v>0</v>
      </c>
      <c r="W2364">
        <v>0</v>
      </c>
      <c r="X2364">
        <v>1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0</v>
      </c>
      <c r="AI2364" t="s">
        <v>1318</v>
      </c>
      <c r="AJ2364">
        <v>38.932521000000001</v>
      </c>
      <c r="AK2364" t="s">
        <v>1319</v>
      </c>
      <c r="AL2364">
        <v>-87.613648999999995</v>
      </c>
      <c r="AM2364">
        <v>100</v>
      </c>
      <c r="AN2364">
        <v>2500</v>
      </c>
      <c r="AO2364" t="s">
        <v>118</v>
      </c>
      <c r="AP2364">
        <v>20</v>
      </c>
      <c r="AQ2364">
        <v>-156</v>
      </c>
      <c r="AR2364">
        <v>-256</v>
      </c>
      <c r="AZ2364">
        <v>4552</v>
      </c>
      <c r="BA2364">
        <v>1</v>
      </c>
      <c r="BB2364" t="str">
        <f t="shared" si="736"/>
        <v xml:space="preserve">N607SR  </v>
      </c>
      <c r="BC2364">
        <v>1</v>
      </c>
      <c r="BE2364">
        <v>0</v>
      </c>
      <c r="BF2364">
        <v>0</v>
      </c>
      <c r="BG2364">
        <v>0</v>
      </c>
      <c r="BH2364">
        <v>2275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 t="shared" si="774"/>
        <v>06:18:53.894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6</v>
      </c>
      <c r="CP2364" t="s">
        <v>119</v>
      </c>
      <c r="CQ2364">
        <v>465</v>
      </c>
      <c r="CR2364">
        <v>0</v>
      </c>
      <c r="CW2364">
        <v>4725664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 t="shared" si="771"/>
        <v>08/29/2020 06:18:50.669</v>
      </c>
      <c r="C2365" t="str">
        <f t="shared" si="734"/>
        <v>FFDFD3C0</v>
      </c>
      <c r="D2365" t="s">
        <v>939</v>
      </c>
      <c r="E2365">
        <v>10</v>
      </c>
      <c r="H2365">
        <v>79</v>
      </c>
      <c r="I2365" t="s">
        <v>940</v>
      </c>
      <c r="J2365" t="s">
        <v>130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772"/>
        <v>06:18:53.891</v>
      </c>
      <c r="T2365" t="str">
        <f t="shared" si="773"/>
        <v>06:18:53.491</v>
      </c>
      <c r="U2365" t="str">
        <f t="shared" si="735"/>
        <v>A7E2E0</v>
      </c>
      <c r="V2365">
        <v>0</v>
      </c>
      <c r="W2365">
        <v>0</v>
      </c>
      <c r="X2365">
        <v>1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0</v>
      </c>
      <c r="AI2365" t="s">
        <v>1318</v>
      </c>
      <c r="AJ2365">
        <v>38.932521000000001</v>
      </c>
      <c r="AK2365" t="s">
        <v>1319</v>
      </c>
      <c r="AL2365">
        <v>-87.613648999999995</v>
      </c>
      <c r="AM2365">
        <v>100</v>
      </c>
      <c r="AN2365">
        <v>2500</v>
      </c>
      <c r="AO2365" t="s">
        <v>118</v>
      </c>
      <c r="AP2365">
        <v>20</v>
      </c>
      <c r="AQ2365">
        <v>-156</v>
      </c>
      <c r="AR2365">
        <v>-256</v>
      </c>
      <c r="AZ2365">
        <v>4552</v>
      </c>
      <c r="BA2365">
        <v>1</v>
      </c>
      <c r="BB2365" t="str">
        <f t="shared" si="736"/>
        <v xml:space="preserve">N607SR  </v>
      </c>
      <c r="BC2365">
        <v>1</v>
      </c>
      <c r="BE2365">
        <v>0</v>
      </c>
      <c r="BF2365">
        <v>0</v>
      </c>
      <c r="BG2365">
        <v>0</v>
      </c>
      <c r="BH2365">
        <v>2275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 t="shared" si="774"/>
        <v>06:18:53.894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6</v>
      </c>
      <c r="CP2365" t="s">
        <v>119</v>
      </c>
      <c r="CQ2365">
        <v>465</v>
      </c>
      <c r="CR2365">
        <v>0</v>
      </c>
      <c r="CW2365">
        <v>4725664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 t="shared" si="771"/>
        <v>08/29/2020 06:18:50.669</v>
      </c>
      <c r="C2366" t="str">
        <f t="shared" si="734"/>
        <v>FFDFD3C0</v>
      </c>
      <c r="D2366" t="s">
        <v>113</v>
      </c>
      <c r="E2366">
        <v>5</v>
      </c>
      <c r="H2366">
        <v>163</v>
      </c>
      <c r="I2366" t="s">
        <v>114</v>
      </c>
      <c r="J2366" t="s">
        <v>115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772"/>
        <v>06:18:53.891</v>
      </c>
      <c r="T2366" t="str">
        <f t="shared" si="773"/>
        <v>06:18:53.491</v>
      </c>
      <c r="U2366" t="str">
        <f t="shared" si="735"/>
        <v>A7E2E0</v>
      </c>
      <c r="V2366">
        <v>0</v>
      </c>
      <c r="W2366">
        <v>0</v>
      </c>
      <c r="X2366">
        <v>1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0</v>
      </c>
      <c r="AI2366" t="s">
        <v>1318</v>
      </c>
      <c r="AJ2366">
        <v>38.932521000000001</v>
      </c>
      <c r="AK2366" t="s">
        <v>1319</v>
      </c>
      <c r="AL2366">
        <v>-87.613648999999995</v>
      </c>
      <c r="AM2366">
        <v>100</v>
      </c>
      <c r="AN2366">
        <v>2500</v>
      </c>
      <c r="AO2366" t="s">
        <v>118</v>
      </c>
      <c r="AP2366">
        <v>20</v>
      </c>
      <c r="AQ2366">
        <v>-156</v>
      </c>
      <c r="AR2366">
        <v>-256</v>
      </c>
      <c r="AZ2366">
        <v>4552</v>
      </c>
      <c r="BA2366">
        <v>1</v>
      </c>
      <c r="BB2366" t="str">
        <f t="shared" si="736"/>
        <v xml:space="preserve">N607SR  </v>
      </c>
      <c r="BC2366">
        <v>1</v>
      </c>
      <c r="BE2366">
        <v>0</v>
      </c>
      <c r="BF2366">
        <v>0</v>
      </c>
      <c r="BG2366">
        <v>0</v>
      </c>
      <c r="BH2366">
        <v>2275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 t="shared" si="774"/>
        <v>06:18:53.894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6</v>
      </c>
      <c r="CP2366" t="s">
        <v>119</v>
      </c>
      <c r="CQ2366">
        <v>465</v>
      </c>
      <c r="CR2366">
        <v>0</v>
      </c>
      <c r="CW2366">
        <v>4725664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 t="shared" si="771"/>
        <v>08/29/2020 06:18:50.669</v>
      </c>
      <c r="C2367" t="str">
        <f t="shared" si="734"/>
        <v>FFDFD3C0</v>
      </c>
      <c r="D2367" t="s">
        <v>128</v>
      </c>
      <c r="E2367">
        <v>5</v>
      </c>
      <c r="H2367">
        <v>241</v>
      </c>
      <c r="I2367" t="s">
        <v>129</v>
      </c>
      <c r="J2367" t="s">
        <v>130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772"/>
        <v>06:18:53.891</v>
      </c>
      <c r="T2367" t="str">
        <f t="shared" si="773"/>
        <v>06:18:53.491</v>
      </c>
      <c r="U2367" t="str">
        <f t="shared" si="735"/>
        <v>A7E2E0</v>
      </c>
      <c r="V2367">
        <v>0</v>
      </c>
      <c r="W2367">
        <v>0</v>
      </c>
      <c r="X2367">
        <v>1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0</v>
      </c>
      <c r="AI2367" t="s">
        <v>1318</v>
      </c>
      <c r="AJ2367">
        <v>38.932521000000001</v>
      </c>
      <c r="AK2367" t="s">
        <v>1319</v>
      </c>
      <c r="AL2367">
        <v>-87.613648999999995</v>
      </c>
      <c r="AM2367">
        <v>100</v>
      </c>
      <c r="AN2367">
        <v>2500</v>
      </c>
      <c r="AO2367" t="s">
        <v>118</v>
      </c>
      <c r="AP2367">
        <v>20</v>
      </c>
      <c r="AQ2367">
        <v>-156</v>
      </c>
      <c r="AR2367">
        <v>-256</v>
      </c>
      <c r="AZ2367">
        <v>4552</v>
      </c>
      <c r="BA2367">
        <v>1</v>
      </c>
      <c r="BB2367" t="str">
        <f t="shared" si="736"/>
        <v xml:space="preserve">N607SR  </v>
      </c>
      <c r="BC2367">
        <v>1</v>
      </c>
      <c r="BE2367">
        <v>0</v>
      </c>
      <c r="BF2367">
        <v>0</v>
      </c>
      <c r="BG2367">
        <v>0</v>
      </c>
      <c r="BH2367">
        <v>2275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 t="shared" si="774"/>
        <v>06:18:53.894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6</v>
      </c>
      <c r="CP2367" t="s">
        <v>119</v>
      </c>
      <c r="CQ2367">
        <v>465</v>
      </c>
      <c r="CR2367">
        <v>0</v>
      </c>
      <c r="CW2367">
        <v>4725664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 t="shared" ref="A2368:A2373" si="775">"08/29/2020 06:18:51.744"</f>
        <v>08/29/2020 06:18:51.744</v>
      </c>
      <c r="C2368" t="str">
        <f t="shared" si="734"/>
        <v>FFDFD3C0</v>
      </c>
      <c r="D2368" t="s">
        <v>121</v>
      </c>
      <c r="E2368">
        <v>13</v>
      </c>
      <c r="F2368">
        <v>1013</v>
      </c>
      <c r="G2368" t="s">
        <v>122</v>
      </c>
      <c r="J2368" t="s">
        <v>123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ref="S2368:S2373" si="776">"06:18:54.953"</f>
        <v>06:18:54.953</v>
      </c>
      <c r="T2368" t="str">
        <f t="shared" ref="T2368:T2373" si="777">"06:18:54.453"</f>
        <v>06:18:54.453</v>
      </c>
      <c r="U2368" t="str">
        <f t="shared" si="735"/>
        <v>A7E2E0</v>
      </c>
      <c r="V2368">
        <v>0</v>
      </c>
      <c r="W2368">
        <v>0</v>
      </c>
      <c r="X2368">
        <v>1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0</v>
      </c>
      <c r="AI2368" t="s">
        <v>1320</v>
      </c>
      <c r="AJ2368">
        <v>38.931749000000003</v>
      </c>
      <c r="AK2368" t="s">
        <v>1321</v>
      </c>
      <c r="AL2368">
        <v>-87.613585</v>
      </c>
      <c r="AM2368">
        <v>100</v>
      </c>
      <c r="AN2368">
        <v>2500</v>
      </c>
      <c r="AO2368" t="s">
        <v>118</v>
      </c>
      <c r="AP2368">
        <v>19</v>
      </c>
      <c r="AQ2368">
        <v>-156</v>
      </c>
      <c r="AR2368">
        <v>-192</v>
      </c>
      <c r="AZ2368">
        <v>4552</v>
      </c>
      <c r="BA2368">
        <v>1</v>
      </c>
      <c r="BB2368" t="str">
        <f t="shared" si="736"/>
        <v xml:space="preserve">N607SR  </v>
      </c>
      <c r="BC2368">
        <v>1</v>
      </c>
      <c r="BE2368">
        <v>0</v>
      </c>
      <c r="BF2368">
        <v>0</v>
      </c>
      <c r="BG2368">
        <v>0</v>
      </c>
      <c r="BH2368">
        <v>2275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 t="shared" ref="BW2368:BW2373" si="778">"06:18:54.960"</f>
        <v>06:18:54.960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6</v>
      </c>
      <c r="CP2368" t="s">
        <v>119</v>
      </c>
      <c r="CQ2368">
        <v>465</v>
      </c>
      <c r="CR2368">
        <v>0</v>
      </c>
      <c r="CW2368">
        <v>4725693</v>
      </c>
      <c r="CY2368">
        <v>1</v>
      </c>
      <c r="CZ2368">
        <v>0</v>
      </c>
      <c r="DA2368">
        <v>0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 t="shared" si="775"/>
        <v>08/29/2020 06:18:51.744</v>
      </c>
      <c r="C2369" t="str">
        <f t="shared" si="734"/>
        <v>FFDFD3C0</v>
      </c>
      <c r="D2369" t="s">
        <v>939</v>
      </c>
      <c r="E2369">
        <v>10</v>
      </c>
      <c r="H2369">
        <v>79</v>
      </c>
      <c r="I2369" t="s">
        <v>940</v>
      </c>
      <c r="J2369" t="s">
        <v>130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776"/>
        <v>06:18:54.953</v>
      </c>
      <c r="T2369" t="str">
        <f t="shared" si="777"/>
        <v>06:18:54.453</v>
      </c>
      <c r="U2369" t="str">
        <f t="shared" si="735"/>
        <v>A7E2E0</v>
      </c>
      <c r="V2369">
        <v>0</v>
      </c>
      <c r="W2369">
        <v>0</v>
      </c>
      <c r="X2369">
        <v>1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0</v>
      </c>
      <c r="AI2369" t="s">
        <v>1320</v>
      </c>
      <c r="AJ2369">
        <v>38.931749000000003</v>
      </c>
      <c r="AK2369" t="s">
        <v>1321</v>
      </c>
      <c r="AL2369">
        <v>-87.613585</v>
      </c>
      <c r="AM2369">
        <v>100</v>
      </c>
      <c r="AN2369">
        <v>2500</v>
      </c>
      <c r="AO2369" t="s">
        <v>118</v>
      </c>
      <c r="AP2369">
        <v>19</v>
      </c>
      <c r="AQ2369">
        <v>-156</v>
      </c>
      <c r="AR2369">
        <v>-192</v>
      </c>
      <c r="AZ2369">
        <v>4552</v>
      </c>
      <c r="BA2369">
        <v>1</v>
      </c>
      <c r="BB2369" t="str">
        <f t="shared" si="736"/>
        <v xml:space="preserve">N607SR  </v>
      </c>
      <c r="BC2369">
        <v>1</v>
      </c>
      <c r="BE2369">
        <v>0</v>
      </c>
      <c r="BF2369">
        <v>0</v>
      </c>
      <c r="BG2369">
        <v>0</v>
      </c>
      <c r="BH2369">
        <v>2275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 t="shared" si="778"/>
        <v>06:18:54.960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6</v>
      </c>
      <c r="CP2369" t="s">
        <v>119</v>
      </c>
      <c r="CQ2369">
        <v>465</v>
      </c>
      <c r="CR2369">
        <v>0</v>
      </c>
      <c r="CW2369">
        <v>4725693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 t="shared" si="775"/>
        <v>08/29/2020 06:18:51.744</v>
      </c>
      <c r="C2370" t="str">
        <f t="shared" ref="C2370:C2433" si="779">"FFDFD3C0"</f>
        <v>FFDFD3C0</v>
      </c>
      <c r="D2370" t="s">
        <v>113</v>
      </c>
      <c r="E2370">
        <v>5</v>
      </c>
      <c r="H2370">
        <v>163</v>
      </c>
      <c r="I2370" t="s">
        <v>114</v>
      </c>
      <c r="J2370" t="s">
        <v>115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776"/>
        <v>06:18:54.953</v>
      </c>
      <c r="T2370" t="str">
        <f t="shared" si="777"/>
        <v>06:18:54.453</v>
      </c>
      <c r="U2370" t="str">
        <f t="shared" ref="U2370:U2433" si="780">"A7E2E0"</f>
        <v>A7E2E0</v>
      </c>
      <c r="V2370">
        <v>0</v>
      </c>
      <c r="W2370">
        <v>0</v>
      </c>
      <c r="X2370">
        <v>1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0</v>
      </c>
      <c r="AI2370" t="s">
        <v>1320</v>
      </c>
      <c r="AJ2370">
        <v>38.931749000000003</v>
      </c>
      <c r="AK2370" t="s">
        <v>1321</v>
      </c>
      <c r="AL2370">
        <v>-87.613585</v>
      </c>
      <c r="AM2370">
        <v>100</v>
      </c>
      <c r="AN2370">
        <v>2500</v>
      </c>
      <c r="AO2370" t="s">
        <v>118</v>
      </c>
      <c r="AP2370">
        <v>19</v>
      </c>
      <c r="AQ2370">
        <v>-156</v>
      </c>
      <c r="AR2370">
        <v>-192</v>
      </c>
      <c r="AZ2370">
        <v>4552</v>
      </c>
      <c r="BA2370">
        <v>1</v>
      </c>
      <c r="BB2370" t="str">
        <f t="shared" ref="BB2370:BB2433" si="781">"N607SR  "</f>
        <v xml:space="preserve">N607SR  </v>
      </c>
      <c r="BC2370">
        <v>1</v>
      </c>
      <c r="BE2370">
        <v>0</v>
      </c>
      <c r="BF2370">
        <v>0</v>
      </c>
      <c r="BG2370">
        <v>0</v>
      </c>
      <c r="BH2370">
        <v>2275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 t="shared" si="778"/>
        <v>06:18:54.960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6</v>
      </c>
      <c r="CP2370" t="s">
        <v>119</v>
      </c>
      <c r="CQ2370">
        <v>465</v>
      </c>
      <c r="CR2370">
        <v>0</v>
      </c>
      <c r="CW2370">
        <v>4725693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 t="shared" si="775"/>
        <v>08/29/2020 06:18:51.744</v>
      </c>
      <c r="C2371" t="str">
        <f t="shared" si="779"/>
        <v>FFDFD3C0</v>
      </c>
      <c r="D2371" t="s">
        <v>128</v>
      </c>
      <c r="E2371">
        <v>5</v>
      </c>
      <c r="H2371">
        <v>241</v>
      </c>
      <c r="I2371" t="s">
        <v>129</v>
      </c>
      <c r="J2371" t="s">
        <v>130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776"/>
        <v>06:18:54.953</v>
      </c>
      <c r="T2371" t="str">
        <f t="shared" si="777"/>
        <v>06:18:54.453</v>
      </c>
      <c r="U2371" t="str">
        <f t="shared" si="780"/>
        <v>A7E2E0</v>
      </c>
      <c r="V2371">
        <v>0</v>
      </c>
      <c r="W2371">
        <v>0</v>
      </c>
      <c r="X2371">
        <v>1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0</v>
      </c>
      <c r="AI2371" t="s">
        <v>1320</v>
      </c>
      <c r="AJ2371">
        <v>38.931749000000003</v>
      </c>
      <c r="AK2371" t="s">
        <v>1321</v>
      </c>
      <c r="AL2371">
        <v>-87.613585</v>
      </c>
      <c r="AM2371">
        <v>100</v>
      </c>
      <c r="AN2371">
        <v>2500</v>
      </c>
      <c r="AO2371" t="s">
        <v>118</v>
      </c>
      <c r="AP2371">
        <v>19</v>
      </c>
      <c r="AQ2371">
        <v>-156</v>
      </c>
      <c r="AR2371">
        <v>-192</v>
      </c>
      <c r="AZ2371">
        <v>4552</v>
      </c>
      <c r="BA2371">
        <v>1</v>
      </c>
      <c r="BB2371" t="str">
        <f t="shared" si="781"/>
        <v xml:space="preserve">N607SR  </v>
      </c>
      <c r="BC2371">
        <v>1</v>
      </c>
      <c r="BE2371">
        <v>0</v>
      </c>
      <c r="BF2371">
        <v>0</v>
      </c>
      <c r="BG2371">
        <v>0</v>
      </c>
      <c r="BH2371">
        <v>2275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 t="shared" si="778"/>
        <v>06:18:54.960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6</v>
      </c>
      <c r="CP2371" t="s">
        <v>119</v>
      </c>
      <c r="CQ2371">
        <v>465</v>
      </c>
      <c r="CR2371">
        <v>0</v>
      </c>
      <c r="CW2371">
        <v>4725693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 t="shared" si="775"/>
        <v>08/29/2020 06:18:51.744</v>
      </c>
      <c r="C2372" t="str">
        <f t="shared" si="779"/>
        <v>FFDFD3C0</v>
      </c>
      <c r="D2372" t="s">
        <v>121</v>
      </c>
      <c r="E2372">
        <v>11</v>
      </c>
      <c r="F2372">
        <v>1011</v>
      </c>
      <c r="G2372" t="s">
        <v>125</v>
      </c>
      <c r="J2372" t="s">
        <v>123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776"/>
        <v>06:18:54.953</v>
      </c>
      <c r="T2372" t="str">
        <f t="shared" si="777"/>
        <v>06:18:54.453</v>
      </c>
      <c r="U2372" t="str">
        <f t="shared" si="780"/>
        <v>A7E2E0</v>
      </c>
      <c r="V2372">
        <v>0</v>
      </c>
      <c r="W2372">
        <v>0</v>
      </c>
      <c r="X2372">
        <v>1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0</v>
      </c>
      <c r="AI2372" t="s">
        <v>1320</v>
      </c>
      <c r="AJ2372">
        <v>38.931749000000003</v>
      </c>
      <c r="AK2372" t="s">
        <v>1321</v>
      </c>
      <c r="AL2372">
        <v>-87.613585</v>
      </c>
      <c r="AM2372">
        <v>100</v>
      </c>
      <c r="AN2372">
        <v>2500</v>
      </c>
      <c r="AO2372" t="s">
        <v>118</v>
      </c>
      <c r="AP2372">
        <v>19</v>
      </c>
      <c r="AQ2372">
        <v>-156</v>
      </c>
      <c r="AR2372">
        <v>-192</v>
      </c>
      <c r="AZ2372">
        <v>4552</v>
      </c>
      <c r="BA2372">
        <v>1</v>
      </c>
      <c r="BB2372" t="str">
        <f t="shared" si="781"/>
        <v xml:space="preserve">N607SR  </v>
      </c>
      <c r="BC2372">
        <v>1</v>
      </c>
      <c r="BE2372">
        <v>0</v>
      </c>
      <c r="BF2372">
        <v>0</v>
      </c>
      <c r="BG2372">
        <v>0</v>
      </c>
      <c r="BH2372">
        <v>2275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 t="shared" si="778"/>
        <v>06:18:54.960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6</v>
      </c>
      <c r="CP2372" t="s">
        <v>119</v>
      </c>
      <c r="CQ2372">
        <v>457</v>
      </c>
      <c r="CR2372">
        <v>0</v>
      </c>
      <c r="CW2372">
        <v>15520810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 t="shared" si="775"/>
        <v>08/29/2020 06:18:51.744</v>
      </c>
      <c r="C2373" t="str">
        <f t="shared" si="779"/>
        <v>FFDFD3C0</v>
      </c>
      <c r="D2373" t="s">
        <v>121</v>
      </c>
      <c r="E2373">
        <v>10</v>
      </c>
      <c r="F2373">
        <v>1010</v>
      </c>
      <c r="G2373" t="s">
        <v>114</v>
      </c>
      <c r="J2373" t="s">
        <v>123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776"/>
        <v>06:18:54.953</v>
      </c>
      <c r="T2373" t="str">
        <f t="shared" si="777"/>
        <v>06:18:54.453</v>
      </c>
      <c r="U2373" t="str">
        <f t="shared" si="780"/>
        <v>A7E2E0</v>
      </c>
      <c r="V2373">
        <v>0</v>
      </c>
      <c r="W2373">
        <v>0</v>
      </c>
      <c r="X2373">
        <v>1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0</v>
      </c>
      <c r="AI2373" t="s">
        <v>1320</v>
      </c>
      <c r="AJ2373">
        <v>38.931749000000003</v>
      </c>
      <c r="AK2373" t="s">
        <v>1321</v>
      </c>
      <c r="AL2373">
        <v>-87.613585</v>
      </c>
      <c r="AM2373">
        <v>100</v>
      </c>
      <c r="AN2373">
        <v>2500</v>
      </c>
      <c r="AO2373" t="s">
        <v>118</v>
      </c>
      <c r="AP2373">
        <v>19</v>
      </c>
      <c r="AQ2373">
        <v>-156</v>
      </c>
      <c r="AR2373">
        <v>-192</v>
      </c>
      <c r="AZ2373">
        <v>4552</v>
      </c>
      <c r="BA2373">
        <v>1</v>
      </c>
      <c r="BB2373" t="str">
        <f t="shared" si="781"/>
        <v xml:space="preserve">N607SR  </v>
      </c>
      <c r="BC2373">
        <v>1</v>
      </c>
      <c r="BE2373">
        <v>0</v>
      </c>
      <c r="BF2373">
        <v>0</v>
      </c>
      <c r="BG2373">
        <v>0</v>
      </c>
      <c r="BH2373">
        <v>2275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 t="shared" si="778"/>
        <v>06:18:54.960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6</v>
      </c>
      <c r="CP2373" t="s">
        <v>119</v>
      </c>
      <c r="CQ2373">
        <v>465</v>
      </c>
      <c r="CR2373">
        <v>0</v>
      </c>
      <c r="CW2373">
        <v>4725693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 t="shared" ref="A2374:A2379" si="782">"08/29/2020 06:18:52.783"</f>
        <v>08/29/2020 06:18:52.783</v>
      </c>
      <c r="C2374" t="str">
        <f t="shared" si="779"/>
        <v>FFDFD3C0</v>
      </c>
      <c r="D2374" t="s">
        <v>113</v>
      </c>
      <c r="E2374">
        <v>5</v>
      </c>
      <c r="H2374">
        <v>163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ref="S2374:S2379" si="783">"06:18:55.992"</f>
        <v>06:18:55.992</v>
      </c>
      <c r="T2374" t="str">
        <f t="shared" ref="T2374:T2379" si="784">"06:18:55.592"</f>
        <v>06:18:55.592</v>
      </c>
      <c r="U2374" t="str">
        <f t="shared" si="780"/>
        <v>A7E2E0</v>
      </c>
      <c r="V2374">
        <v>0</v>
      </c>
      <c r="W2374">
        <v>0</v>
      </c>
      <c r="X2374">
        <v>1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0</v>
      </c>
      <c r="AI2374" t="s">
        <v>1322</v>
      </c>
      <c r="AJ2374">
        <v>38.931018999999999</v>
      </c>
      <c r="AK2374" t="s">
        <v>1323</v>
      </c>
      <c r="AL2374">
        <v>-87.613455999999999</v>
      </c>
      <c r="AM2374">
        <v>100</v>
      </c>
      <c r="AN2374">
        <v>2500</v>
      </c>
      <c r="AO2374" t="s">
        <v>118</v>
      </c>
      <c r="AP2374">
        <v>18</v>
      </c>
      <c r="AQ2374">
        <v>-155</v>
      </c>
      <c r="AR2374">
        <v>-192</v>
      </c>
      <c r="AZ2374">
        <v>4552</v>
      </c>
      <c r="BA2374">
        <v>1</v>
      </c>
      <c r="BB2374" t="str">
        <f t="shared" si="781"/>
        <v xml:space="preserve">N607SR  </v>
      </c>
      <c r="BC2374">
        <v>1</v>
      </c>
      <c r="BE2374">
        <v>0</v>
      </c>
      <c r="BF2374">
        <v>0</v>
      </c>
      <c r="BG2374">
        <v>0</v>
      </c>
      <c r="BH2374">
        <v>2275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>"06:18:55.997"</f>
        <v>06:18:55.997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6</v>
      </c>
      <c r="CP2374" t="s">
        <v>119</v>
      </c>
      <c r="CQ2374">
        <v>457</v>
      </c>
      <c r="CR2374">
        <v>0</v>
      </c>
      <c r="CW2374">
        <v>15520841</v>
      </c>
      <c r="CY2374">
        <v>1</v>
      </c>
      <c r="CZ2374">
        <v>0</v>
      </c>
      <c r="DA2374">
        <v>0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 t="shared" si="782"/>
        <v>08/29/2020 06:18:52.783</v>
      </c>
      <c r="C2375" t="str">
        <f t="shared" si="779"/>
        <v>FFDFD3C0</v>
      </c>
      <c r="D2375" t="s">
        <v>128</v>
      </c>
      <c r="E2375">
        <v>5</v>
      </c>
      <c r="H2375">
        <v>241</v>
      </c>
      <c r="I2375" t="s">
        <v>129</v>
      </c>
      <c r="J2375" t="s">
        <v>130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783"/>
        <v>06:18:55.992</v>
      </c>
      <c r="T2375" t="str">
        <f t="shared" si="784"/>
        <v>06:18:55.592</v>
      </c>
      <c r="U2375" t="str">
        <f t="shared" si="780"/>
        <v>A7E2E0</v>
      </c>
      <c r="V2375">
        <v>0</v>
      </c>
      <c r="W2375">
        <v>0</v>
      </c>
      <c r="X2375">
        <v>1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0</v>
      </c>
      <c r="AI2375" t="s">
        <v>1322</v>
      </c>
      <c r="AJ2375">
        <v>38.931018999999999</v>
      </c>
      <c r="AK2375" t="s">
        <v>1323</v>
      </c>
      <c r="AL2375">
        <v>-87.613455999999999</v>
      </c>
      <c r="AM2375">
        <v>100</v>
      </c>
      <c r="AN2375">
        <v>2500</v>
      </c>
      <c r="AO2375" t="s">
        <v>118</v>
      </c>
      <c r="AP2375">
        <v>18</v>
      </c>
      <c r="AQ2375">
        <v>-155</v>
      </c>
      <c r="AR2375">
        <v>-192</v>
      </c>
      <c r="AZ2375">
        <v>4552</v>
      </c>
      <c r="BA2375">
        <v>1</v>
      </c>
      <c r="BB2375" t="str">
        <f t="shared" si="781"/>
        <v xml:space="preserve">N607SR  </v>
      </c>
      <c r="BC2375">
        <v>1</v>
      </c>
      <c r="BE2375">
        <v>0</v>
      </c>
      <c r="BF2375">
        <v>0</v>
      </c>
      <c r="BG2375">
        <v>0</v>
      </c>
      <c r="BH2375">
        <v>2275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>"06:18:55.997"</f>
        <v>06:18:55.997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6</v>
      </c>
      <c r="CP2375" t="s">
        <v>119</v>
      </c>
      <c r="CQ2375">
        <v>457</v>
      </c>
      <c r="CR2375">
        <v>0</v>
      </c>
      <c r="CW2375">
        <v>15520841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 t="shared" si="782"/>
        <v>08/29/2020 06:18:52.783</v>
      </c>
      <c r="C2376" t="str">
        <f t="shared" si="779"/>
        <v>FFDFD3C0</v>
      </c>
      <c r="D2376" t="s">
        <v>121</v>
      </c>
      <c r="E2376">
        <v>11</v>
      </c>
      <c r="F2376">
        <v>1011</v>
      </c>
      <c r="G2376" t="s">
        <v>125</v>
      </c>
      <c r="J2376" t="s">
        <v>123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783"/>
        <v>06:18:55.992</v>
      </c>
      <c r="T2376" t="str">
        <f t="shared" si="784"/>
        <v>06:18:55.592</v>
      </c>
      <c r="U2376" t="str">
        <f t="shared" si="780"/>
        <v>A7E2E0</v>
      </c>
      <c r="V2376">
        <v>0</v>
      </c>
      <c r="W2376">
        <v>0</v>
      </c>
      <c r="X2376">
        <v>1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0</v>
      </c>
      <c r="AI2376" t="s">
        <v>1322</v>
      </c>
      <c r="AJ2376">
        <v>38.931018999999999</v>
      </c>
      <c r="AK2376" t="s">
        <v>1323</v>
      </c>
      <c r="AL2376">
        <v>-87.613455999999999</v>
      </c>
      <c r="AM2376">
        <v>100</v>
      </c>
      <c r="AN2376">
        <v>2500</v>
      </c>
      <c r="AO2376" t="s">
        <v>118</v>
      </c>
      <c r="AP2376">
        <v>18</v>
      </c>
      <c r="AQ2376">
        <v>-155</v>
      </c>
      <c r="AR2376">
        <v>-192</v>
      </c>
      <c r="AZ2376">
        <v>4552</v>
      </c>
      <c r="BA2376">
        <v>1</v>
      </c>
      <c r="BB2376" t="str">
        <f t="shared" si="781"/>
        <v xml:space="preserve">N607SR  </v>
      </c>
      <c r="BC2376">
        <v>1</v>
      </c>
      <c r="BE2376">
        <v>0</v>
      </c>
      <c r="BF2376">
        <v>0</v>
      </c>
      <c r="BG2376">
        <v>0</v>
      </c>
      <c r="BH2376">
        <v>2275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>"06:18:55.997"</f>
        <v>06:18:55.997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6</v>
      </c>
      <c r="CP2376" t="s">
        <v>119</v>
      </c>
      <c r="CQ2376">
        <v>457</v>
      </c>
      <c r="CR2376">
        <v>0</v>
      </c>
      <c r="CW2376">
        <v>15520841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 t="shared" si="782"/>
        <v>08/29/2020 06:18:52.783</v>
      </c>
      <c r="C2377" t="str">
        <f t="shared" si="779"/>
        <v>FFDFD3C0</v>
      </c>
      <c r="D2377" t="s">
        <v>939</v>
      </c>
      <c r="E2377">
        <v>10</v>
      </c>
      <c r="H2377">
        <v>79</v>
      </c>
      <c r="I2377" t="s">
        <v>940</v>
      </c>
      <c r="J2377" t="s">
        <v>130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783"/>
        <v>06:18:55.992</v>
      </c>
      <c r="T2377" t="str">
        <f t="shared" si="784"/>
        <v>06:18:55.592</v>
      </c>
      <c r="U2377" t="str">
        <f t="shared" si="780"/>
        <v>A7E2E0</v>
      </c>
      <c r="V2377">
        <v>0</v>
      </c>
      <c r="W2377">
        <v>0</v>
      </c>
      <c r="X2377">
        <v>1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0</v>
      </c>
      <c r="AI2377" t="s">
        <v>1322</v>
      </c>
      <c r="AJ2377">
        <v>38.931018999999999</v>
      </c>
      <c r="AK2377" t="s">
        <v>1323</v>
      </c>
      <c r="AL2377">
        <v>-87.613455999999999</v>
      </c>
      <c r="AM2377">
        <v>100</v>
      </c>
      <c r="AN2377">
        <v>2500</v>
      </c>
      <c r="AO2377" t="s">
        <v>118</v>
      </c>
      <c r="AP2377">
        <v>18</v>
      </c>
      <c r="AQ2377">
        <v>-155</v>
      </c>
      <c r="AR2377">
        <v>-192</v>
      </c>
      <c r="AZ2377">
        <v>4552</v>
      </c>
      <c r="BA2377">
        <v>1</v>
      </c>
      <c r="BB2377" t="str">
        <f t="shared" si="781"/>
        <v xml:space="preserve">N607SR  </v>
      </c>
      <c r="BC2377">
        <v>1</v>
      </c>
      <c r="BE2377">
        <v>0</v>
      </c>
      <c r="BF2377">
        <v>0</v>
      </c>
      <c r="BG2377">
        <v>0</v>
      </c>
      <c r="BH2377">
        <v>2275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>"06:18:55.998"</f>
        <v>06:18:55.998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6</v>
      </c>
      <c r="CP2377" t="s">
        <v>119</v>
      </c>
      <c r="CQ2377">
        <v>465</v>
      </c>
      <c r="CR2377">
        <v>0</v>
      </c>
      <c r="CW2377">
        <v>4725726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 t="shared" si="782"/>
        <v>08/29/2020 06:18:52.783</v>
      </c>
      <c r="C2378" t="str">
        <f t="shared" si="779"/>
        <v>FFDFD3C0</v>
      </c>
      <c r="D2378" t="s">
        <v>121</v>
      </c>
      <c r="E2378">
        <v>13</v>
      </c>
      <c r="F2378">
        <v>1013</v>
      </c>
      <c r="G2378" t="s">
        <v>122</v>
      </c>
      <c r="J2378" t="s">
        <v>123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783"/>
        <v>06:18:55.992</v>
      </c>
      <c r="T2378" t="str">
        <f t="shared" si="784"/>
        <v>06:18:55.592</v>
      </c>
      <c r="U2378" t="str">
        <f t="shared" si="780"/>
        <v>A7E2E0</v>
      </c>
      <c r="V2378">
        <v>0</v>
      </c>
      <c r="W2378">
        <v>0</v>
      </c>
      <c r="X2378">
        <v>1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0</v>
      </c>
      <c r="AI2378" t="s">
        <v>1322</v>
      </c>
      <c r="AJ2378">
        <v>38.931018999999999</v>
      </c>
      <c r="AK2378" t="s">
        <v>1323</v>
      </c>
      <c r="AL2378">
        <v>-87.613455999999999</v>
      </c>
      <c r="AM2378">
        <v>100</v>
      </c>
      <c r="AN2378">
        <v>2500</v>
      </c>
      <c r="AO2378" t="s">
        <v>118</v>
      </c>
      <c r="AP2378">
        <v>18</v>
      </c>
      <c r="AQ2378">
        <v>-155</v>
      </c>
      <c r="AR2378">
        <v>-192</v>
      </c>
      <c r="AZ2378">
        <v>4552</v>
      </c>
      <c r="BA2378">
        <v>1</v>
      </c>
      <c r="BB2378" t="str">
        <f t="shared" si="781"/>
        <v xml:space="preserve">N607SR  </v>
      </c>
      <c r="BC2378">
        <v>1</v>
      </c>
      <c r="BE2378">
        <v>0</v>
      </c>
      <c r="BF2378">
        <v>0</v>
      </c>
      <c r="BG2378">
        <v>0</v>
      </c>
      <c r="BH2378">
        <v>2275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>"06:18:55.997"</f>
        <v>06:18:55.997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6</v>
      </c>
      <c r="CP2378" t="s">
        <v>119</v>
      </c>
      <c r="CQ2378">
        <v>457</v>
      </c>
      <c r="CR2378">
        <v>0</v>
      </c>
      <c r="CW2378">
        <v>15520841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 t="shared" si="782"/>
        <v>08/29/2020 06:18:52.783</v>
      </c>
      <c r="C2379" t="str">
        <f t="shared" si="779"/>
        <v>FFDFD3C0</v>
      </c>
      <c r="D2379" t="s">
        <v>121</v>
      </c>
      <c r="E2379">
        <v>10</v>
      </c>
      <c r="F2379">
        <v>1010</v>
      </c>
      <c r="G2379" t="s">
        <v>114</v>
      </c>
      <c r="J2379" t="s">
        <v>123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783"/>
        <v>06:18:55.992</v>
      </c>
      <c r="T2379" t="str">
        <f t="shared" si="784"/>
        <v>06:18:55.592</v>
      </c>
      <c r="U2379" t="str">
        <f t="shared" si="780"/>
        <v>A7E2E0</v>
      </c>
      <c r="V2379">
        <v>0</v>
      </c>
      <c r="W2379">
        <v>0</v>
      </c>
      <c r="X2379">
        <v>1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0</v>
      </c>
      <c r="AI2379" t="s">
        <v>1322</v>
      </c>
      <c r="AJ2379">
        <v>38.931018999999999</v>
      </c>
      <c r="AK2379" t="s">
        <v>1323</v>
      </c>
      <c r="AL2379">
        <v>-87.613455999999999</v>
      </c>
      <c r="AM2379">
        <v>100</v>
      </c>
      <c r="AN2379">
        <v>2500</v>
      </c>
      <c r="AO2379" t="s">
        <v>118</v>
      </c>
      <c r="AP2379">
        <v>18</v>
      </c>
      <c r="AQ2379">
        <v>-155</v>
      </c>
      <c r="AR2379">
        <v>-192</v>
      </c>
      <c r="AZ2379">
        <v>4552</v>
      </c>
      <c r="BA2379">
        <v>1</v>
      </c>
      <c r="BB2379" t="str">
        <f t="shared" si="781"/>
        <v xml:space="preserve">N607SR  </v>
      </c>
      <c r="BC2379">
        <v>1</v>
      </c>
      <c r="BE2379">
        <v>0</v>
      </c>
      <c r="BF2379">
        <v>0</v>
      </c>
      <c r="BG2379">
        <v>0</v>
      </c>
      <c r="BH2379">
        <v>2275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>"06:18:55.997"</f>
        <v>06:18:55.997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6</v>
      </c>
      <c r="CP2379" t="s">
        <v>119</v>
      </c>
      <c r="CQ2379">
        <v>457</v>
      </c>
      <c r="CR2379">
        <v>0</v>
      </c>
      <c r="CW2379">
        <v>15520841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 t="shared" ref="A2380:A2385" si="785">"08/29/2020 06:18:53.706"</f>
        <v>08/29/2020 06:18:53.706</v>
      </c>
      <c r="C2380" t="str">
        <f t="shared" si="779"/>
        <v>FFDFD3C0</v>
      </c>
      <c r="D2380" t="s">
        <v>121</v>
      </c>
      <c r="E2380">
        <v>10</v>
      </c>
      <c r="F2380">
        <v>1010</v>
      </c>
      <c r="G2380" t="s">
        <v>114</v>
      </c>
      <c r="J2380" t="s">
        <v>123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ref="S2380:S2385" si="786">"06:18:56.922"</f>
        <v>06:18:56.922</v>
      </c>
      <c r="T2380" t="str">
        <f t="shared" ref="T2380:T2385" si="787">"06:18:56.422"</f>
        <v>06:18:56.422</v>
      </c>
      <c r="U2380" t="str">
        <f t="shared" si="780"/>
        <v>A7E2E0</v>
      </c>
      <c r="V2380">
        <v>0</v>
      </c>
      <c r="W2380">
        <v>0</v>
      </c>
      <c r="X2380">
        <v>1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0</v>
      </c>
      <c r="AI2380" t="s">
        <v>1324</v>
      </c>
      <c r="AJ2380">
        <v>38.930289999999999</v>
      </c>
      <c r="AK2380" t="s">
        <v>1325</v>
      </c>
      <c r="AL2380">
        <v>-87.613348999999999</v>
      </c>
      <c r="AM2380">
        <v>100</v>
      </c>
      <c r="AN2380">
        <v>2500</v>
      </c>
      <c r="AO2380" t="s">
        <v>118</v>
      </c>
      <c r="AP2380">
        <v>17</v>
      </c>
      <c r="AQ2380">
        <v>-155</v>
      </c>
      <c r="AR2380">
        <v>-192</v>
      </c>
      <c r="AZ2380">
        <v>4552</v>
      </c>
      <c r="BA2380">
        <v>1</v>
      </c>
      <c r="BB2380" t="str">
        <f t="shared" si="781"/>
        <v xml:space="preserve">N607SR  </v>
      </c>
      <c r="BC2380">
        <v>1</v>
      </c>
      <c r="BE2380">
        <v>0</v>
      </c>
      <c r="BF2380">
        <v>0</v>
      </c>
      <c r="BG2380">
        <v>0</v>
      </c>
      <c r="BH2380">
        <v>2275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 t="shared" ref="BW2380:BW2385" si="788">"06:18:56.923"</f>
        <v>06:18:56.923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465</v>
      </c>
      <c r="CR2380">
        <v>0</v>
      </c>
      <c r="CW2380">
        <v>4725755</v>
      </c>
      <c r="CY2380">
        <v>1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 t="shared" si="785"/>
        <v>08/29/2020 06:18:53.706</v>
      </c>
      <c r="C2381" t="str">
        <f t="shared" si="779"/>
        <v>FFDFD3C0</v>
      </c>
      <c r="D2381" t="s">
        <v>939</v>
      </c>
      <c r="E2381">
        <v>10</v>
      </c>
      <c r="H2381">
        <v>79</v>
      </c>
      <c r="I2381" t="s">
        <v>940</v>
      </c>
      <c r="J2381" t="s">
        <v>130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786"/>
        <v>06:18:56.922</v>
      </c>
      <c r="T2381" t="str">
        <f t="shared" si="787"/>
        <v>06:18:56.422</v>
      </c>
      <c r="U2381" t="str">
        <f t="shared" si="780"/>
        <v>A7E2E0</v>
      </c>
      <c r="V2381">
        <v>0</v>
      </c>
      <c r="W2381">
        <v>0</v>
      </c>
      <c r="X2381">
        <v>1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0</v>
      </c>
      <c r="AI2381" t="s">
        <v>1324</v>
      </c>
      <c r="AJ2381">
        <v>38.930289999999999</v>
      </c>
      <c r="AK2381" t="s">
        <v>1325</v>
      </c>
      <c r="AL2381">
        <v>-87.613348999999999</v>
      </c>
      <c r="AM2381">
        <v>100</v>
      </c>
      <c r="AN2381">
        <v>2500</v>
      </c>
      <c r="AO2381" t="s">
        <v>118</v>
      </c>
      <c r="AP2381">
        <v>17</v>
      </c>
      <c r="AQ2381">
        <v>-155</v>
      </c>
      <c r="AR2381">
        <v>-192</v>
      </c>
      <c r="AZ2381">
        <v>4552</v>
      </c>
      <c r="BA2381">
        <v>1</v>
      </c>
      <c r="BB2381" t="str">
        <f t="shared" si="781"/>
        <v xml:space="preserve">N607SR  </v>
      </c>
      <c r="BC2381">
        <v>1</v>
      </c>
      <c r="BE2381">
        <v>0</v>
      </c>
      <c r="BF2381">
        <v>0</v>
      </c>
      <c r="BG2381">
        <v>0</v>
      </c>
      <c r="BH2381">
        <v>2275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 t="shared" si="788"/>
        <v>06:18:56.923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465</v>
      </c>
      <c r="CR2381">
        <v>0</v>
      </c>
      <c r="CW2381">
        <v>4725755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 t="shared" si="785"/>
        <v>08/29/2020 06:18:53.706</v>
      </c>
      <c r="C2382" t="str">
        <f t="shared" si="779"/>
        <v>FFDFD3C0</v>
      </c>
      <c r="D2382" t="s">
        <v>121</v>
      </c>
      <c r="E2382">
        <v>11</v>
      </c>
      <c r="F2382">
        <v>1011</v>
      </c>
      <c r="G2382" t="s">
        <v>125</v>
      </c>
      <c r="J2382" t="s">
        <v>123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786"/>
        <v>06:18:56.922</v>
      </c>
      <c r="T2382" t="str">
        <f t="shared" si="787"/>
        <v>06:18:56.422</v>
      </c>
      <c r="U2382" t="str">
        <f t="shared" si="780"/>
        <v>A7E2E0</v>
      </c>
      <c r="V2382">
        <v>0</v>
      </c>
      <c r="W2382">
        <v>0</v>
      </c>
      <c r="X2382">
        <v>1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0</v>
      </c>
      <c r="AI2382" t="s">
        <v>1324</v>
      </c>
      <c r="AJ2382">
        <v>38.930289999999999</v>
      </c>
      <c r="AK2382" t="s">
        <v>1325</v>
      </c>
      <c r="AL2382">
        <v>-87.613348999999999</v>
      </c>
      <c r="AM2382">
        <v>100</v>
      </c>
      <c r="AN2382">
        <v>2500</v>
      </c>
      <c r="AO2382" t="s">
        <v>118</v>
      </c>
      <c r="AP2382">
        <v>17</v>
      </c>
      <c r="AQ2382">
        <v>-155</v>
      </c>
      <c r="AR2382">
        <v>-192</v>
      </c>
      <c r="AZ2382">
        <v>4552</v>
      </c>
      <c r="BA2382">
        <v>1</v>
      </c>
      <c r="BB2382" t="str">
        <f t="shared" si="781"/>
        <v xml:space="preserve">N607SR  </v>
      </c>
      <c r="BC2382">
        <v>1</v>
      </c>
      <c r="BE2382">
        <v>0</v>
      </c>
      <c r="BF2382">
        <v>0</v>
      </c>
      <c r="BG2382">
        <v>0</v>
      </c>
      <c r="BH2382">
        <v>2275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 t="shared" si="788"/>
        <v>06:18:56.923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6</v>
      </c>
      <c r="CP2382" t="s">
        <v>119</v>
      </c>
      <c r="CQ2382">
        <v>177</v>
      </c>
      <c r="CR2382">
        <v>2</v>
      </c>
      <c r="CW2382">
        <v>1670188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 t="shared" si="785"/>
        <v>08/29/2020 06:18:53.706</v>
      </c>
      <c r="C2383" t="str">
        <f t="shared" si="779"/>
        <v>FFDFD3C0</v>
      </c>
      <c r="D2383" t="s">
        <v>121</v>
      </c>
      <c r="E2383">
        <v>13</v>
      </c>
      <c r="F2383">
        <v>1013</v>
      </c>
      <c r="G2383" t="s">
        <v>122</v>
      </c>
      <c r="J2383" t="s">
        <v>123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786"/>
        <v>06:18:56.922</v>
      </c>
      <c r="T2383" t="str">
        <f t="shared" si="787"/>
        <v>06:18:56.422</v>
      </c>
      <c r="U2383" t="str">
        <f t="shared" si="780"/>
        <v>A7E2E0</v>
      </c>
      <c r="V2383">
        <v>0</v>
      </c>
      <c r="W2383">
        <v>0</v>
      </c>
      <c r="X2383">
        <v>1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0</v>
      </c>
      <c r="AI2383" t="s">
        <v>1324</v>
      </c>
      <c r="AJ2383">
        <v>38.930289999999999</v>
      </c>
      <c r="AK2383" t="s">
        <v>1325</v>
      </c>
      <c r="AL2383">
        <v>-87.613348999999999</v>
      </c>
      <c r="AM2383">
        <v>100</v>
      </c>
      <c r="AN2383">
        <v>2500</v>
      </c>
      <c r="AO2383" t="s">
        <v>118</v>
      </c>
      <c r="AP2383">
        <v>17</v>
      </c>
      <c r="AQ2383">
        <v>-155</v>
      </c>
      <c r="AR2383">
        <v>-192</v>
      </c>
      <c r="AZ2383">
        <v>4552</v>
      </c>
      <c r="BA2383">
        <v>1</v>
      </c>
      <c r="BB2383" t="str">
        <f t="shared" si="781"/>
        <v xml:space="preserve">N607SR  </v>
      </c>
      <c r="BC2383">
        <v>1</v>
      </c>
      <c r="BE2383">
        <v>0</v>
      </c>
      <c r="BF2383">
        <v>0</v>
      </c>
      <c r="BG2383">
        <v>0</v>
      </c>
      <c r="BH2383">
        <v>2275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 t="shared" si="788"/>
        <v>06:18:56.923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465</v>
      </c>
      <c r="CR2383">
        <v>0</v>
      </c>
      <c r="CW2383">
        <v>4725755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 t="shared" si="785"/>
        <v>08/29/2020 06:18:53.706</v>
      </c>
      <c r="C2384" t="str">
        <f t="shared" si="779"/>
        <v>FFDFD3C0</v>
      </c>
      <c r="D2384" t="s">
        <v>113</v>
      </c>
      <c r="E2384">
        <v>5</v>
      </c>
      <c r="H2384">
        <v>163</v>
      </c>
      <c r="I2384" t="s">
        <v>114</v>
      </c>
      <c r="J2384" t="s">
        <v>115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786"/>
        <v>06:18:56.922</v>
      </c>
      <c r="T2384" t="str">
        <f t="shared" si="787"/>
        <v>06:18:56.422</v>
      </c>
      <c r="U2384" t="str">
        <f t="shared" si="780"/>
        <v>A7E2E0</v>
      </c>
      <c r="V2384">
        <v>0</v>
      </c>
      <c r="W2384">
        <v>0</v>
      </c>
      <c r="X2384">
        <v>1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0</v>
      </c>
      <c r="AI2384" t="s">
        <v>1324</v>
      </c>
      <c r="AJ2384">
        <v>38.930289999999999</v>
      </c>
      <c r="AK2384" t="s">
        <v>1325</v>
      </c>
      <c r="AL2384">
        <v>-87.613348999999999</v>
      </c>
      <c r="AM2384">
        <v>100</v>
      </c>
      <c r="AN2384">
        <v>2500</v>
      </c>
      <c r="AO2384" t="s">
        <v>118</v>
      </c>
      <c r="AP2384">
        <v>17</v>
      </c>
      <c r="AQ2384">
        <v>-155</v>
      </c>
      <c r="AR2384">
        <v>-192</v>
      </c>
      <c r="AZ2384">
        <v>4552</v>
      </c>
      <c r="BA2384">
        <v>1</v>
      </c>
      <c r="BB2384" t="str">
        <f t="shared" si="781"/>
        <v xml:space="preserve">N607SR  </v>
      </c>
      <c r="BC2384">
        <v>1</v>
      </c>
      <c r="BE2384">
        <v>0</v>
      </c>
      <c r="BF2384">
        <v>0</v>
      </c>
      <c r="BG2384">
        <v>0</v>
      </c>
      <c r="BH2384">
        <v>2275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 t="shared" si="788"/>
        <v>06:18:56.923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465</v>
      </c>
      <c r="CR2384">
        <v>0</v>
      </c>
      <c r="CW2384">
        <v>4725755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 t="shared" si="785"/>
        <v>08/29/2020 06:18:53.706</v>
      </c>
      <c r="C2385" t="str">
        <f t="shared" si="779"/>
        <v>FFDFD3C0</v>
      </c>
      <c r="D2385" t="s">
        <v>128</v>
      </c>
      <c r="E2385">
        <v>5</v>
      </c>
      <c r="H2385">
        <v>241</v>
      </c>
      <c r="I2385" t="s">
        <v>129</v>
      </c>
      <c r="J2385" t="s">
        <v>130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786"/>
        <v>06:18:56.922</v>
      </c>
      <c r="T2385" t="str">
        <f t="shared" si="787"/>
        <v>06:18:56.422</v>
      </c>
      <c r="U2385" t="str">
        <f t="shared" si="780"/>
        <v>A7E2E0</v>
      </c>
      <c r="V2385">
        <v>0</v>
      </c>
      <c r="W2385">
        <v>0</v>
      </c>
      <c r="X2385">
        <v>1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0</v>
      </c>
      <c r="AI2385" t="s">
        <v>1324</v>
      </c>
      <c r="AJ2385">
        <v>38.930289999999999</v>
      </c>
      <c r="AK2385" t="s">
        <v>1325</v>
      </c>
      <c r="AL2385">
        <v>-87.613348999999999</v>
      </c>
      <c r="AM2385">
        <v>100</v>
      </c>
      <c r="AN2385">
        <v>2500</v>
      </c>
      <c r="AO2385" t="s">
        <v>118</v>
      </c>
      <c r="AP2385">
        <v>17</v>
      </c>
      <c r="AQ2385">
        <v>-155</v>
      </c>
      <c r="AR2385">
        <v>-192</v>
      </c>
      <c r="AZ2385">
        <v>4552</v>
      </c>
      <c r="BA2385">
        <v>1</v>
      </c>
      <c r="BB2385" t="str">
        <f t="shared" si="781"/>
        <v xml:space="preserve">N607SR  </v>
      </c>
      <c r="BC2385">
        <v>1</v>
      </c>
      <c r="BE2385">
        <v>0</v>
      </c>
      <c r="BF2385">
        <v>0</v>
      </c>
      <c r="BG2385">
        <v>0</v>
      </c>
      <c r="BH2385">
        <v>2275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 t="shared" si="788"/>
        <v>06:18:56.923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465</v>
      </c>
      <c r="CR2385">
        <v>0</v>
      </c>
      <c r="CW2385">
        <v>4725755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ref="A2386:A2391" si="789">"08/29/2020 06:18:54.756"</f>
        <v>08/29/2020 06:18:54.756</v>
      </c>
      <c r="C2386" t="str">
        <f t="shared" si="779"/>
        <v>FFDFD3C0</v>
      </c>
      <c r="D2386" t="s">
        <v>128</v>
      </c>
      <c r="E2386">
        <v>5</v>
      </c>
      <c r="H2386">
        <v>241</v>
      </c>
      <c r="I2386" t="s">
        <v>129</v>
      </c>
      <c r="J2386" t="s">
        <v>130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ref="S2386:S2391" si="790">"06:18:58.008"</f>
        <v>06:18:58.008</v>
      </c>
      <c r="T2386" t="str">
        <f t="shared" ref="T2386:T2391" si="791">"06:18:57.508"</f>
        <v>06:18:57.508</v>
      </c>
      <c r="U2386" t="str">
        <f t="shared" si="780"/>
        <v>A7E2E0</v>
      </c>
      <c r="V2386">
        <v>0</v>
      </c>
      <c r="W2386">
        <v>0</v>
      </c>
      <c r="X2386">
        <v>1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0</v>
      </c>
      <c r="AI2386" t="s">
        <v>1326</v>
      </c>
      <c r="AJ2386">
        <v>38.929496</v>
      </c>
      <c r="AK2386" t="s">
        <v>1327</v>
      </c>
      <c r="AL2386">
        <v>-87.613285000000005</v>
      </c>
      <c r="AM2386">
        <v>100</v>
      </c>
      <c r="AN2386">
        <v>2500</v>
      </c>
      <c r="AO2386" t="s">
        <v>118</v>
      </c>
      <c r="AP2386">
        <v>15</v>
      </c>
      <c r="AQ2386">
        <v>-154</v>
      </c>
      <c r="AR2386">
        <v>-192</v>
      </c>
      <c r="AZ2386">
        <v>4552</v>
      </c>
      <c r="BA2386">
        <v>1</v>
      </c>
      <c r="BB2386" t="str">
        <f t="shared" si="781"/>
        <v xml:space="preserve">N607SR  </v>
      </c>
      <c r="BC2386">
        <v>1</v>
      </c>
      <c r="BE2386">
        <v>0</v>
      </c>
      <c r="BF2386">
        <v>0</v>
      </c>
      <c r="BG2386">
        <v>0</v>
      </c>
      <c r="BH2386">
        <v>2275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 t="shared" ref="BW2386:BW2391" si="792">"06:18:58.011"</f>
        <v>06:18:58.011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6</v>
      </c>
      <c r="CP2386" t="s">
        <v>119</v>
      </c>
      <c r="CQ2386">
        <v>465</v>
      </c>
      <c r="CR2386">
        <v>0</v>
      </c>
      <c r="CW2386">
        <v>4725785</v>
      </c>
      <c r="CY2386">
        <v>1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 t="shared" si="789"/>
        <v>08/29/2020 06:18:54.756</v>
      </c>
      <c r="C2387" t="str">
        <f t="shared" si="779"/>
        <v>FFDFD3C0</v>
      </c>
      <c r="D2387" t="s">
        <v>121</v>
      </c>
      <c r="E2387">
        <v>10</v>
      </c>
      <c r="F2387">
        <v>1010</v>
      </c>
      <c r="G2387" t="s">
        <v>114</v>
      </c>
      <c r="J2387" t="s">
        <v>123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790"/>
        <v>06:18:58.008</v>
      </c>
      <c r="T2387" t="str">
        <f t="shared" si="791"/>
        <v>06:18:57.508</v>
      </c>
      <c r="U2387" t="str">
        <f t="shared" si="780"/>
        <v>A7E2E0</v>
      </c>
      <c r="V2387">
        <v>0</v>
      </c>
      <c r="W2387">
        <v>0</v>
      </c>
      <c r="X2387">
        <v>1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0</v>
      </c>
      <c r="AI2387" t="s">
        <v>1326</v>
      </c>
      <c r="AJ2387">
        <v>38.929496</v>
      </c>
      <c r="AK2387" t="s">
        <v>1327</v>
      </c>
      <c r="AL2387">
        <v>-87.613285000000005</v>
      </c>
      <c r="AM2387">
        <v>100</v>
      </c>
      <c r="AN2387">
        <v>2500</v>
      </c>
      <c r="AO2387" t="s">
        <v>118</v>
      </c>
      <c r="AP2387">
        <v>15</v>
      </c>
      <c r="AQ2387">
        <v>-154</v>
      </c>
      <c r="AR2387">
        <v>-192</v>
      </c>
      <c r="AZ2387">
        <v>4552</v>
      </c>
      <c r="BA2387">
        <v>1</v>
      </c>
      <c r="BB2387" t="str">
        <f t="shared" si="781"/>
        <v xml:space="preserve">N607SR  </v>
      </c>
      <c r="BC2387">
        <v>1</v>
      </c>
      <c r="BE2387">
        <v>0</v>
      </c>
      <c r="BF2387">
        <v>0</v>
      </c>
      <c r="BG2387">
        <v>0</v>
      </c>
      <c r="BH2387">
        <v>2275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 t="shared" si="792"/>
        <v>06:18:58.011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6</v>
      </c>
      <c r="CP2387" t="s">
        <v>119</v>
      </c>
      <c r="CQ2387">
        <v>465</v>
      </c>
      <c r="CR2387">
        <v>0</v>
      </c>
      <c r="CW2387">
        <v>4725785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 t="shared" si="789"/>
        <v>08/29/2020 06:18:54.756</v>
      </c>
      <c r="C2388" t="str">
        <f t="shared" si="779"/>
        <v>FFDFD3C0</v>
      </c>
      <c r="D2388" t="s">
        <v>939</v>
      </c>
      <c r="E2388">
        <v>10</v>
      </c>
      <c r="H2388">
        <v>79</v>
      </c>
      <c r="I2388" t="s">
        <v>940</v>
      </c>
      <c r="J2388" t="s">
        <v>130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790"/>
        <v>06:18:58.008</v>
      </c>
      <c r="T2388" t="str">
        <f t="shared" si="791"/>
        <v>06:18:57.508</v>
      </c>
      <c r="U2388" t="str">
        <f t="shared" si="780"/>
        <v>A7E2E0</v>
      </c>
      <c r="V2388">
        <v>0</v>
      </c>
      <c r="W2388">
        <v>0</v>
      </c>
      <c r="X2388">
        <v>1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0</v>
      </c>
      <c r="AI2388" t="s">
        <v>1326</v>
      </c>
      <c r="AJ2388">
        <v>38.929496</v>
      </c>
      <c r="AK2388" t="s">
        <v>1327</v>
      </c>
      <c r="AL2388">
        <v>-87.613285000000005</v>
      </c>
      <c r="AM2388">
        <v>100</v>
      </c>
      <c r="AN2388">
        <v>2500</v>
      </c>
      <c r="AO2388" t="s">
        <v>118</v>
      </c>
      <c r="AP2388">
        <v>15</v>
      </c>
      <c r="AQ2388">
        <v>-154</v>
      </c>
      <c r="AR2388">
        <v>-192</v>
      </c>
      <c r="AZ2388">
        <v>4552</v>
      </c>
      <c r="BA2388">
        <v>1</v>
      </c>
      <c r="BB2388" t="str">
        <f t="shared" si="781"/>
        <v xml:space="preserve">N607SR  </v>
      </c>
      <c r="BC2388">
        <v>1</v>
      </c>
      <c r="BE2388">
        <v>0</v>
      </c>
      <c r="BF2388">
        <v>0</v>
      </c>
      <c r="BG2388">
        <v>0</v>
      </c>
      <c r="BH2388">
        <v>2275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 t="shared" si="792"/>
        <v>06:18:58.011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6</v>
      </c>
      <c r="CP2388" t="s">
        <v>119</v>
      </c>
      <c r="CQ2388">
        <v>465</v>
      </c>
      <c r="CR2388">
        <v>0</v>
      </c>
      <c r="CW2388">
        <v>4725785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 t="shared" si="789"/>
        <v>08/29/2020 06:18:54.756</v>
      </c>
      <c r="C2389" t="str">
        <f t="shared" si="779"/>
        <v>FFDFD3C0</v>
      </c>
      <c r="D2389" t="s">
        <v>121</v>
      </c>
      <c r="E2389">
        <v>11</v>
      </c>
      <c r="F2389">
        <v>1011</v>
      </c>
      <c r="G2389" t="s">
        <v>125</v>
      </c>
      <c r="J2389" t="s">
        <v>123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790"/>
        <v>06:18:58.008</v>
      </c>
      <c r="T2389" t="str">
        <f t="shared" si="791"/>
        <v>06:18:57.508</v>
      </c>
      <c r="U2389" t="str">
        <f t="shared" si="780"/>
        <v>A7E2E0</v>
      </c>
      <c r="V2389">
        <v>0</v>
      </c>
      <c r="W2389">
        <v>0</v>
      </c>
      <c r="X2389">
        <v>1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0</v>
      </c>
      <c r="AI2389" t="s">
        <v>1326</v>
      </c>
      <c r="AJ2389">
        <v>38.929496</v>
      </c>
      <c r="AK2389" t="s">
        <v>1327</v>
      </c>
      <c r="AL2389">
        <v>-87.613285000000005</v>
      </c>
      <c r="AM2389">
        <v>100</v>
      </c>
      <c r="AN2389">
        <v>2500</v>
      </c>
      <c r="AO2389" t="s">
        <v>118</v>
      </c>
      <c r="AP2389">
        <v>15</v>
      </c>
      <c r="AQ2389">
        <v>-154</v>
      </c>
      <c r="AR2389">
        <v>-192</v>
      </c>
      <c r="AZ2389">
        <v>4552</v>
      </c>
      <c r="BA2389">
        <v>1</v>
      </c>
      <c r="BB2389" t="str">
        <f t="shared" si="781"/>
        <v xml:space="preserve">N607SR  </v>
      </c>
      <c r="BC2389">
        <v>1</v>
      </c>
      <c r="BE2389">
        <v>0</v>
      </c>
      <c r="BF2389">
        <v>0</v>
      </c>
      <c r="BG2389">
        <v>0</v>
      </c>
      <c r="BH2389">
        <v>2275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 t="shared" si="792"/>
        <v>06:18:58.011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6</v>
      </c>
      <c r="CP2389" t="s">
        <v>119</v>
      </c>
      <c r="CQ2389">
        <v>177</v>
      </c>
      <c r="CR2389">
        <v>2</v>
      </c>
      <c r="CW2389">
        <v>1670387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 t="shared" si="789"/>
        <v>08/29/2020 06:18:54.756</v>
      </c>
      <c r="C2390" t="str">
        <f t="shared" si="779"/>
        <v>FFDFD3C0</v>
      </c>
      <c r="D2390" t="s">
        <v>121</v>
      </c>
      <c r="E2390">
        <v>13</v>
      </c>
      <c r="F2390">
        <v>1013</v>
      </c>
      <c r="G2390" t="s">
        <v>122</v>
      </c>
      <c r="J2390" t="s">
        <v>123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790"/>
        <v>06:18:58.008</v>
      </c>
      <c r="T2390" t="str">
        <f t="shared" si="791"/>
        <v>06:18:57.508</v>
      </c>
      <c r="U2390" t="str">
        <f t="shared" si="780"/>
        <v>A7E2E0</v>
      </c>
      <c r="V2390">
        <v>0</v>
      </c>
      <c r="W2390">
        <v>0</v>
      </c>
      <c r="X2390">
        <v>1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0</v>
      </c>
      <c r="AI2390" t="s">
        <v>1326</v>
      </c>
      <c r="AJ2390">
        <v>38.929496</v>
      </c>
      <c r="AK2390" t="s">
        <v>1327</v>
      </c>
      <c r="AL2390">
        <v>-87.613285000000005</v>
      </c>
      <c r="AM2390">
        <v>100</v>
      </c>
      <c r="AN2390">
        <v>2500</v>
      </c>
      <c r="AO2390" t="s">
        <v>118</v>
      </c>
      <c r="AP2390">
        <v>15</v>
      </c>
      <c r="AQ2390">
        <v>-154</v>
      </c>
      <c r="AR2390">
        <v>-192</v>
      </c>
      <c r="AZ2390">
        <v>4552</v>
      </c>
      <c r="BA2390">
        <v>1</v>
      </c>
      <c r="BB2390" t="str">
        <f t="shared" si="781"/>
        <v xml:space="preserve">N607SR  </v>
      </c>
      <c r="BC2390">
        <v>1</v>
      </c>
      <c r="BE2390">
        <v>0</v>
      </c>
      <c r="BF2390">
        <v>0</v>
      </c>
      <c r="BG2390">
        <v>0</v>
      </c>
      <c r="BH2390">
        <v>2275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 t="shared" si="792"/>
        <v>06:18:58.011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6</v>
      </c>
      <c r="CP2390" t="s">
        <v>119</v>
      </c>
      <c r="CQ2390">
        <v>465</v>
      </c>
      <c r="CR2390">
        <v>0</v>
      </c>
      <c r="CW2390">
        <v>4725785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 t="shared" si="789"/>
        <v>08/29/2020 06:18:54.756</v>
      </c>
      <c r="C2391" t="str">
        <f t="shared" si="779"/>
        <v>FFDFD3C0</v>
      </c>
      <c r="D2391" t="s">
        <v>113</v>
      </c>
      <c r="E2391">
        <v>5</v>
      </c>
      <c r="H2391">
        <v>163</v>
      </c>
      <c r="I2391" t="s">
        <v>114</v>
      </c>
      <c r="J2391" t="s">
        <v>115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790"/>
        <v>06:18:58.008</v>
      </c>
      <c r="T2391" t="str">
        <f t="shared" si="791"/>
        <v>06:18:57.508</v>
      </c>
      <c r="U2391" t="str">
        <f t="shared" si="780"/>
        <v>A7E2E0</v>
      </c>
      <c r="V2391">
        <v>0</v>
      </c>
      <c r="W2391">
        <v>0</v>
      </c>
      <c r="X2391">
        <v>1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0</v>
      </c>
      <c r="AI2391" t="s">
        <v>1326</v>
      </c>
      <c r="AJ2391">
        <v>38.929496</v>
      </c>
      <c r="AK2391" t="s">
        <v>1327</v>
      </c>
      <c r="AL2391">
        <v>-87.613285000000005</v>
      </c>
      <c r="AM2391">
        <v>100</v>
      </c>
      <c r="AN2391">
        <v>2500</v>
      </c>
      <c r="AO2391" t="s">
        <v>118</v>
      </c>
      <c r="AP2391">
        <v>15</v>
      </c>
      <c r="AQ2391">
        <v>-154</v>
      </c>
      <c r="AR2391">
        <v>-192</v>
      </c>
      <c r="AZ2391">
        <v>4552</v>
      </c>
      <c r="BA2391">
        <v>1</v>
      </c>
      <c r="BB2391" t="str">
        <f t="shared" si="781"/>
        <v xml:space="preserve">N607SR  </v>
      </c>
      <c r="BC2391">
        <v>1</v>
      </c>
      <c r="BE2391">
        <v>0</v>
      </c>
      <c r="BF2391">
        <v>0</v>
      </c>
      <c r="BG2391">
        <v>0</v>
      </c>
      <c r="BH2391">
        <v>2275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 t="shared" si="792"/>
        <v>06:18:58.011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6</v>
      </c>
      <c r="CP2391" t="s">
        <v>119</v>
      </c>
      <c r="CQ2391">
        <v>465</v>
      </c>
      <c r="CR2391">
        <v>0</v>
      </c>
      <c r="CW2391">
        <v>4725785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 t="shared" ref="A2392:A2397" si="793">"08/29/2020 06:18:55.900"</f>
        <v>08/29/2020 06:18:55.900</v>
      </c>
      <c r="C2392" t="str">
        <f t="shared" si="779"/>
        <v>FFDFD3C0</v>
      </c>
      <c r="D2392" t="s">
        <v>121</v>
      </c>
      <c r="E2392">
        <v>13</v>
      </c>
      <c r="F2392">
        <v>1013</v>
      </c>
      <c r="G2392" t="s">
        <v>122</v>
      </c>
      <c r="J2392" t="s">
        <v>123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ref="S2392:S2397" si="794">"06:18:59.125"</f>
        <v>06:18:59.125</v>
      </c>
      <c r="T2392" t="str">
        <f t="shared" ref="T2392:T2397" si="795">"06:18:58.625"</f>
        <v>06:18:58.625</v>
      </c>
      <c r="U2392" t="str">
        <f t="shared" si="780"/>
        <v>A7E2E0</v>
      </c>
      <c r="V2392">
        <v>0</v>
      </c>
      <c r="W2392">
        <v>0</v>
      </c>
      <c r="X2392">
        <v>1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0</v>
      </c>
      <c r="AI2392" t="s">
        <v>1328</v>
      </c>
      <c r="AJ2392">
        <v>38.928722999999998</v>
      </c>
      <c r="AK2392" t="s">
        <v>1329</v>
      </c>
      <c r="AL2392">
        <v>-87.613156000000004</v>
      </c>
      <c r="AM2392">
        <v>100</v>
      </c>
      <c r="AN2392">
        <v>2500</v>
      </c>
      <c r="AO2392" t="s">
        <v>118</v>
      </c>
      <c r="AP2392">
        <v>14</v>
      </c>
      <c r="AQ2392">
        <v>-154</v>
      </c>
      <c r="AR2392">
        <v>-128</v>
      </c>
      <c r="AZ2392">
        <v>4552</v>
      </c>
      <c r="BA2392">
        <v>1</v>
      </c>
      <c r="BB2392" t="str">
        <f t="shared" si="781"/>
        <v xml:space="preserve">N607SR  </v>
      </c>
      <c r="BC2392">
        <v>1</v>
      </c>
      <c r="BE2392">
        <v>0</v>
      </c>
      <c r="BF2392">
        <v>0</v>
      </c>
      <c r="BG2392">
        <v>0</v>
      </c>
      <c r="BH2392">
        <v>2275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 t="shared" ref="BW2392:BW2397" si="796">"06:18:59.130"</f>
        <v>06:18:59.130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465</v>
      </c>
      <c r="CR2392">
        <v>0</v>
      </c>
      <c r="CW2392">
        <v>4725825</v>
      </c>
      <c r="CY2392">
        <v>1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 t="shared" si="793"/>
        <v>08/29/2020 06:18:55.900</v>
      </c>
      <c r="C2393" t="str">
        <f t="shared" si="779"/>
        <v>FFDFD3C0</v>
      </c>
      <c r="D2393" t="s">
        <v>121</v>
      </c>
      <c r="E2393">
        <v>11</v>
      </c>
      <c r="F2393">
        <v>1011</v>
      </c>
      <c r="G2393" t="s">
        <v>125</v>
      </c>
      <c r="J2393" t="s">
        <v>123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794"/>
        <v>06:18:59.125</v>
      </c>
      <c r="T2393" t="str">
        <f t="shared" si="795"/>
        <v>06:18:58.625</v>
      </c>
      <c r="U2393" t="str">
        <f t="shared" si="780"/>
        <v>A7E2E0</v>
      </c>
      <c r="V2393">
        <v>0</v>
      </c>
      <c r="W2393">
        <v>0</v>
      </c>
      <c r="X2393">
        <v>1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0</v>
      </c>
      <c r="AI2393" t="s">
        <v>1328</v>
      </c>
      <c r="AJ2393">
        <v>38.928722999999998</v>
      </c>
      <c r="AK2393" t="s">
        <v>1329</v>
      </c>
      <c r="AL2393">
        <v>-87.613156000000004</v>
      </c>
      <c r="AM2393">
        <v>100</v>
      </c>
      <c r="AN2393">
        <v>2500</v>
      </c>
      <c r="AO2393" t="s">
        <v>118</v>
      </c>
      <c r="AP2393">
        <v>14</v>
      </c>
      <c r="AQ2393">
        <v>-154</v>
      </c>
      <c r="AR2393">
        <v>-128</v>
      </c>
      <c r="AZ2393">
        <v>4552</v>
      </c>
      <c r="BA2393">
        <v>1</v>
      </c>
      <c r="BB2393" t="str">
        <f t="shared" si="781"/>
        <v xml:space="preserve">N607SR  </v>
      </c>
      <c r="BC2393">
        <v>1</v>
      </c>
      <c r="BE2393">
        <v>0</v>
      </c>
      <c r="BF2393">
        <v>0</v>
      </c>
      <c r="BG2393">
        <v>0</v>
      </c>
      <c r="BH2393">
        <v>2275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 t="shared" si="796"/>
        <v>06:18:59.130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6</v>
      </c>
      <c r="CP2393" t="s">
        <v>119</v>
      </c>
      <c r="CQ2393">
        <v>177</v>
      </c>
      <c r="CR2393">
        <v>2</v>
      </c>
      <c r="CW2393">
        <v>1670581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si="793"/>
        <v>08/29/2020 06:18:55.900</v>
      </c>
      <c r="C2394" t="str">
        <f t="shared" si="779"/>
        <v>FFDFD3C0</v>
      </c>
      <c r="D2394" t="s">
        <v>113</v>
      </c>
      <c r="E2394">
        <v>5</v>
      </c>
      <c r="H2394">
        <v>163</v>
      </c>
      <c r="I2394" t="s">
        <v>114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794"/>
        <v>06:18:59.125</v>
      </c>
      <c r="T2394" t="str">
        <f t="shared" si="795"/>
        <v>06:18:58.625</v>
      </c>
      <c r="U2394" t="str">
        <f t="shared" si="780"/>
        <v>A7E2E0</v>
      </c>
      <c r="V2394">
        <v>0</v>
      </c>
      <c r="W2394">
        <v>0</v>
      </c>
      <c r="X2394">
        <v>1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0</v>
      </c>
      <c r="AI2394" t="s">
        <v>1328</v>
      </c>
      <c r="AJ2394">
        <v>38.928722999999998</v>
      </c>
      <c r="AK2394" t="s">
        <v>1329</v>
      </c>
      <c r="AL2394">
        <v>-87.613156000000004</v>
      </c>
      <c r="AM2394">
        <v>100</v>
      </c>
      <c r="AN2394">
        <v>2500</v>
      </c>
      <c r="AO2394" t="s">
        <v>118</v>
      </c>
      <c r="AP2394">
        <v>14</v>
      </c>
      <c r="AQ2394">
        <v>-154</v>
      </c>
      <c r="AR2394">
        <v>-128</v>
      </c>
      <c r="AZ2394">
        <v>4552</v>
      </c>
      <c r="BA2394">
        <v>1</v>
      </c>
      <c r="BB2394" t="str">
        <f t="shared" si="781"/>
        <v xml:space="preserve">N607SR  </v>
      </c>
      <c r="BC2394">
        <v>1</v>
      </c>
      <c r="BE2394">
        <v>0</v>
      </c>
      <c r="BF2394">
        <v>0</v>
      </c>
      <c r="BG2394">
        <v>0</v>
      </c>
      <c r="BH2394">
        <v>2275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 t="shared" si="796"/>
        <v>06:18:59.130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465</v>
      </c>
      <c r="CR2394">
        <v>0</v>
      </c>
      <c r="CW2394">
        <v>4725825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793"/>
        <v>08/29/2020 06:18:55.900</v>
      </c>
      <c r="C2395" t="str">
        <f t="shared" si="779"/>
        <v>FFDFD3C0</v>
      </c>
      <c r="D2395" t="s">
        <v>128</v>
      </c>
      <c r="E2395">
        <v>5</v>
      </c>
      <c r="H2395">
        <v>241</v>
      </c>
      <c r="I2395" t="s">
        <v>129</v>
      </c>
      <c r="J2395" t="s">
        <v>130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794"/>
        <v>06:18:59.125</v>
      </c>
      <c r="T2395" t="str">
        <f t="shared" si="795"/>
        <v>06:18:58.625</v>
      </c>
      <c r="U2395" t="str">
        <f t="shared" si="780"/>
        <v>A7E2E0</v>
      </c>
      <c r="V2395">
        <v>0</v>
      </c>
      <c r="W2395">
        <v>0</v>
      </c>
      <c r="X2395">
        <v>1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0</v>
      </c>
      <c r="AI2395" t="s">
        <v>1328</v>
      </c>
      <c r="AJ2395">
        <v>38.928722999999998</v>
      </c>
      <c r="AK2395" t="s">
        <v>1329</v>
      </c>
      <c r="AL2395">
        <v>-87.613156000000004</v>
      </c>
      <c r="AM2395">
        <v>100</v>
      </c>
      <c r="AN2395">
        <v>2500</v>
      </c>
      <c r="AO2395" t="s">
        <v>118</v>
      </c>
      <c r="AP2395">
        <v>14</v>
      </c>
      <c r="AQ2395">
        <v>-154</v>
      </c>
      <c r="AR2395">
        <v>-128</v>
      </c>
      <c r="AZ2395">
        <v>4552</v>
      </c>
      <c r="BA2395">
        <v>1</v>
      </c>
      <c r="BB2395" t="str">
        <f t="shared" si="781"/>
        <v xml:space="preserve">N607SR  </v>
      </c>
      <c r="BC2395">
        <v>1</v>
      </c>
      <c r="BE2395">
        <v>0</v>
      </c>
      <c r="BF2395">
        <v>0</v>
      </c>
      <c r="BG2395">
        <v>0</v>
      </c>
      <c r="BH2395">
        <v>2275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 t="shared" si="796"/>
        <v>06:18:59.130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465</v>
      </c>
      <c r="CR2395">
        <v>0</v>
      </c>
      <c r="CW2395">
        <v>4725825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793"/>
        <v>08/29/2020 06:18:55.900</v>
      </c>
      <c r="C2396" t="str">
        <f t="shared" si="779"/>
        <v>FFDFD3C0</v>
      </c>
      <c r="D2396" t="s">
        <v>939</v>
      </c>
      <c r="E2396">
        <v>10</v>
      </c>
      <c r="H2396">
        <v>79</v>
      </c>
      <c r="I2396" t="s">
        <v>940</v>
      </c>
      <c r="J2396" t="s">
        <v>130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794"/>
        <v>06:18:59.125</v>
      </c>
      <c r="T2396" t="str">
        <f t="shared" si="795"/>
        <v>06:18:58.625</v>
      </c>
      <c r="U2396" t="str">
        <f t="shared" si="780"/>
        <v>A7E2E0</v>
      </c>
      <c r="V2396">
        <v>0</v>
      </c>
      <c r="W2396">
        <v>0</v>
      </c>
      <c r="X2396">
        <v>1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0</v>
      </c>
      <c r="AI2396" t="s">
        <v>1328</v>
      </c>
      <c r="AJ2396">
        <v>38.928722999999998</v>
      </c>
      <c r="AK2396" t="s">
        <v>1329</v>
      </c>
      <c r="AL2396">
        <v>-87.613156000000004</v>
      </c>
      <c r="AM2396">
        <v>100</v>
      </c>
      <c r="AN2396">
        <v>2500</v>
      </c>
      <c r="AO2396" t="s">
        <v>118</v>
      </c>
      <c r="AP2396">
        <v>14</v>
      </c>
      <c r="AQ2396">
        <v>-154</v>
      </c>
      <c r="AR2396">
        <v>-128</v>
      </c>
      <c r="AZ2396">
        <v>4552</v>
      </c>
      <c r="BA2396">
        <v>1</v>
      </c>
      <c r="BB2396" t="str">
        <f t="shared" si="781"/>
        <v xml:space="preserve">N607SR  </v>
      </c>
      <c r="BC2396">
        <v>1</v>
      </c>
      <c r="BE2396">
        <v>0</v>
      </c>
      <c r="BF2396">
        <v>0</v>
      </c>
      <c r="BG2396">
        <v>0</v>
      </c>
      <c r="BH2396">
        <v>2275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 t="shared" si="796"/>
        <v>06:18:59.130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465</v>
      </c>
      <c r="CR2396">
        <v>0</v>
      </c>
      <c r="CW2396">
        <v>4725825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si="793"/>
        <v>08/29/2020 06:18:55.900</v>
      </c>
      <c r="C2397" t="str">
        <f t="shared" si="779"/>
        <v>FFDFD3C0</v>
      </c>
      <c r="D2397" t="s">
        <v>121</v>
      </c>
      <c r="E2397">
        <v>10</v>
      </c>
      <c r="F2397">
        <v>1010</v>
      </c>
      <c r="G2397" t="s">
        <v>114</v>
      </c>
      <c r="J2397" t="s">
        <v>123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794"/>
        <v>06:18:59.125</v>
      </c>
      <c r="T2397" t="str">
        <f t="shared" si="795"/>
        <v>06:18:58.625</v>
      </c>
      <c r="U2397" t="str">
        <f t="shared" si="780"/>
        <v>A7E2E0</v>
      </c>
      <c r="V2397">
        <v>0</v>
      </c>
      <c r="W2397">
        <v>0</v>
      </c>
      <c r="X2397">
        <v>1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0</v>
      </c>
      <c r="AI2397" t="s">
        <v>1328</v>
      </c>
      <c r="AJ2397">
        <v>38.928722999999998</v>
      </c>
      <c r="AK2397" t="s">
        <v>1329</v>
      </c>
      <c r="AL2397">
        <v>-87.613156000000004</v>
      </c>
      <c r="AM2397">
        <v>100</v>
      </c>
      <c r="AN2397">
        <v>2500</v>
      </c>
      <c r="AO2397" t="s">
        <v>118</v>
      </c>
      <c r="AP2397">
        <v>14</v>
      </c>
      <c r="AQ2397">
        <v>-154</v>
      </c>
      <c r="AR2397">
        <v>-128</v>
      </c>
      <c r="AZ2397">
        <v>4552</v>
      </c>
      <c r="BA2397">
        <v>1</v>
      </c>
      <c r="BB2397" t="str">
        <f t="shared" si="781"/>
        <v xml:space="preserve">N607SR  </v>
      </c>
      <c r="BC2397">
        <v>1</v>
      </c>
      <c r="BE2397">
        <v>0</v>
      </c>
      <c r="BF2397">
        <v>0</v>
      </c>
      <c r="BG2397">
        <v>0</v>
      </c>
      <c r="BH2397">
        <v>2275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 t="shared" si="796"/>
        <v>06:18:59.130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465</v>
      </c>
      <c r="CR2397">
        <v>0</v>
      </c>
      <c r="CW2397">
        <v>4725825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ref="A2398:A2403" si="797">"08/29/2020 06:18:56.892"</f>
        <v>08/29/2020 06:18:56.892</v>
      </c>
      <c r="C2398" t="str">
        <f t="shared" si="779"/>
        <v>FFDFD3C0</v>
      </c>
      <c r="D2398" t="s">
        <v>121</v>
      </c>
      <c r="E2398">
        <v>10</v>
      </c>
      <c r="F2398">
        <v>1010</v>
      </c>
      <c r="G2398" t="s">
        <v>114</v>
      </c>
      <c r="J2398" t="s">
        <v>123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ref="S2398:S2403" si="798">"06:19:00.109"</f>
        <v>06:19:00.109</v>
      </c>
      <c r="T2398" t="str">
        <f t="shared" ref="T2398:T2403" si="799">"06:18:59.709"</f>
        <v>06:18:59.709</v>
      </c>
      <c r="U2398" t="str">
        <f t="shared" si="780"/>
        <v>A7E2E0</v>
      </c>
      <c r="V2398">
        <v>0</v>
      </c>
      <c r="W2398">
        <v>0</v>
      </c>
      <c r="X2398">
        <v>1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0</v>
      </c>
      <c r="AI2398" t="s">
        <v>1330</v>
      </c>
      <c r="AJ2398">
        <v>38.927993999999998</v>
      </c>
      <c r="AK2398" t="s">
        <v>1258</v>
      </c>
      <c r="AL2398">
        <v>-87.613090999999997</v>
      </c>
      <c r="AM2398">
        <v>100</v>
      </c>
      <c r="AN2398">
        <v>2500</v>
      </c>
      <c r="AO2398" t="s">
        <v>118</v>
      </c>
      <c r="AP2398">
        <v>13</v>
      </c>
      <c r="AQ2398">
        <v>-154</v>
      </c>
      <c r="AR2398">
        <v>-128</v>
      </c>
      <c r="AZ2398">
        <v>4552</v>
      </c>
      <c r="BA2398">
        <v>1</v>
      </c>
      <c r="BB2398" t="str">
        <f t="shared" si="781"/>
        <v xml:space="preserve">N607SR  </v>
      </c>
      <c r="BC2398">
        <v>1</v>
      </c>
      <c r="BE2398">
        <v>0</v>
      </c>
      <c r="BF2398">
        <v>0</v>
      </c>
      <c r="BG2398">
        <v>0</v>
      </c>
      <c r="BH2398">
        <v>2275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 t="shared" ref="BW2398:BW2403" si="800">"06:19:00.113"</f>
        <v>06:19:00.113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6</v>
      </c>
      <c r="CP2398" t="s">
        <v>119</v>
      </c>
      <c r="CQ2398">
        <v>465</v>
      </c>
      <c r="CR2398">
        <v>0</v>
      </c>
      <c r="CW2398">
        <v>4725854</v>
      </c>
      <c r="CY2398">
        <v>1</v>
      </c>
      <c r="CZ2398">
        <v>0</v>
      </c>
      <c r="DA2398">
        <v>0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 t="shared" si="797"/>
        <v>08/29/2020 06:18:56.892</v>
      </c>
      <c r="C2399" t="str">
        <f t="shared" si="779"/>
        <v>FFDFD3C0</v>
      </c>
      <c r="D2399" t="s">
        <v>121</v>
      </c>
      <c r="E2399">
        <v>11</v>
      </c>
      <c r="F2399">
        <v>1011</v>
      </c>
      <c r="G2399" t="s">
        <v>125</v>
      </c>
      <c r="J2399" t="s">
        <v>123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798"/>
        <v>06:19:00.109</v>
      </c>
      <c r="T2399" t="str">
        <f t="shared" si="799"/>
        <v>06:18:59.709</v>
      </c>
      <c r="U2399" t="str">
        <f t="shared" si="780"/>
        <v>A7E2E0</v>
      </c>
      <c r="V2399">
        <v>0</v>
      </c>
      <c r="W2399">
        <v>0</v>
      </c>
      <c r="X2399">
        <v>1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0</v>
      </c>
      <c r="AI2399" t="s">
        <v>1330</v>
      </c>
      <c r="AJ2399">
        <v>38.927993999999998</v>
      </c>
      <c r="AK2399" t="s">
        <v>1258</v>
      </c>
      <c r="AL2399">
        <v>-87.613090999999997</v>
      </c>
      <c r="AM2399">
        <v>100</v>
      </c>
      <c r="AN2399">
        <v>2500</v>
      </c>
      <c r="AO2399" t="s">
        <v>118</v>
      </c>
      <c r="AP2399">
        <v>13</v>
      </c>
      <c r="AQ2399">
        <v>-154</v>
      </c>
      <c r="AR2399">
        <v>-128</v>
      </c>
      <c r="AZ2399">
        <v>4552</v>
      </c>
      <c r="BA2399">
        <v>1</v>
      </c>
      <c r="BB2399" t="str">
        <f t="shared" si="781"/>
        <v xml:space="preserve">N607SR  </v>
      </c>
      <c r="BC2399">
        <v>1</v>
      </c>
      <c r="BE2399">
        <v>0</v>
      </c>
      <c r="BF2399">
        <v>0</v>
      </c>
      <c r="BG2399">
        <v>0</v>
      </c>
      <c r="BH2399">
        <v>2275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 t="shared" si="800"/>
        <v>06:19:00.113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6</v>
      </c>
      <c r="CP2399" t="s">
        <v>119</v>
      </c>
      <c r="CQ2399">
        <v>177</v>
      </c>
      <c r="CR2399">
        <v>2</v>
      </c>
      <c r="CW2399">
        <v>1670723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 t="shared" si="797"/>
        <v>08/29/2020 06:18:56.892</v>
      </c>
      <c r="C2400" t="str">
        <f t="shared" si="779"/>
        <v>FFDFD3C0</v>
      </c>
      <c r="D2400" t="s">
        <v>121</v>
      </c>
      <c r="E2400">
        <v>13</v>
      </c>
      <c r="F2400">
        <v>1013</v>
      </c>
      <c r="G2400" t="s">
        <v>122</v>
      </c>
      <c r="J2400" t="s">
        <v>123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798"/>
        <v>06:19:00.109</v>
      </c>
      <c r="T2400" t="str">
        <f t="shared" si="799"/>
        <v>06:18:59.709</v>
      </c>
      <c r="U2400" t="str">
        <f t="shared" si="780"/>
        <v>A7E2E0</v>
      </c>
      <c r="V2400">
        <v>0</v>
      </c>
      <c r="W2400">
        <v>0</v>
      </c>
      <c r="X2400">
        <v>1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0</v>
      </c>
      <c r="AI2400" t="s">
        <v>1330</v>
      </c>
      <c r="AJ2400">
        <v>38.927993999999998</v>
      </c>
      <c r="AK2400" t="s">
        <v>1258</v>
      </c>
      <c r="AL2400">
        <v>-87.613090999999997</v>
      </c>
      <c r="AM2400">
        <v>100</v>
      </c>
      <c r="AN2400">
        <v>2500</v>
      </c>
      <c r="AO2400" t="s">
        <v>118</v>
      </c>
      <c r="AP2400">
        <v>13</v>
      </c>
      <c r="AQ2400">
        <v>-154</v>
      </c>
      <c r="AR2400">
        <v>-128</v>
      </c>
      <c r="AZ2400">
        <v>4552</v>
      </c>
      <c r="BA2400">
        <v>1</v>
      </c>
      <c r="BB2400" t="str">
        <f t="shared" si="781"/>
        <v xml:space="preserve">N607SR  </v>
      </c>
      <c r="BC2400">
        <v>1</v>
      </c>
      <c r="BE2400">
        <v>0</v>
      </c>
      <c r="BF2400">
        <v>0</v>
      </c>
      <c r="BG2400">
        <v>0</v>
      </c>
      <c r="BH2400">
        <v>2275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 t="shared" si="800"/>
        <v>06:19:00.113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6</v>
      </c>
      <c r="CP2400" t="s">
        <v>119</v>
      </c>
      <c r="CQ2400">
        <v>465</v>
      </c>
      <c r="CR2400">
        <v>0</v>
      </c>
      <c r="CW2400">
        <v>4725854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si="797"/>
        <v>08/29/2020 06:18:56.892</v>
      </c>
      <c r="C2401" t="str">
        <f t="shared" si="779"/>
        <v>FFDFD3C0</v>
      </c>
      <c r="D2401" t="s">
        <v>113</v>
      </c>
      <c r="E2401">
        <v>5</v>
      </c>
      <c r="H2401">
        <v>163</v>
      </c>
      <c r="I2401" t="s">
        <v>114</v>
      </c>
      <c r="J2401" t="s">
        <v>115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798"/>
        <v>06:19:00.109</v>
      </c>
      <c r="T2401" t="str">
        <f t="shared" si="799"/>
        <v>06:18:59.709</v>
      </c>
      <c r="U2401" t="str">
        <f t="shared" si="780"/>
        <v>A7E2E0</v>
      </c>
      <c r="V2401">
        <v>0</v>
      </c>
      <c r="W2401">
        <v>0</v>
      </c>
      <c r="X2401">
        <v>1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0</v>
      </c>
      <c r="AI2401" t="s">
        <v>1330</v>
      </c>
      <c r="AJ2401">
        <v>38.927993999999998</v>
      </c>
      <c r="AK2401" t="s">
        <v>1258</v>
      </c>
      <c r="AL2401">
        <v>-87.613090999999997</v>
      </c>
      <c r="AM2401">
        <v>100</v>
      </c>
      <c r="AN2401">
        <v>2500</v>
      </c>
      <c r="AO2401" t="s">
        <v>118</v>
      </c>
      <c r="AP2401">
        <v>13</v>
      </c>
      <c r="AQ2401">
        <v>-154</v>
      </c>
      <c r="AR2401">
        <v>-128</v>
      </c>
      <c r="AZ2401">
        <v>4552</v>
      </c>
      <c r="BA2401">
        <v>1</v>
      </c>
      <c r="BB2401" t="str">
        <f t="shared" si="781"/>
        <v xml:space="preserve">N607SR  </v>
      </c>
      <c r="BC2401">
        <v>1</v>
      </c>
      <c r="BE2401">
        <v>0</v>
      </c>
      <c r="BF2401">
        <v>0</v>
      </c>
      <c r="BG2401">
        <v>0</v>
      </c>
      <c r="BH2401">
        <v>2275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 t="shared" si="800"/>
        <v>06:19:00.113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6</v>
      </c>
      <c r="CP2401" t="s">
        <v>119</v>
      </c>
      <c r="CQ2401">
        <v>465</v>
      </c>
      <c r="CR2401">
        <v>0</v>
      </c>
      <c r="CW2401">
        <v>4725854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797"/>
        <v>08/29/2020 06:18:56.892</v>
      </c>
      <c r="C2402" t="str">
        <f t="shared" si="779"/>
        <v>FFDFD3C0</v>
      </c>
      <c r="D2402" t="s">
        <v>939</v>
      </c>
      <c r="E2402">
        <v>10</v>
      </c>
      <c r="H2402">
        <v>79</v>
      </c>
      <c r="I2402" t="s">
        <v>940</v>
      </c>
      <c r="J2402" t="s">
        <v>130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798"/>
        <v>06:19:00.109</v>
      </c>
      <c r="T2402" t="str">
        <f t="shared" si="799"/>
        <v>06:18:59.709</v>
      </c>
      <c r="U2402" t="str">
        <f t="shared" si="780"/>
        <v>A7E2E0</v>
      </c>
      <c r="V2402">
        <v>0</v>
      </c>
      <c r="W2402">
        <v>0</v>
      </c>
      <c r="X2402">
        <v>1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0</v>
      </c>
      <c r="AI2402" t="s">
        <v>1330</v>
      </c>
      <c r="AJ2402">
        <v>38.927993999999998</v>
      </c>
      <c r="AK2402" t="s">
        <v>1258</v>
      </c>
      <c r="AL2402">
        <v>-87.613090999999997</v>
      </c>
      <c r="AM2402">
        <v>100</v>
      </c>
      <c r="AN2402">
        <v>2500</v>
      </c>
      <c r="AO2402" t="s">
        <v>118</v>
      </c>
      <c r="AP2402">
        <v>13</v>
      </c>
      <c r="AQ2402">
        <v>-154</v>
      </c>
      <c r="AR2402">
        <v>-128</v>
      </c>
      <c r="AZ2402">
        <v>4552</v>
      </c>
      <c r="BA2402">
        <v>1</v>
      </c>
      <c r="BB2402" t="str">
        <f t="shared" si="781"/>
        <v xml:space="preserve">N607SR  </v>
      </c>
      <c r="BC2402">
        <v>1</v>
      </c>
      <c r="BE2402">
        <v>0</v>
      </c>
      <c r="BF2402">
        <v>0</v>
      </c>
      <c r="BG2402">
        <v>0</v>
      </c>
      <c r="BH2402">
        <v>2275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 t="shared" si="800"/>
        <v>06:19:00.113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6</v>
      </c>
      <c r="CP2402" t="s">
        <v>119</v>
      </c>
      <c r="CQ2402">
        <v>465</v>
      </c>
      <c r="CR2402">
        <v>0</v>
      </c>
      <c r="CW2402">
        <v>4725854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si="797"/>
        <v>08/29/2020 06:18:56.892</v>
      </c>
      <c r="C2403" t="str">
        <f t="shared" si="779"/>
        <v>FFDFD3C0</v>
      </c>
      <c r="D2403" t="s">
        <v>128</v>
      </c>
      <c r="E2403">
        <v>5</v>
      </c>
      <c r="H2403">
        <v>241</v>
      </c>
      <c r="I2403" t="s">
        <v>129</v>
      </c>
      <c r="J2403" t="s">
        <v>130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798"/>
        <v>06:19:00.109</v>
      </c>
      <c r="T2403" t="str">
        <f t="shared" si="799"/>
        <v>06:18:59.709</v>
      </c>
      <c r="U2403" t="str">
        <f t="shared" si="780"/>
        <v>A7E2E0</v>
      </c>
      <c r="V2403">
        <v>0</v>
      </c>
      <c r="W2403">
        <v>0</v>
      </c>
      <c r="X2403">
        <v>1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0</v>
      </c>
      <c r="AI2403" t="s">
        <v>1330</v>
      </c>
      <c r="AJ2403">
        <v>38.927993999999998</v>
      </c>
      <c r="AK2403" t="s">
        <v>1258</v>
      </c>
      <c r="AL2403">
        <v>-87.613090999999997</v>
      </c>
      <c r="AM2403">
        <v>100</v>
      </c>
      <c r="AN2403">
        <v>2500</v>
      </c>
      <c r="AO2403" t="s">
        <v>118</v>
      </c>
      <c r="AP2403">
        <v>13</v>
      </c>
      <c r="AQ2403">
        <v>-154</v>
      </c>
      <c r="AR2403">
        <v>-128</v>
      </c>
      <c r="AZ2403">
        <v>4552</v>
      </c>
      <c r="BA2403">
        <v>1</v>
      </c>
      <c r="BB2403" t="str">
        <f t="shared" si="781"/>
        <v xml:space="preserve">N607SR  </v>
      </c>
      <c r="BC2403">
        <v>1</v>
      </c>
      <c r="BE2403">
        <v>0</v>
      </c>
      <c r="BF2403">
        <v>0</v>
      </c>
      <c r="BG2403">
        <v>0</v>
      </c>
      <c r="BH2403">
        <v>2275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 t="shared" si="800"/>
        <v>06:19:00.113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6</v>
      </c>
      <c r="CP2403" t="s">
        <v>119</v>
      </c>
      <c r="CQ2403">
        <v>465</v>
      </c>
      <c r="CR2403">
        <v>0</v>
      </c>
      <c r="CW2403">
        <v>4725854</v>
      </c>
      <c r="CY2403">
        <v>1</v>
      </c>
      <c r="CZ2403">
        <v>0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ref="A2404:A2409" si="801">"08/29/2020 06:18:58.091"</f>
        <v>08/29/2020 06:18:58.091</v>
      </c>
      <c r="C2404" t="str">
        <f t="shared" si="779"/>
        <v>FFDFD3C0</v>
      </c>
      <c r="D2404" t="s">
        <v>939</v>
      </c>
      <c r="E2404">
        <v>10</v>
      </c>
      <c r="H2404">
        <v>79</v>
      </c>
      <c r="I2404" t="s">
        <v>940</v>
      </c>
      <c r="J2404" t="s">
        <v>130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ref="S2404:S2409" si="802">"06:19:01.281"</f>
        <v>06:19:01.281</v>
      </c>
      <c r="T2404" t="str">
        <f>"06:19:00.781"</f>
        <v>06:19:00.781</v>
      </c>
      <c r="U2404" t="str">
        <f t="shared" si="780"/>
        <v>A7E2E0</v>
      </c>
      <c r="V2404">
        <v>0</v>
      </c>
      <c r="W2404">
        <v>0</v>
      </c>
      <c r="X2404">
        <v>1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0</v>
      </c>
      <c r="AI2404" t="s">
        <v>1331</v>
      </c>
      <c r="AJ2404">
        <v>38.927221000000003</v>
      </c>
      <c r="AK2404" t="s">
        <v>1332</v>
      </c>
      <c r="AL2404">
        <v>-87.613027000000002</v>
      </c>
      <c r="AM2404">
        <v>100</v>
      </c>
      <c r="AN2404">
        <v>2500</v>
      </c>
      <c r="AO2404" t="s">
        <v>118</v>
      </c>
      <c r="AP2404">
        <v>12</v>
      </c>
      <c r="AQ2404">
        <v>-153</v>
      </c>
      <c r="AR2404">
        <v>-128</v>
      </c>
      <c r="AZ2404">
        <v>4552</v>
      </c>
      <c r="BA2404">
        <v>1</v>
      </c>
      <c r="BB2404" t="str">
        <f t="shared" si="781"/>
        <v xml:space="preserve">N607SR  </v>
      </c>
      <c r="BC2404">
        <v>1</v>
      </c>
      <c r="BE2404">
        <v>0</v>
      </c>
      <c r="BF2404">
        <v>0</v>
      </c>
      <c r="BG2404">
        <v>0</v>
      </c>
      <c r="BH2404">
        <v>2275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>"06:19:01.282"</f>
        <v>06:19:01.282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465</v>
      </c>
      <c r="CR2404">
        <v>0</v>
      </c>
      <c r="CW2404">
        <v>4725886</v>
      </c>
      <c r="CY2404">
        <v>1</v>
      </c>
      <c r="CZ2404">
        <v>0</v>
      </c>
      <c r="DA2404">
        <v>0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801"/>
        <v>08/29/2020 06:18:58.091</v>
      </c>
      <c r="C2405" t="str">
        <f t="shared" si="779"/>
        <v>FFDFD3C0</v>
      </c>
      <c r="D2405" t="s">
        <v>121</v>
      </c>
      <c r="E2405">
        <v>13</v>
      </c>
      <c r="F2405">
        <v>1013</v>
      </c>
      <c r="G2405" t="s">
        <v>122</v>
      </c>
      <c r="J2405" t="s">
        <v>123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802"/>
        <v>06:19:01.281</v>
      </c>
      <c r="U2405" t="str">
        <f t="shared" si="780"/>
        <v>A7E2E0</v>
      </c>
      <c r="V2405">
        <v>0</v>
      </c>
      <c r="W2405">
        <v>0</v>
      </c>
      <c r="X2405">
        <v>1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0</v>
      </c>
      <c r="AI2405" t="s">
        <v>1331</v>
      </c>
      <c r="AJ2405">
        <v>38.927221000000003</v>
      </c>
      <c r="AK2405" t="s">
        <v>1332</v>
      </c>
      <c r="AL2405">
        <v>-87.613027000000002</v>
      </c>
      <c r="AM2405">
        <v>100</v>
      </c>
      <c r="AN2405">
        <v>2500</v>
      </c>
      <c r="AO2405" t="s">
        <v>118</v>
      </c>
      <c r="AP2405">
        <v>12</v>
      </c>
      <c r="AQ2405">
        <v>-153</v>
      </c>
      <c r="AR2405">
        <v>-64</v>
      </c>
      <c r="AZ2405">
        <v>4552</v>
      </c>
      <c r="BA2405">
        <v>1</v>
      </c>
      <c r="BB2405" t="str">
        <f t="shared" si="781"/>
        <v xml:space="preserve">N607SR  </v>
      </c>
      <c r="BC2405">
        <v>1</v>
      </c>
      <c r="BE2405">
        <v>0</v>
      </c>
      <c r="BF2405">
        <v>0</v>
      </c>
      <c r="BG2405">
        <v>0</v>
      </c>
      <c r="BH2405">
        <v>2250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>"06:19:01.281"</f>
        <v>06:19:01.281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5</v>
      </c>
      <c r="CP2405" t="s">
        <v>119</v>
      </c>
      <c r="CQ2405">
        <v>517</v>
      </c>
      <c r="CR2405">
        <v>1</v>
      </c>
      <c r="CW2405">
        <v>2485951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801"/>
        <v>08/29/2020 06:18:58.091</v>
      </c>
      <c r="C2406" t="str">
        <f t="shared" si="779"/>
        <v>FFDFD3C0</v>
      </c>
      <c r="D2406" t="s">
        <v>121</v>
      </c>
      <c r="E2406">
        <v>11</v>
      </c>
      <c r="F2406">
        <v>1011</v>
      </c>
      <c r="G2406" t="s">
        <v>125</v>
      </c>
      <c r="J2406" t="s">
        <v>123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802"/>
        <v>06:19:01.281</v>
      </c>
      <c r="T2406" t="str">
        <f>"06:19:00.781"</f>
        <v>06:19:00.781</v>
      </c>
      <c r="U2406" t="str">
        <f t="shared" si="780"/>
        <v>A7E2E0</v>
      </c>
      <c r="V2406">
        <v>0</v>
      </c>
      <c r="W2406">
        <v>0</v>
      </c>
      <c r="X2406">
        <v>1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0</v>
      </c>
      <c r="AI2406" t="s">
        <v>1331</v>
      </c>
      <c r="AJ2406">
        <v>38.927221000000003</v>
      </c>
      <c r="AK2406" t="s">
        <v>1332</v>
      </c>
      <c r="AL2406">
        <v>-87.613027000000002</v>
      </c>
      <c r="AM2406">
        <v>100</v>
      </c>
      <c r="AN2406">
        <v>2500</v>
      </c>
      <c r="AO2406" t="s">
        <v>118</v>
      </c>
      <c r="AP2406">
        <v>12</v>
      </c>
      <c r="AQ2406">
        <v>-153</v>
      </c>
      <c r="AR2406">
        <v>-128</v>
      </c>
      <c r="AZ2406">
        <v>4552</v>
      </c>
      <c r="BA2406">
        <v>1</v>
      </c>
      <c r="BB2406" t="str">
        <f t="shared" si="781"/>
        <v xml:space="preserve">N607SR  </v>
      </c>
      <c r="BC2406">
        <v>1</v>
      </c>
      <c r="BE2406">
        <v>0</v>
      </c>
      <c r="BF2406">
        <v>0</v>
      </c>
      <c r="BG2406">
        <v>0</v>
      </c>
      <c r="BH2406">
        <v>2275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>"06:19:01.281"</f>
        <v>06:19:01.281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5</v>
      </c>
      <c r="CP2406" t="s">
        <v>119</v>
      </c>
      <c r="CQ2406">
        <v>457</v>
      </c>
      <c r="CR2406">
        <v>0</v>
      </c>
      <c r="CW2406">
        <v>15520995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 t="shared" si="801"/>
        <v>08/29/2020 06:18:58.091</v>
      </c>
      <c r="C2407" t="str">
        <f t="shared" si="779"/>
        <v>FFDFD3C0</v>
      </c>
      <c r="D2407" t="s">
        <v>113</v>
      </c>
      <c r="E2407">
        <v>5</v>
      </c>
      <c r="H2407">
        <v>163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802"/>
        <v>06:19:01.281</v>
      </c>
      <c r="U2407" t="str">
        <f t="shared" si="780"/>
        <v>A7E2E0</v>
      </c>
      <c r="V2407">
        <v>0</v>
      </c>
      <c r="W2407">
        <v>0</v>
      </c>
      <c r="X2407">
        <v>1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0</v>
      </c>
      <c r="AI2407" t="s">
        <v>1331</v>
      </c>
      <c r="AJ2407">
        <v>38.927221000000003</v>
      </c>
      <c r="AK2407" t="s">
        <v>1332</v>
      </c>
      <c r="AL2407">
        <v>-87.613027000000002</v>
      </c>
      <c r="AM2407">
        <v>100</v>
      </c>
      <c r="AN2407">
        <v>2500</v>
      </c>
      <c r="AO2407" t="s">
        <v>118</v>
      </c>
      <c r="AP2407">
        <v>12</v>
      </c>
      <c r="AQ2407">
        <v>-153</v>
      </c>
      <c r="AR2407">
        <v>-64</v>
      </c>
      <c r="AZ2407">
        <v>4552</v>
      </c>
      <c r="BA2407">
        <v>1</v>
      </c>
      <c r="BB2407" t="str">
        <f t="shared" si="781"/>
        <v xml:space="preserve">N607SR  </v>
      </c>
      <c r="BC2407">
        <v>1</v>
      </c>
      <c r="BE2407">
        <v>0</v>
      </c>
      <c r="BF2407">
        <v>0</v>
      </c>
      <c r="BG2407">
        <v>0</v>
      </c>
      <c r="BH2407">
        <v>2250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>"06:19:01.281"</f>
        <v>06:19:01.281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5</v>
      </c>
      <c r="CP2407" t="s">
        <v>119</v>
      </c>
      <c r="CQ2407">
        <v>517</v>
      </c>
      <c r="CR2407">
        <v>1</v>
      </c>
      <c r="CW2407">
        <v>2485951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 t="shared" si="801"/>
        <v>08/29/2020 06:18:58.091</v>
      </c>
      <c r="C2408" t="str">
        <f t="shared" si="779"/>
        <v>FFDFD3C0</v>
      </c>
      <c r="D2408" t="s">
        <v>128</v>
      </c>
      <c r="E2408">
        <v>5</v>
      </c>
      <c r="H2408">
        <v>241</v>
      </c>
      <c r="I2408" t="s">
        <v>129</v>
      </c>
      <c r="J2408" t="s">
        <v>130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802"/>
        <v>06:19:01.281</v>
      </c>
      <c r="U2408" t="str">
        <f t="shared" si="780"/>
        <v>A7E2E0</v>
      </c>
      <c r="V2408">
        <v>0</v>
      </c>
      <c r="W2408">
        <v>0</v>
      </c>
      <c r="X2408">
        <v>1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0</v>
      </c>
      <c r="AI2408" t="s">
        <v>1331</v>
      </c>
      <c r="AJ2408">
        <v>38.927221000000003</v>
      </c>
      <c r="AK2408" t="s">
        <v>1332</v>
      </c>
      <c r="AL2408">
        <v>-87.613027000000002</v>
      </c>
      <c r="AM2408">
        <v>100</v>
      </c>
      <c r="AN2408">
        <v>2500</v>
      </c>
      <c r="AO2408" t="s">
        <v>118</v>
      </c>
      <c r="AP2408">
        <v>12</v>
      </c>
      <c r="AQ2408">
        <v>-153</v>
      </c>
      <c r="AR2408">
        <v>-64</v>
      </c>
      <c r="AZ2408">
        <v>4552</v>
      </c>
      <c r="BA2408">
        <v>1</v>
      </c>
      <c r="BB2408" t="str">
        <f t="shared" si="781"/>
        <v xml:space="preserve">N607SR  </v>
      </c>
      <c r="BC2408">
        <v>1</v>
      </c>
      <c r="BE2408">
        <v>0</v>
      </c>
      <c r="BF2408">
        <v>0</v>
      </c>
      <c r="BG2408">
        <v>0</v>
      </c>
      <c r="BH2408">
        <v>2250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>"06:19:01.281"</f>
        <v>06:19:01.281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5</v>
      </c>
      <c r="CP2408" t="s">
        <v>119</v>
      </c>
      <c r="CQ2408">
        <v>517</v>
      </c>
      <c r="CR2408">
        <v>1</v>
      </c>
      <c r="CW2408">
        <v>2485951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 t="shared" si="801"/>
        <v>08/29/2020 06:18:58.091</v>
      </c>
      <c r="C2409" t="str">
        <f t="shared" si="779"/>
        <v>FFDFD3C0</v>
      </c>
      <c r="D2409" t="s">
        <v>121</v>
      </c>
      <c r="E2409">
        <v>10</v>
      </c>
      <c r="F2409">
        <v>1010</v>
      </c>
      <c r="G2409" t="s">
        <v>114</v>
      </c>
      <c r="J2409" t="s">
        <v>123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802"/>
        <v>06:19:01.281</v>
      </c>
      <c r="U2409" t="str">
        <f t="shared" si="780"/>
        <v>A7E2E0</v>
      </c>
      <c r="V2409">
        <v>0</v>
      </c>
      <c r="W2409">
        <v>0</v>
      </c>
      <c r="X2409">
        <v>1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0</v>
      </c>
      <c r="AI2409" t="s">
        <v>1331</v>
      </c>
      <c r="AJ2409">
        <v>38.927221000000003</v>
      </c>
      <c r="AK2409" t="s">
        <v>1332</v>
      </c>
      <c r="AL2409">
        <v>-87.613027000000002</v>
      </c>
      <c r="AM2409">
        <v>100</v>
      </c>
      <c r="AN2409">
        <v>2500</v>
      </c>
      <c r="AO2409" t="s">
        <v>118</v>
      </c>
      <c r="AP2409">
        <v>12</v>
      </c>
      <c r="AQ2409">
        <v>-153</v>
      </c>
      <c r="AR2409">
        <v>-64</v>
      </c>
      <c r="AZ2409">
        <v>4552</v>
      </c>
      <c r="BA2409">
        <v>1</v>
      </c>
      <c r="BB2409" t="str">
        <f t="shared" si="781"/>
        <v xml:space="preserve">N607SR  </v>
      </c>
      <c r="BC2409">
        <v>1</v>
      </c>
      <c r="BE2409">
        <v>0</v>
      </c>
      <c r="BF2409">
        <v>0</v>
      </c>
      <c r="BG2409">
        <v>0</v>
      </c>
      <c r="BH2409">
        <v>2250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>"06:19:01.281"</f>
        <v>06:19:01.281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5</v>
      </c>
      <c r="CP2409" t="s">
        <v>119</v>
      </c>
      <c r="CQ2409">
        <v>517</v>
      </c>
      <c r="CR2409">
        <v>1</v>
      </c>
      <c r="CW2409">
        <v>2485951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 t="shared" ref="A2410:A2415" si="803">"08/29/2020 06:18:58.988"</f>
        <v>08/29/2020 06:18:58.988</v>
      </c>
      <c r="C2410" t="str">
        <f t="shared" si="779"/>
        <v>FFDFD3C0</v>
      </c>
      <c r="D2410" t="s">
        <v>121</v>
      </c>
      <c r="E2410">
        <v>11</v>
      </c>
      <c r="F2410">
        <v>1011</v>
      </c>
      <c r="G2410" t="s">
        <v>125</v>
      </c>
      <c r="J2410" t="s">
        <v>123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ref="S2410:S2415" si="804">"06:19:02.234"</f>
        <v>06:19:02.234</v>
      </c>
      <c r="T2410" t="str">
        <f t="shared" ref="T2410:T2415" si="805">"06:19:01.834"</f>
        <v>06:19:01.834</v>
      </c>
      <c r="U2410" t="str">
        <f t="shared" si="780"/>
        <v>A7E2E0</v>
      </c>
      <c r="V2410">
        <v>0</v>
      </c>
      <c r="W2410">
        <v>0</v>
      </c>
      <c r="X2410">
        <v>1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0</v>
      </c>
      <c r="AI2410" t="s">
        <v>1333</v>
      </c>
      <c r="AJ2410">
        <v>38.926513</v>
      </c>
      <c r="AK2410" t="s">
        <v>1334</v>
      </c>
      <c r="AL2410">
        <v>-87.612920000000003</v>
      </c>
      <c r="AM2410">
        <v>100</v>
      </c>
      <c r="AN2410">
        <v>2500</v>
      </c>
      <c r="AO2410" t="s">
        <v>118</v>
      </c>
      <c r="AP2410">
        <v>12</v>
      </c>
      <c r="AQ2410">
        <v>-153</v>
      </c>
      <c r="AR2410">
        <v>-64</v>
      </c>
      <c r="AZ2410">
        <v>4552</v>
      </c>
      <c r="BA2410">
        <v>1</v>
      </c>
      <c r="BB2410" t="str">
        <f t="shared" si="781"/>
        <v xml:space="preserve">N607SR  </v>
      </c>
      <c r="BC2410">
        <v>1</v>
      </c>
      <c r="BE2410">
        <v>0</v>
      </c>
      <c r="BF2410">
        <v>0</v>
      </c>
      <c r="BG2410">
        <v>0</v>
      </c>
      <c r="BH2410">
        <v>2250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 t="shared" ref="BW2410:BW2415" si="806">"06:19:02.235"</f>
        <v>06:19:02.235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6</v>
      </c>
      <c r="CP2410" t="s">
        <v>119</v>
      </c>
      <c r="CQ2410">
        <v>177</v>
      </c>
      <c r="CR2410">
        <v>2</v>
      </c>
      <c r="CW2410">
        <v>1671113</v>
      </c>
      <c r="CY2410">
        <v>1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 t="shared" si="803"/>
        <v>08/29/2020 06:18:58.988</v>
      </c>
      <c r="C2411" t="str">
        <f t="shared" si="779"/>
        <v>FFDFD3C0</v>
      </c>
      <c r="D2411" t="s">
        <v>121</v>
      </c>
      <c r="E2411">
        <v>13</v>
      </c>
      <c r="F2411">
        <v>1013</v>
      </c>
      <c r="G2411" t="s">
        <v>122</v>
      </c>
      <c r="J2411" t="s">
        <v>123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804"/>
        <v>06:19:02.234</v>
      </c>
      <c r="T2411" t="str">
        <f t="shared" si="805"/>
        <v>06:19:01.834</v>
      </c>
      <c r="U2411" t="str">
        <f t="shared" si="780"/>
        <v>A7E2E0</v>
      </c>
      <c r="V2411">
        <v>0</v>
      </c>
      <c r="W2411">
        <v>0</v>
      </c>
      <c r="X2411">
        <v>1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0</v>
      </c>
      <c r="AI2411" t="s">
        <v>1333</v>
      </c>
      <c r="AJ2411">
        <v>38.926513</v>
      </c>
      <c r="AK2411" t="s">
        <v>1334</v>
      </c>
      <c r="AL2411">
        <v>-87.612920000000003</v>
      </c>
      <c r="AM2411">
        <v>100</v>
      </c>
      <c r="AN2411">
        <v>2500</v>
      </c>
      <c r="AO2411" t="s">
        <v>118</v>
      </c>
      <c r="AP2411">
        <v>12</v>
      </c>
      <c r="AQ2411">
        <v>-153</v>
      </c>
      <c r="AR2411">
        <v>-64</v>
      </c>
      <c r="AZ2411">
        <v>4552</v>
      </c>
      <c r="BA2411">
        <v>1</v>
      </c>
      <c r="BB2411" t="str">
        <f t="shared" si="781"/>
        <v xml:space="preserve">N607SR  </v>
      </c>
      <c r="BC2411">
        <v>1</v>
      </c>
      <c r="BE2411">
        <v>0</v>
      </c>
      <c r="BF2411">
        <v>0</v>
      </c>
      <c r="BG2411">
        <v>0</v>
      </c>
      <c r="BH2411">
        <v>2350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 t="shared" si="806"/>
        <v>06:19:02.235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6</v>
      </c>
      <c r="CP2411" t="s">
        <v>119</v>
      </c>
      <c r="CQ2411">
        <v>465</v>
      </c>
      <c r="CR2411">
        <v>0</v>
      </c>
      <c r="CW2411">
        <v>4725919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 t="shared" si="803"/>
        <v>08/29/2020 06:18:58.988</v>
      </c>
      <c r="C2412" t="str">
        <f t="shared" si="779"/>
        <v>FFDFD3C0</v>
      </c>
      <c r="D2412" t="s">
        <v>939</v>
      </c>
      <c r="E2412">
        <v>10</v>
      </c>
      <c r="H2412">
        <v>79</v>
      </c>
      <c r="I2412" t="s">
        <v>940</v>
      </c>
      <c r="J2412" t="s">
        <v>130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804"/>
        <v>06:19:02.234</v>
      </c>
      <c r="T2412" t="str">
        <f t="shared" si="805"/>
        <v>06:19:01.834</v>
      </c>
      <c r="U2412" t="str">
        <f t="shared" si="780"/>
        <v>A7E2E0</v>
      </c>
      <c r="V2412">
        <v>0</v>
      </c>
      <c r="W2412">
        <v>0</v>
      </c>
      <c r="X2412">
        <v>1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0</v>
      </c>
      <c r="AI2412" t="s">
        <v>1333</v>
      </c>
      <c r="AJ2412">
        <v>38.926513</v>
      </c>
      <c r="AK2412" t="s">
        <v>1334</v>
      </c>
      <c r="AL2412">
        <v>-87.612920000000003</v>
      </c>
      <c r="AM2412">
        <v>100</v>
      </c>
      <c r="AN2412">
        <v>2500</v>
      </c>
      <c r="AO2412" t="s">
        <v>118</v>
      </c>
      <c r="AP2412">
        <v>12</v>
      </c>
      <c r="AQ2412">
        <v>-153</v>
      </c>
      <c r="AR2412">
        <v>-64</v>
      </c>
      <c r="AZ2412">
        <v>4552</v>
      </c>
      <c r="BA2412">
        <v>1</v>
      </c>
      <c r="BB2412" t="str">
        <f t="shared" si="781"/>
        <v xml:space="preserve">N607SR  </v>
      </c>
      <c r="BC2412">
        <v>1</v>
      </c>
      <c r="BE2412">
        <v>0</v>
      </c>
      <c r="BF2412">
        <v>0</v>
      </c>
      <c r="BG2412">
        <v>0</v>
      </c>
      <c r="BH2412">
        <v>2350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 t="shared" si="806"/>
        <v>06:19:02.235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6</v>
      </c>
      <c r="CP2412" t="s">
        <v>119</v>
      </c>
      <c r="CQ2412">
        <v>465</v>
      </c>
      <c r="CR2412">
        <v>0</v>
      </c>
      <c r="CW2412">
        <v>4725919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 t="shared" si="803"/>
        <v>08/29/2020 06:18:58.988</v>
      </c>
      <c r="C2413" t="str">
        <f t="shared" si="779"/>
        <v>FFDFD3C0</v>
      </c>
      <c r="D2413" t="s">
        <v>113</v>
      </c>
      <c r="E2413">
        <v>5</v>
      </c>
      <c r="H2413">
        <v>163</v>
      </c>
      <c r="I2413" t="s">
        <v>114</v>
      </c>
      <c r="J2413" t="s">
        <v>115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804"/>
        <v>06:19:02.234</v>
      </c>
      <c r="T2413" t="str">
        <f t="shared" si="805"/>
        <v>06:19:01.834</v>
      </c>
      <c r="U2413" t="str">
        <f t="shared" si="780"/>
        <v>A7E2E0</v>
      </c>
      <c r="V2413">
        <v>0</v>
      </c>
      <c r="W2413">
        <v>0</v>
      </c>
      <c r="X2413">
        <v>1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0</v>
      </c>
      <c r="AI2413" t="s">
        <v>1333</v>
      </c>
      <c r="AJ2413">
        <v>38.926513</v>
      </c>
      <c r="AK2413" t="s">
        <v>1334</v>
      </c>
      <c r="AL2413">
        <v>-87.612920000000003</v>
      </c>
      <c r="AM2413">
        <v>100</v>
      </c>
      <c r="AN2413">
        <v>2500</v>
      </c>
      <c r="AO2413" t="s">
        <v>118</v>
      </c>
      <c r="AP2413">
        <v>12</v>
      </c>
      <c r="AQ2413">
        <v>-153</v>
      </c>
      <c r="AR2413">
        <v>-64</v>
      </c>
      <c r="AZ2413">
        <v>4552</v>
      </c>
      <c r="BA2413">
        <v>1</v>
      </c>
      <c r="BB2413" t="str">
        <f t="shared" si="781"/>
        <v xml:space="preserve">N607SR  </v>
      </c>
      <c r="BC2413">
        <v>1</v>
      </c>
      <c r="BE2413">
        <v>0</v>
      </c>
      <c r="BF2413">
        <v>0</v>
      </c>
      <c r="BG2413">
        <v>0</v>
      </c>
      <c r="BH2413">
        <v>2350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 t="shared" si="806"/>
        <v>06:19:02.235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6</v>
      </c>
      <c r="CP2413" t="s">
        <v>119</v>
      </c>
      <c r="CQ2413">
        <v>465</v>
      </c>
      <c r="CR2413">
        <v>0</v>
      </c>
      <c r="CW2413">
        <v>4725919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 t="shared" si="803"/>
        <v>08/29/2020 06:18:58.988</v>
      </c>
      <c r="C2414" t="str">
        <f t="shared" si="779"/>
        <v>FFDFD3C0</v>
      </c>
      <c r="D2414" t="s">
        <v>121</v>
      </c>
      <c r="E2414">
        <v>10</v>
      </c>
      <c r="F2414">
        <v>1010</v>
      </c>
      <c r="G2414" t="s">
        <v>114</v>
      </c>
      <c r="J2414" t="s">
        <v>123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804"/>
        <v>06:19:02.234</v>
      </c>
      <c r="T2414" t="str">
        <f t="shared" si="805"/>
        <v>06:19:01.834</v>
      </c>
      <c r="U2414" t="str">
        <f t="shared" si="780"/>
        <v>A7E2E0</v>
      </c>
      <c r="V2414">
        <v>0</v>
      </c>
      <c r="W2414">
        <v>0</v>
      </c>
      <c r="X2414">
        <v>1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0</v>
      </c>
      <c r="AI2414" t="s">
        <v>1333</v>
      </c>
      <c r="AJ2414">
        <v>38.926513</v>
      </c>
      <c r="AK2414" t="s">
        <v>1334</v>
      </c>
      <c r="AL2414">
        <v>-87.612920000000003</v>
      </c>
      <c r="AM2414">
        <v>100</v>
      </c>
      <c r="AN2414">
        <v>2500</v>
      </c>
      <c r="AO2414" t="s">
        <v>118</v>
      </c>
      <c r="AP2414">
        <v>12</v>
      </c>
      <c r="AQ2414">
        <v>-153</v>
      </c>
      <c r="AR2414">
        <v>-64</v>
      </c>
      <c r="AZ2414">
        <v>4552</v>
      </c>
      <c r="BA2414">
        <v>1</v>
      </c>
      <c r="BB2414" t="str">
        <f t="shared" si="781"/>
        <v xml:space="preserve">N607SR  </v>
      </c>
      <c r="BC2414">
        <v>1</v>
      </c>
      <c r="BE2414">
        <v>0</v>
      </c>
      <c r="BF2414">
        <v>0</v>
      </c>
      <c r="BG2414">
        <v>0</v>
      </c>
      <c r="BH2414">
        <v>2350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 t="shared" si="806"/>
        <v>06:19:02.235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6</v>
      </c>
      <c r="CP2414" t="s">
        <v>119</v>
      </c>
      <c r="CQ2414">
        <v>465</v>
      </c>
      <c r="CR2414">
        <v>0</v>
      </c>
      <c r="CW2414">
        <v>4725919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 t="shared" si="803"/>
        <v>08/29/2020 06:18:58.988</v>
      </c>
      <c r="C2415" t="str">
        <f t="shared" si="779"/>
        <v>FFDFD3C0</v>
      </c>
      <c r="D2415" t="s">
        <v>128</v>
      </c>
      <c r="E2415">
        <v>5</v>
      </c>
      <c r="H2415">
        <v>241</v>
      </c>
      <c r="I2415" t="s">
        <v>129</v>
      </c>
      <c r="J2415" t="s">
        <v>130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804"/>
        <v>06:19:02.234</v>
      </c>
      <c r="T2415" t="str">
        <f t="shared" si="805"/>
        <v>06:19:01.834</v>
      </c>
      <c r="U2415" t="str">
        <f t="shared" si="780"/>
        <v>A7E2E0</v>
      </c>
      <c r="V2415">
        <v>0</v>
      </c>
      <c r="W2415">
        <v>0</v>
      </c>
      <c r="X2415">
        <v>1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0</v>
      </c>
      <c r="AI2415" t="s">
        <v>1333</v>
      </c>
      <c r="AJ2415">
        <v>38.926513</v>
      </c>
      <c r="AK2415" t="s">
        <v>1334</v>
      </c>
      <c r="AL2415">
        <v>-87.612920000000003</v>
      </c>
      <c r="AM2415">
        <v>100</v>
      </c>
      <c r="AN2415">
        <v>2500</v>
      </c>
      <c r="AO2415" t="s">
        <v>118</v>
      </c>
      <c r="AP2415">
        <v>12</v>
      </c>
      <c r="AQ2415">
        <v>-153</v>
      </c>
      <c r="AR2415">
        <v>-64</v>
      </c>
      <c r="AZ2415">
        <v>4552</v>
      </c>
      <c r="BA2415">
        <v>1</v>
      </c>
      <c r="BB2415" t="str">
        <f t="shared" si="781"/>
        <v xml:space="preserve">N607SR  </v>
      </c>
      <c r="BC2415">
        <v>1</v>
      </c>
      <c r="BE2415">
        <v>0</v>
      </c>
      <c r="BF2415">
        <v>0</v>
      </c>
      <c r="BG2415">
        <v>0</v>
      </c>
      <c r="BH2415">
        <v>2350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 t="shared" si="806"/>
        <v>06:19:02.235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6</v>
      </c>
      <c r="CP2415" t="s">
        <v>119</v>
      </c>
      <c r="CQ2415">
        <v>465</v>
      </c>
      <c r="CR2415">
        <v>0</v>
      </c>
      <c r="CW2415">
        <v>4725919</v>
      </c>
      <c r="CY2415">
        <v>1</v>
      </c>
      <c r="CZ2415">
        <v>0</v>
      </c>
      <c r="DA2415">
        <v>1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 t="shared" ref="A2416:A2421" si="807">"08/29/2020 06:18:59.851"</f>
        <v>08/29/2020 06:18:59.851</v>
      </c>
      <c r="C2416" t="str">
        <f t="shared" si="779"/>
        <v>FFDFD3C0</v>
      </c>
      <c r="D2416" t="s">
        <v>121</v>
      </c>
      <c r="E2416">
        <v>11</v>
      </c>
      <c r="F2416">
        <v>1011</v>
      </c>
      <c r="G2416" t="s">
        <v>125</v>
      </c>
      <c r="J2416" t="s">
        <v>123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ref="S2416:S2421" si="808">"06:19:03.094"</f>
        <v>06:19:03.094</v>
      </c>
      <c r="T2416" t="str">
        <f t="shared" ref="T2416:T2421" si="809">"06:19:02.694"</f>
        <v>06:19:02.694</v>
      </c>
      <c r="U2416" t="str">
        <f t="shared" si="780"/>
        <v>A7E2E0</v>
      </c>
      <c r="V2416">
        <v>0</v>
      </c>
      <c r="W2416">
        <v>0</v>
      </c>
      <c r="X2416">
        <v>1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0</v>
      </c>
      <c r="AI2416" t="s">
        <v>1335</v>
      </c>
      <c r="AJ2416">
        <v>38.925955000000002</v>
      </c>
      <c r="AK2416" t="s">
        <v>1334</v>
      </c>
      <c r="AL2416">
        <v>-87.612920000000003</v>
      </c>
      <c r="AM2416">
        <v>100</v>
      </c>
      <c r="AN2416">
        <v>2400</v>
      </c>
      <c r="AO2416" t="s">
        <v>118</v>
      </c>
      <c r="AP2416">
        <v>12</v>
      </c>
      <c r="AQ2416">
        <v>-152</v>
      </c>
      <c r="AR2416">
        <v>0</v>
      </c>
      <c r="AZ2416">
        <v>4552</v>
      </c>
      <c r="BA2416">
        <v>1</v>
      </c>
      <c r="BB2416" t="str">
        <f t="shared" si="781"/>
        <v xml:space="preserve">N607SR  </v>
      </c>
      <c r="BC2416">
        <v>1</v>
      </c>
      <c r="BE2416">
        <v>0</v>
      </c>
      <c r="BF2416">
        <v>0</v>
      </c>
      <c r="BG2416">
        <v>0</v>
      </c>
      <c r="BH2416">
        <v>2250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 t="shared" ref="BW2416:BW2421" si="810">"06:19:03.097"</f>
        <v>06:19:03.097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6</v>
      </c>
      <c r="CP2416" t="s">
        <v>119</v>
      </c>
      <c r="CQ2416">
        <v>177</v>
      </c>
      <c r="CR2416">
        <v>2</v>
      </c>
      <c r="CW2416">
        <v>1671242</v>
      </c>
      <c r="CY2416">
        <v>1</v>
      </c>
      <c r="CZ2416">
        <v>0</v>
      </c>
      <c r="DA2416">
        <v>0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 t="shared" si="807"/>
        <v>08/29/2020 06:18:59.851</v>
      </c>
      <c r="C2417" t="str">
        <f t="shared" si="779"/>
        <v>FFDFD3C0</v>
      </c>
      <c r="D2417" t="s">
        <v>939</v>
      </c>
      <c r="E2417">
        <v>10</v>
      </c>
      <c r="H2417">
        <v>79</v>
      </c>
      <c r="I2417" t="s">
        <v>940</v>
      </c>
      <c r="J2417" t="s">
        <v>130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808"/>
        <v>06:19:03.094</v>
      </c>
      <c r="T2417" t="str">
        <f t="shared" si="809"/>
        <v>06:19:02.694</v>
      </c>
      <c r="U2417" t="str">
        <f t="shared" si="780"/>
        <v>A7E2E0</v>
      </c>
      <c r="V2417">
        <v>0</v>
      </c>
      <c r="W2417">
        <v>0</v>
      </c>
      <c r="X2417">
        <v>1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0</v>
      </c>
      <c r="AI2417" t="s">
        <v>1335</v>
      </c>
      <c r="AJ2417">
        <v>38.925955000000002</v>
      </c>
      <c r="AK2417" t="s">
        <v>1334</v>
      </c>
      <c r="AL2417">
        <v>-87.612920000000003</v>
      </c>
      <c r="AM2417">
        <v>100</v>
      </c>
      <c r="AN2417">
        <v>2400</v>
      </c>
      <c r="AO2417" t="s">
        <v>118</v>
      </c>
      <c r="AP2417">
        <v>12</v>
      </c>
      <c r="AQ2417">
        <v>-152</v>
      </c>
      <c r="AR2417">
        <v>0</v>
      </c>
      <c r="AZ2417">
        <v>4552</v>
      </c>
      <c r="BA2417">
        <v>1</v>
      </c>
      <c r="BB2417" t="str">
        <f t="shared" si="781"/>
        <v xml:space="preserve">N607SR  </v>
      </c>
      <c r="BC2417">
        <v>1</v>
      </c>
      <c r="BE2417">
        <v>0</v>
      </c>
      <c r="BF2417">
        <v>0</v>
      </c>
      <c r="BG2417">
        <v>0</v>
      </c>
      <c r="BH2417">
        <v>2250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 t="shared" si="810"/>
        <v>06:19:03.097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6</v>
      </c>
      <c r="CP2417" t="s">
        <v>119</v>
      </c>
      <c r="CQ2417">
        <v>465</v>
      </c>
      <c r="CR2417">
        <v>0</v>
      </c>
      <c r="CW2417">
        <v>4725947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 t="shared" si="807"/>
        <v>08/29/2020 06:18:59.851</v>
      </c>
      <c r="C2418" t="str">
        <f t="shared" si="779"/>
        <v>FFDFD3C0</v>
      </c>
      <c r="D2418" t="s">
        <v>121</v>
      </c>
      <c r="E2418">
        <v>13</v>
      </c>
      <c r="F2418">
        <v>1013</v>
      </c>
      <c r="G2418" t="s">
        <v>122</v>
      </c>
      <c r="J2418" t="s">
        <v>123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808"/>
        <v>06:19:03.094</v>
      </c>
      <c r="T2418" t="str">
        <f t="shared" si="809"/>
        <v>06:19:02.694</v>
      </c>
      <c r="U2418" t="str">
        <f t="shared" si="780"/>
        <v>A7E2E0</v>
      </c>
      <c r="V2418">
        <v>0</v>
      </c>
      <c r="W2418">
        <v>0</v>
      </c>
      <c r="X2418">
        <v>1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0</v>
      </c>
      <c r="AI2418" t="s">
        <v>1335</v>
      </c>
      <c r="AJ2418">
        <v>38.925955000000002</v>
      </c>
      <c r="AK2418" t="s">
        <v>1334</v>
      </c>
      <c r="AL2418">
        <v>-87.612920000000003</v>
      </c>
      <c r="AM2418">
        <v>100</v>
      </c>
      <c r="AN2418">
        <v>2400</v>
      </c>
      <c r="AO2418" t="s">
        <v>118</v>
      </c>
      <c r="AP2418">
        <v>12</v>
      </c>
      <c r="AQ2418">
        <v>-152</v>
      </c>
      <c r="AR2418">
        <v>0</v>
      </c>
      <c r="AZ2418">
        <v>4552</v>
      </c>
      <c r="BA2418">
        <v>1</v>
      </c>
      <c r="BB2418" t="str">
        <f t="shared" si="781"/>
        <v xml:space="preserve">N607SR  </v>
      </c>
      <c r="BC2418">
        <v>1</v>
      </c>
      <c r="BE2418">
        <v>0</v>
      </c>
      <c r="BF2418">
        <v>0</v>
      </c>
      <c r="BG2418">
        <v>0</v>
      </c>
      <c r="BH2418">
        <v>2250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 t="shared" si="810"/>
        <v>06:19:03.097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6</v>
      </c>
      <c r="CP2418" t="s">
        <v>119</v>
      </c>
      <c r="CQ2418">
        <v>465</v>
      </c>
      <c r="CR2418">
        <v>0</v>
      </c>
      <c r="CW2418">
        <v>4725947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 t="shared" si="807"/>
        <v>08/29/2020 06:18:59.851</v>
      </c>
      <c r="C2419" t="str">
        <f t="shared" si="779"/>
        <v>FFDFD3C0</v>
      </c>
      <c r="D2419" t="s">
        <v>113</v>
      </c>
      <c r="E2419">
        <v>5</v>
      </c>
      <c r="H2419">
        <v>163</v>
      </c>
      <c r="I2419" t="s">
        <v>114</v>
      </c>
      <c r="J2419" t="s">
        <v>115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808"/>
        <v>06:19:03.094</v>
      </c>
      <c r="T2419" t="str">
        <f t="shared" si="809"/>
        <v>06:19:02.694</v>
      </c>
      <c r="U2419" t="str">
        <f t="shared" si="780"/>
        <v>A7E2E0</v>
      </c>
      <c r="V2419">
        <v>0</v>
      </c>
      <c r="W2419">
        <v>0</v>
      </c>
      <c r="X2419">
        <v>1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0</v>
      </c>
      <c r="AI2419" t="s">
        <v>1335</v>
      </c>
      <c r="AJ2419">
        <v>38.925955000000002</v>
      </c>
      <c r="AK2419" t="s">
        <v>1334</v>
      </c>
      <c r="AL2419">
        <v>-87.612920000000003</v>
      </c>
      <c r="AM2419">
        <v>100</v>
      </c>
      <c r="AN2419">
        <v>2400</v>
      </c>
      <c r="AO2419" t="s">
        <v>118</v>
      </c>
      <c r="AP2419">
        <v>12</v>
      </c>
      <c r="AQ2419">
        <v>-152</v>
      </c>
      <c r="AR2419">
        <v>0</v>
      </c>
      <c r="AZ2419">
        <v>4552</v>
      </c>
      <c r="BA2419">
        <v>1</v>
      </c>
      <c r="BB2419" t="str">
        <f t="shared" si="781"/>
        <v xml:space="preserve">N607SR  </v>
      </c>
      <c r="BC2419">
        <v>1</v>
      </c>
      <c r="BE2419">
        <v>0</v>
      </c>
      <c r="BF2419">
        <v>0</v>
      </c>
      <c r="BG2419">
        <v>0</v>
      </c>
      <c r="BH2419">
        <v>2250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 t="shared" si="810"/>
        <v>06:19:03.097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6</v>
      </c>
      <c r="CP2419" t="s">
        <v>119</v>
      </c>
      <c r="CQ2419">
        <v>465</v>
      </c>
      <c r="CR2419">
        <v>0</v>
      </c>
      <c r="CW2419">
        <v>4725947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 t="shared" si="807"/>
        <v>08/29/2020 06:18:59.851</v>
      </c>
      <c r="C2420" t="str">
        <f t="shared" si="779"/>
        <v>FFDFD3C0</v>
      </c>
      <c r="D2420" t="s">
        <v>121</v>
      </c>
      <c r="E2420">
        <v>10</v>
      </c>
      <c r="F2420">
        <v>1010</v>
      </c>
      <c r="G2420" t="s">
        <v>114</v>
      </c>
      <c r="J2420" t="s">
        <v>123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808"/>
        <v>06:19:03.094</v>
      </c>
      <c r="T2420" t="str">
        <f t="shared" si="809"/>
        <v>06:19:02.694</v>
      </c>
      <c r="U2420" t="str">
        <f t="shared" si="780"/>
        <v>A7E2E0</v>
      </c>
      <c r="V2420">
        <v>0</v>
      </c>
      <c r="W2420">
        <v>0</v>
      </c>
      <c r="X2420">
        <v>1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0</v>
      </c>
      <c r="AI2420" t="s">
        <v>1335</v>
      </c>
      <c r="AJ2420">
        <v>38.925955000000002</v>
      </c>
      <c r="AK2420" t="s">
        <v>1334</v>
      </c>
      <c r="AL2420">
        <v>-87.612920000000003</v>
      </c>
      <c r="AM2420">
        <v>100</v>
      </c>
      <c r="AN2420">
        <v>2400</v>
      </c>
      <c r="AO2420" t="s">
        <v>118</v>
      </c>
      <c r="AP2420">
        <v>12</v>
      </c>
      <c r="AQ2420">
        <v>-152</v>
      </c>
      <c r="AR2420">
        <v>0</v>
      </c>
      <c r="AZ2420">
        <v>4552</v>
      </c>
      <c r="BA2420">
        <v>1</v>
      </c>
      <c r="BB2420" t="str">
        <f t="shared" si="781"/>
        <v xml:space="preserve">N607SR  </v>
      </c>
      <c r="BC2420">
        <v>1</v>
      </c>
      <c r="BE2420">
        <v>0</v>
      </c>
      <c r="BF2420">
        <v>0</v>
      </c>
      <c r="BG2420">
        <v>0</v>
      </c>
      <c r="BH2420">
        <v>2250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 t="shared" si="810"/>
        <v>06:19:03.097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6</v>
      </c>
      <c r="CP2420" t="s">
        <v>119</v>
      </c>
      <c r="CQ2420">
        <v>465</v>
      </c>
      <c r="CR2420">
        <v>0</v>
      </c>
      <c r="CW2420">
        <v>4725947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 t="shared" si="807"/>
        <v>08/29/2020 06:18:59.851</v>
      </c>
      <c r="C2421" t="str">
        <f t="shared" si="779"/>
        <v>FFDFD3C0</v>
      </c>
      <c r="D2421" t="s">
        <v>128</v>
      </c>
      <c r="E2421">
        <v>5</v>
      </c>
      <c r="H2421">
        <v>241</v>
      </c>
      <c r="I2421" t="s">
        <v>129</v>
      </c>
      <c r="J2421" t="s">
        <v>130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808"/>
        <v>06:19:03.094</v>
      </c>
      <c r="T2421" t="str">
        <f t="shared" si="809"/>
        <v>06:19:02.694</v>
      </c>
      <c r="U2421" t="str">
        <f t="shared" si="780"/>
        <v>A7E2E0</v>
      </c>
      <c r="V2421">
        <v>0</v>
      </c>
      <c r="W2421">
        <v>0</v>
      </c>
      <c r="X2421">
        <v>1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0</v>
      </c>
      <c r="AI2421" t="s">
        <v>1335</v>
      </c>
      <c r="AJ2421">
        <v>38.925955000000002</v>
      </c>
      <c r="AK2421" t="s">
        <v>1334</v>
      </c>
      <c r="AL2421">
        <v>-87.612920000000003</v>
      </c>
      <c r="AM2421">
        <v>100</v>
      </c>
      <c r="AN2421">
        <v>2400</v>
      </c>
      <c r="AO2421" t="s">
        <v>118</v>
      </c>
      <c r="AP2421">
        <v>12</v>
      </c>
      <c r="AQ2421">
        <v>-152</v>
      </c>
      <c r="AR2421">
        <v>0</v>
      </c>
      <c r="AZ2421">
        <v>4552</v>
      </c>
      <c r="BA2421">
        <v>1</v>
      </c>
      <c r="BB2421" t="str">
        <f t="shared" si="781"/>
        <v xml:space="preserve">N607SR  </v>
      </c>
      <c r="BC2421">
        <v>1</v>
      </c>
      <c r="BE2421">
        <v>0</v>
      </c>
      <c r="BF2421">
        <v>0</v>
      </c>
      <c r="BG2421">
        <v>0</v>
      </c>
      <c r="BH2421">
        <v>2250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 t="shared" si="810"/>
        <v>06:19:03.097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6</v>
      </c>
      <c r="CP2421" t="s">
        <v>119</v>
      </c>
      <c r="CQ2421">
        <v>465</v>
      </c>
      <c r="CR2421">
        <v>0</v>
      </c>
      <c r="CW2421">
        <v>4725947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 t="shared" ref="A2422:A2427" si="811">"08/29/2020 06:19:00.837"</f>
        <v>08/29/2020 06:19:00.837</v>
      </c>
      <c r="C2422" t="str">
        <f t="shared" si="779"/>
        <v>FFDFD3C0</v>
      </c>
      <c r="D2422" t="s">
        <v>128</v>
      </c>
      <c r="E2422">
        <v>5</v>
      </c>
      <c r="H2422">
        <v>241</v>
      </c>
      <c r="I2422" t="s">
        <v>129</v>
      </c>
      <c r="J2422" t="s">
        <v>130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ref="S2422:S2427" si="812">"06:19:04.078"</f>
        <v>06:19:04.078</v>
      </c>
      <c r="T2422" t="str">
        <f t="shared" ref="T2422:T2427" si="813">"06:19:03.678"</f>
        <v>06:19:03.678</v>
      </c>
      <c r="U2422" t="str">
        <f t="shared" si="780"/>
        <v>A7E2E0</v>
      </c>
      <c r="V2422">
        <v>0</v>
      </c>
      <c r="W2422">
        <v>0</v>
      </c>
      <c r="X2422">
        <v>1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0</v>
      </c>
      <c r="AI2422" t="s">
        <v>1336</v>
      </c>
      <c r="AJ2422">
        <v>38.925269</v>
      </c>
      <c r="AK2422" t="s">
        <v>1337</v>
      </c>
      <c r="AL2422">
        <v>-87.612791000000001</v>
      </c>
      <c r="AM2422">
        <v>100</v>
      </c>
      <c r="AN2422">
        <v>2400</v>
      </c>
      <c r="AO2422" t="s">
        <v>118</v>
      </c>
      <c r="AP2422">
        <v>13</v>
      </c>
      <c r="AQ2422">
        <v>-151</v>
      </c>
      <c r="AR2422">
        <v>0</v>
      </c>
      <c r="AZ2422">
        <v>4552</v>
      </c>
      <c r="BA2422">
        <v>1</v>
      </c>
      <c r="BB2422" t="str">
        <f t="shared" si="781"/>
        <v xml:space="preserve">N607SR  </v>
      </c>
      <c r="BC2422">
        <v>1</v>
      </c>
      <c r="BE2422">
        <v>0</v>
      </c>
      <c r="BF2422">
        <v>0</v>
      </c>
      <c r="BG2422">
        <v>0</v>
      </c>
      <c r="BH2422">
        <v>2150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 t="shared" ref="BW2422:BW2427" si="814">"06:19:04.082"</f>
        <v>06:19:04.082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6</v>
      </c>
      <c r="CP2422" t="s">
        <v>119</v>
      </c>
      <c r="CQ2422">
        <v>465</v>
      </c>
      <c r="CR2422">
        <v>0</v>
      </c>
      <c r="CW2422">
        <v>4725977</v>
      </c>
      <c r="CY2422">
        <v>1</v>
      </c>
      <c r="CZ2422">
        <v>0</v>
      </c>
      <c r="DA2422">
        <v>0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 t="shared" si="811"/>
        <v>08/29/2020 06:19:00.837</v>
      </c>
      <c r="C2423" t="str">
        <f t="shared" si="779"/>
        <v>FFDFD3C0</v>
      </c>
      <c r="D2423" t="s">
        <v>939</v>
      </c>
      <c r="E2423">
        <v>10</v>
      </c>
      <c r="H2423">
        <v>79</v>
      </c>
      <c r="I2423" t="s">
        <v>940</v>
      </c>
      <c r="J2423" t="s">
        <v>130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812"/>
        <v>06:19:04.078</v>
      </c>
      <c r="T2423" t="str">
        <f t="shared" si="813"/>
        <v>06:19:03.678</v>
      </c>
      <c r="U2423" t="str">
        <f t="shared" si="780"/>
        <v>A7E2E0</v>
      </c>
      <c r="V2423">
        <v>0</v>
      </c>
      <c r="W2423">
        <v>0</v>
      </c>
      <c r="X2423">
        <v>1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0</v>
      </c>
      <c r="AI2423" t="s">
        <v>1336</v>
      </c>
      <c r="AJ2423">
        <v>38.925269</v>
      </c>
      <c r="AK2423" t="s">
        <v>1337</v>
      </c>
      <c r="AL2423">
        <v>-87.612791000000001</v>
      </c>
      <c r="AM2423">
        <v>100</v>
      </c>
      <c r="AN2423">
        <v>2400</v>
      </c>
      <c r="AO2423" t="s">
        <v>118</v>
      </c>
      <c r="AP2423">
        <v>13</v>
      </c>
      <c r="AQ2423">
        <v>-151</v>
      </c>
      <c r="AR2423">
        <v>0</v>
      </c>
      <c r="AZ2423">
        <v>4552</v>
      </c>
      <c r="BA2423">
        <v>1</v>
      </c>
      <c r="BB2423" t="str">
        <f t="shared" si="781"/>
        <v xml:space="preserve">N607SR  </v>
      </c>
      <c r="BC2423">
        <v>1</v>
      </c>
      <c r="BE2423">
        <v>0</v>
      </c>
      <c r="BF2423">
        <v>0</v>
      </c>
      <c r="BG2423">
        <v>0</v>
      </c>
      <c r="BH2423">
        <v>2150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 t="shared" si="814"/>
        <v>06:19:04.082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6</v>
      </c>
      <c r="CP2423" t="s">
        <v>119</v>
      </c>
      <c r="CQ2423">
        <v>465</v>
      </c>
      <c r="CR2423">
        <v>0</v>
      </c>
      <c r="CW2423">
        <v>4725977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 t="shared" si="811"/>
        <v>08/29/2020 06:19:00.837</v>
      </c>
      <c r="C2424" t="str">
        <f t="shared" si="779"/>
        <v>FFDFD3C0</v>
      </c>
      <c r="D2424" t="s">
        <v>121</v>
      </c>
      <c r="E2424">
        <v>11</v>
      </c>
      <c r="F2424">
        <v>1011</v>
      </c>
      <c r="G2424" t="s">
        <v>125</v>
      </c>
      <c r="J2424" t="s">
        <v>123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812"/>
        <v>06:19:04.078</v>
      </c>
      <c r="T2424" t="str">
        <f t="shared" si="813"/>
        <v>06:19:03.678</v>
      </c>
      <c r="U2424" t="str">
        <f t="shared" si="780"/>
        <v>A7E2E0</v>
      </c>
      <c r="V2424">
        <v>0</v>
      </c>
      <c r="W2424">
        <v>0</v>
      </c>
      <c r="X2424">
        <v>1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0</v>
      </c>
      <c r="AI2424" t="s">
        <v>1336</v>
      </c>
      <c r="AJ2424">
        <v>38.925269</v>
      </c>
      <c r="AK2424" t="s">
        <v>1337</v>
      </c>
      <c r="AL2424">
        <v>-87.612791000000001</v>
      </c>
      <c r="AM2424">
        <v>100</v>
      </c>
      <c r="AN2424">
        <v>2400</v>
      </c>
      <c r="AO2424" t="s">
        <v>118</v>
      </c>
      <c r="AP2424">
        <v>13</v>
      </c>
      <c r="AQ2424">
        <v>-151</v>
      </c>
      <c r="AR2424">
        <v>0</v>
      </c>
      <c r="AZ2424">
        <v>4552</v>
      </c>
      <c r="BA2424">
        <v>1</v>
      </c>
      <c r="BB2424" t="str">
        <f t="shared" si="781"/>
        <v xml:space="preserve">N607SR  </v>
      </c>
      <c r="BC2424">
        <v>1</v>
      </c>
      <c r="BE2424">
        <v>0</v>
      </c>
      <c r="BF2424">
        <v>0</v>
      </c>
      <c r="BG2424">
        <v>0</v>
      </c>
      <c r="BH2424">
        <v>2250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 t="shared" si="814"/>
        <v>06:19:04.082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6</v>
      </c>
      <c r="CP2424" t="s">
        <v>119</v>
      </c>
      <c r="CQ2424">
        <v>177</v>
      </c>
      <c r="CR2424">
        <v>2</v>
      </c>
      <c r="CW2424">
        <v>1671402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 t="shared" si="811"/>
        <v>08/29/2020 06:19:00.837</v>
      </c>
      <c r="C2425" t="str">
        <f t="shared" si="779"/>
        <v>FFDFD3C0</v>
      </c>
      <c r="D2425" t="s">
        <v>121</v>
      </c>
      <c r="E2425">
        <v>13</v>
      </c>
      <c r="F2425">
        <v>1013</v>
      </c>
      <c r="G2425" t="s">
        <v>122</v>
      </c>
      <c r="J2425" t="s">
        <v>123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812"/>
        <v>06:19:04.078</v>
      </c>
      <c r="T2425" t="str">
        <f t="shared" si="813"/>
        <v>06:19:03.678</v>
      </c>
      <c r="U2425" t="str">
        <f t="shared" si="780"/>
        <v>A7E2E0</v>
      </c>
      <c r="V2425">
        <v>0</v>
      </c>
      <c r="W2425">
        <v>0</v>
      </c>
      <c r="X2425">
        <v>1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0</v>
      </c>
      <c r="AI2425" t="s">
        <v>1336</v>
      </c>
      <c r="AJ2425">
        <v>38.925269</v>
      </c>
      <c r="AK2425" t="s">
        <v>1337</v>
      </c>
      <c r="AL2425">
        <v>-87.612791000000001</v>
      </c>
      <c r="AM2425">
        <v>100</v>
      </c>
      <c r="AN2425">
        <v>2400</v>
      </c>
      <c r="AO2425" t="s">
        <v>118</v>
      </c>
      <c r="AP2425">
        <v>13</v>
      </c>
      <c r="AQ2425">
        <v>-151</v>
      </c>
      <c r="AR2425">
        <v>0</v>
      </c>
      <c r="AZ2425">
        <v>4552</v>
      </c>
      <c r="BA2425">
        <v>1</v>
      </c>
      <c r="BB2425" t="str">
        <f t="shared" si="781"/>
        <v xml:space="preserve">N607SR  </v>
      </c>
      <c r="BC2425">
        <v>1</v>
      </c>
      <c r="BE2425">
        <v>0</v>
      </c>
      <c r="BF2425">
        <v>0</v>
      </c>
      <c r="BG2425">
        <v>0</v>
      </c>
      <c r="BH2425">
        <v>2150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 t="shared" si="814"/>
        <v>06:19:04.082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6</v>
      </c>
      <c r="CP2425" t="s">
        <v>119</v>
      </c>
      <c r="CQ2425">
        <v>465</v>
      </c>
      <c r="CR2425">
        <v>0</v>
      </c>
      <c r="CW2425">
        <v>4725977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 t="shared" si="811"/>
        <v>08/29/2020 06:19:00.837</v>
      </c>
      <c r="C2426" t="str">
        <f t="shared" si="779"/>
        <v>FFDFD3C0</v>
      </c>
      <c r="D2426" t="s">
        <v>113</v>
      </c>
      <c r="E2426">
        <v>5</v>
      </c>
      <c r="H2426">
        <v>163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812"/>
        <v>06:19:04.078</v>
      </c>
      <c r="T2426" t="str">
        <f t="shared" si="813"/>
        <v>06:19:03.678</v>
      </c>
      <c r="U2426" t="str">
        <f t="shared" si="780"/>
        <v>A7E2E0</v>
      </c>
      <c r="V2426">
        <v>0</v>
      </c>
      <c r="W2426">
        <v>0</v>
      </c>
      <c r="X2426">
        <v>1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0</v>
      </c>
      <c r="AI2426" t="s">
        <v>1336</v>
      </c>
      <c r="AJ2426">
        <v>38.925269</v>
      </c>
      <c r="AK2426" t="s">
        <v>1337</v>
      </c>
      <c r="AL2426">
        <v>-87.612791000000001</v>
      </c>
      <c r="AM2426">
        <v>100</v>
      </c>
      <c r="AN2426">
        <v>2400</v>
      </c>
      <c r="AO2426" t="s">
        <v>118</v>
      </c>
      <c r="AP2426">
        <v>13</v>
      </c>
      <c r="AQ2426">
        <v>-151</v>
      </c>
      <c r="AR2426">
        <v>0</v>
      </c>
      <c r="AZ2426">
        <v>4552</v>
      </c>
      <c r="BA2426">
        <v>1</v>
      </c>
      <c r="BB2426" t="str">
        <f t="shared" si="781"/>
        <v xml:space="preserve">N607SR  </v>
      </c>
      <c r="BC2426">
        <v>1</v>
      </c>
      <c r="BE2426">
        <v>0</v>
      </c>
      <c r="BF2426">
        <v>0</v>
      </c>
      <c r="BG2426">
        <v>0</v>
      </c>
      <c r="BH2426">
        <v>2150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 t="shared" si="814"/>
        <v>06:19:04.082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6</v>
      </c>
      <c r="CP2426" t="s">
        <v>119</v>
      </c>
      <c r="CQ2426">
        <v>465</v>
      </c>
      <c r="CR2426">
        <v>0</v>
      </c>
      <c r="CW2426">
        <v>4725977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 t="shared" si="811"/>
        <v>08/29/2020 06:19:00.837</v>
      </c>
      <c r="C2427" t="str">
        <f t="shared" si="779"/>
        <v>FFDFD3C0</v>
      </c>
      <c r="D2427" t="s">
        <v>121</v>
      </c>
      <c r="E2427">
        <v>10</v>
      </c>
      <c r="F2427">
        <v>1010</v>
      </c>
      <c r="G2427" t="s">
        <v>114</v>
      </c>
      <c r="J2427" t="s">
        <v>123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812"/>
        <v>06:19:04.078</v>
      </c>
      <c r="T2427" t="str">
        <f t="shared" si="813"/>
        <v>06:19:03.678</v>
      </c>
      <c r="U2427" t="str">
        <f t="shared" si="780"/>
        <v>A7E2E0</v>
      </c>
      <c r="V2427">
        <v>0</v>
      </c>
      <c r="W2427">
        <v>0</v>
      </c>
      <c r="X2427">
        <v>1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0</v>
      </c>
      <c r="AI2427" t="s">
        <v>1336</v>
      </c>
      <c r="AJ2427">
        <v>38.925269</v>
      </c>
      <c r="AK2427" t="s">
        <v>1337</v>
      </c>
      <c r="AL2427">
        <v>-87.612791000000001</v>
      </c>
      <c r="AM2427">
        <v>100</v>
      </c>
      <c r="AN2427">
        <v>2400</v>
      </c>
      <c r="AO2427" t="s">
        <v>118</v>
      </c>
      <c r="AP2427">
        <v>13</v>
      </c>
      <c r="AQ2427">
        <v>-151</v>
      </c>
      <c r="AR2427">
        <v>0</v>
      </c>
      <c r="AZ2427">
        <v>4552</v>
      </c>
      <c r="BA2427">
        <v>1</v>
      </c>
      <c r="BB2427" t="str">
        <f t="shared" si="781"/>
        <v xml:space="preserve">N607SR  </v>
      </c>
      <c r="BC2427">
        <v>1</v>
      </c>
      <c r="BE2427">
        <v>0</v>
      </c>
      <c r="BF2427">
        <v>0</v>
      </c>
      <c r="BG2427">
        <v>0</v>
      </c>
      <c r="BH2427">
        <v>2150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 t="shared" si="814"/>
        <v>06:19:04.082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6</v>
      </c>
      <c r="CP2427" t="s">
        <v>119</v>
      </c>
      <c r="CQ2427">
        <v>465</v>
      </c>
      <c r="CR2427">
        <v>0</v>
      </c>
      <c r="CW2427">
        <v>4725977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 t="shared" ref="A2428:A2433" si="815">"08/29/2020 06:19:01.827"</f>
        <v>08/29/2020 06:19:01.827</v>
      </c>
      <c r="C2428" t="str">
        <f t="shared" si="779"/>
        <v>FFDFD3C0</v>
      </c>
      <c r="D2428" t="s">
        <v>121</v>
      </c>
      <c r="E2428">
        <v>13</v>
      </c>
      <c r="F2428">
        <v>1013</v>
      </c>
      <c r="G2428" t="s">
        <v>122</v>
      </c>
      <c r="J2428" t="s">
        <v>123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ref="S2428:S2433" si="816">"06:19:05.070"</f>
        <v>06:19:05.070</v>
      </c>
      <c r="T2428" t="str">
        <f t="shared" ref="T2428:T2433" si="817">"06:19:04.670"</f>
        <v>06:19:04.670</v>
      </c>
      <c r="U2428" t="str">
        <f t="shared" si="780"/>
        <v>A7E2E0</v>
      </c>
      <c r="V2428">
        <v>0</v>
      </c>
      <c r="W2428">
        <v>0</v>
      </c>
      <c r="X2428">
        <v>1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0</v>
      </c>
      <c r="AI2428" t="s">
        <v>1338</v>
      </c>
      <c r="AJ2428">
        <v>38.924560999999997</v>
      </c>
      <c r="AK2428" t="s">
        <v>1256</v>
      </c>
      <c r="AL2428">
        <v>-87.612727000000007</v>
      </c>
      <c r="AM2428">
        <v>100</v>
      </c>
      <c r="AN2428">
        <v>2500</v>
      </c>
      <c r="AO2428" t="s">
        <v>118</v>
      </c>
      <c r="AP2428">
        <v>13</v>
      </c>
      <c r="AQ2428">
        <v>-151</v>
      </c>
      <c r="AR2428">
        <v>0</v>
      </c>
      <c r="AZ2428">
        <v>4552</v>
      </c>
      <c r="BA2428">
        <v>1</v>
      </c>
      <c r="BB2428" t="str">
        <f t="shared" si="781"/>
        <v xml:space="preserve">N607SR  </v>
      </c>
      <c r="BC2428">
        <v>1</v>
      </c>
      <c r="BE2428">
        <v>0</v>
      </c>
      <c r="BF2428">
        <v>0</v>
      </c>
      <c r="BG2428">
        <v>0</v>
      </c>
      <c r="BH2428">
        <v>2350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>"06:19:05.075"</f>
        <v>06:19:05.075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465</v>
      </c>
      <c r="CR2428">
        <v>0</v>
      </c>
      <c r="CW2428">
        <v>4726006</v>
      </c>
      <c r="CY2428">
        <v>1</v>
      </c>
      <c r="CZ2428">
        <v>0</v>
      </c>
      <c r="DA2428">
        <v>0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 t="shared" si="815"/>
        <v>08/29/2020 06:19:01.827</v>
      </c>
      <c r="C2429" t="str">
        <f t="shared" si="779"/>
        <v>FFDFD3C0</v>
      </c>
      <c r="D2429" t="s">
        <v>121</v>
      </c>
      <c r="E2429">
        <v>11</v>
      </c>
      <c r="F2429">
        <v>1011</v>
      </c>
      <c r="G2429" t="s">
        <v>125</v>
      </c>
      <c r="J2429" t="s">
        <v>123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816"/>
        <v>06:19:05.070</v>
      </c>
      <c r="T2429" t="str">
        <f t="shared" si="817"/>
        <v>06:19:04.670</v>
      </c>
      <c r="U2429" t="str">
        <f t="shared" si="780"/>
        <v>A7E2E0</v>
      </c>
      <c r="V2429">
        <v>0</v>
      </c>
      <c r="W2429">
        <v>0</v>
      </c>
      <c r="X2429">
        <v>1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0</v>
      </c>
      <c r="AI2429" t="s">
        <v>1338</v>
      </c>
      <c r="AJ2429">
        <v>38.924560999999997</v>
      </c>
      <c r="AK2429" t="s">
        <v>1256</v>
      </c>
      <c r="AL2429">
        <v>-87.612727000000007</v>
      </c>
      <c r="AM2429">
        <v>100</v>
      </c>
      <c r="AN2429">
        <v>2500</v>
      </c>
      <c r="AO2429" t="s">
        <v>118</v>
      </c>
      <c r="AP2429">
        <v>13</v>
      </c>
      <c r="AQ2429">
        <v>-151</v>
      </c>
      <c r="AR2429">
        <v>0</v>
      </c>
      <c r="AZ2429">
        <v>4552</v>
      </c>
      <c r="BA2429">
        <v>1</v>
      </c>
      <c r="BB2429" t="str">
        <f t="shared" si="781"/>
        <v xml:space="preserve">N607SR  </v>
      </c>
      <c r="BC2429">
        <v>1</v>
      </c>
      <c r="BE2429">
        <v>0</v>
      </c>
      <c r="BF2429">
        <v>0</v>
      </c>
      <c r="BG2429">
        <v>0</v>
      </c>
      <c r="BH2429">
        <v>2350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>"06:19:05.074"</f>
        <v>06:19:05.074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5</v>
      </c>
      <c r="CP2429" t="s">
        <v>119</v>
      </c>
      <c r="CQ2429">
        <v>457</v>
      </c>
      <c r="CR2429">
        <v>0</v>
      </c>
      <c r="CW2429">
        <v>15521094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 t="shared" si="815"/>
        <v>08/29/2020 06:19:01.827</v>
      </c>
      <c r="C2430" t="str">
        <f t="shared" si="779"/>
        <v>FFDFD3C0</v>
      </c>
      <c r="D2430" t="s">
        <v>113</v>
      </c>
      <c r="E2430">
        <v>5</v>
      </c>
      <c r="H2430">
        <v>163</v>
      </c>
      <c r="I2430" t="s">
        <v>114</v>
      </c>
      <c r="J2430" t="s">
        <v>115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816"/>
        <v>06:19:05.070</v>
      </c>
      <c r="T2430" t="str">
        <f t="shared" si="817"/>
        <v>06:19:04.670</v>
      </c>
      <c r="U2430" t="str">
        <f t="shared" si="780"/>
        <v>A7E2E0</v>
      </c>
      <c r="V2430">
        <v>0</v>
      </c>
      <c r="W2430">
        <v>0</v>
      </c>
      <c r="X2430">
        <v>1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0</v>
      </c>
      <c r="AI2430" t="s">
        <v>1338</v>
      </c>
      <c r="AJ2430">
        <v>38.924560999999997</v>
      </c>
      <c r="AK2430" t="s">
        <v>1256</v>
      </c>
      <c r="AL2430">
        <v>-87.612727000000007</v>
      </c>
      <c r="AM2430">
        <v>100</v>
      </c>
      <c r="AN2430">
        <v>2500</v>
      </c>
      <c r="AO2430" t="s">
        <v>118</v>
      </c>
      <c r="AP2430">
        <v>13</v>
      </c>
      <c r="AQ2430">
        <v>-151</v>
      </c>
      <c r="AR2430">
        <v>0</v>
      </c>
      <c r="AZ2430">
        <v>4552</v>
      </c>
      <c r="BA2430">
        <v>1</v>
      </c>
      <c r="BB2430" t="str">
        <f t="shared" si="781"/>
        <v xml:space="preserve">N607SR  </v>
      </c>
      <c r="BC2430">
        <v>1</v>
      </c>
      <c r="BE2430">
        <v>0</v>
      </c>
      <c r="BF2430">
        <v>0</v>
      </c>
      <c r="BG2430">
        <v>0</v>
      </c>
      <c r="BH2430">
        <v>2350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>"06:19:05.075"</f>
        <v>06:19:05.075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465</v>
      </c>
      <c r="CR2430">
        <v>0</v>
      </c>
      <c r="CW2430">
        <v>4726006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 t="shared" si="815"/>
        <v>08/29/2020 06:19:01.827</v>
      </c>
      <c r="C2431" t="str">
        <f t="shared" si="779"/>
        <v>FFDFD3C0</v>
      </c>
      <c r="D2431" t="s">
        <v>121</v>
      </c>
      <c r="E2431">
        <v>10</v>
      </c>
      <c r="F2431">
        <v>1010</v>
      </c>
      <c r="G2431" t="s">
        <v>114</v>
      </c>
      <c r="J2431" t="s">
        <v>123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816"/>
        <v>06:19:05.070</v>
      </c>
      <c r="T2431" t="str">
        <f t="shared" si="817"/>
        <v>06:19:04.670</v>
      </c>
      <c r="U2431" t="str">
        <f t="shared" si="780"/>
        <v>A7E2E0</v>
      </c>
      <c r="V2431">
        <v>0</v>
      </c>
      <c r="W2431">
        <v>0</v>
      </c>
      <c r="X2431">
        <v>1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0</v>
      </c>
      <c r="AI2431" t="s">
        <v>1338</v>
      </c>
      <c r="AJ2431">
        <v>38.924560999999997</v>
      </c>
      <c r="AK2431" t="s">
        <v>1256</v>
      </c>
      <c r="AL2431">
        <v>-87.612727000000007</v>
      </c>
      <c r="AM2431">
        <v>100</v>
      </c>
      <c r="AN2431">
        <v>2500</v>
      </c>
      <c r="AO2431" t="s">
        <v>118</v>
      </c>
      <c r="AP2431">
        <v>13</v>
      </c>
      <c r="AQ2431">
        <v>-151</v>
      </c>
      <c r="AR2431">
        <v>0</v>
      </c>
      <c r="AZ2431">
        <v>4552</v>
      </c>
      <c r="BA2431">
        <v>1</v>
      </c>
      <c r="BB2431" t="str">
        <f t="shared" si="781"/>
        <v xml:space="preserve">N607SR  </v>
      </c>
      <c r="BC2431">
        <v>1</v>
      </c>
      <c r="BE2431">
        <v>0</v>
      </c>
      <c r="BF2431">
        <v>0</v>
      </c>
      <c r="BG2431">
        <v>0</v>
      </c>
      <c r="BH2431">
        <v>2350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>"06:19:05.075"</f>
        <v>06:19:05.075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465</v>
      </c>
      <c r="CR2431">
        <v>0</v>
      </c>
      <c r="CW2431">
        <v>4726006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 t="shared" si="815"/>
        <v>08/29/2020 06:19:01.827</v>
      </c>
      <c r="C2432" t="str">
        <f t="shared" si="779"/>
        <v>FFDFD3C0</v>
      </c>
      <c r="D2432" t="s">
        <v>128</v>
      </c>
      <c r="E2432">
        <v>5</v>
      </c>
      <c r="H2432">
        <v>241</v>
      </c>
      <c r="I2432" t="s">
        <v>129</v>
      </c>
      <c r="J2432" t="s">
        <v>130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816"/>
        <v>06:19:05.070</v>
      </c>
      <c r="T2432" t="str">
        <f t="shared" si="817"/>
        <v>06:19:04.670</v>
      </c>
      <c r="U2432" t="str">
        <f t="shared" si="780"/>
        <v>A7E2E0</v>
      </c>
      <c r="V2432">
        <v>0</v>
      </c>
      <c r="W2432">
        <v>0</v>
      </c>
      <c r="X2432">
        <v>1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0</v>
      </c>
      <c r="AI2432" t="s">
        <v>1338</v>
      </c>
      <c r="AJ2432">
        <v>38.924560999999997</v>
      </c>
      <c r="AK2432" t="s">
        <v>1256</v>
      </c>
      <c r="AL2432">
        <v>-87.612727000000007</v>
      </c>
      <c r="AM2432">
        <v>100</v>
      </c>
      <c r="AN2432">
        <v>2500</v>
      </c>
      <c r="AO2432" t="s">
        <v>118</v>
      </c>
      <c r="AP2432">
        <v>13</v>
      </c>
      <c r="AQ2432">
        <v>-151</v>
      </c>
      <c r="AR2432">
        <v>0</v>
      </c>
      <c r="AZ2432">
        <v>4552</v>
      </c>
      <c r="BA2432">
        <v>1</v>
      </c>
      <c r="BB2432" t="str">
        <f t="shared" si="781"/>
        <v xml:space="preserve">N607SR  </v>
      </c>
      <c r="BC2432">
        <v>1</v>
      </c>
      <c r="BE2432">
        <v>0</v>
      </c>
      <c r="BF2432">
        <v>0</v>
      </c>
      <c r="BG2432">
        <v>0</v>
      </c>
      <c r="BH2432">
        <v>2350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>"06:19:05.075"</f>
        <v>06:19:05.075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465</v>
      </c>
      <c r="CR2432">
        <v>0</v>
      </c>
      <c r="CW2432">
        <v>4726006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 t="shared" si="815"/>
        <v>08/29/2020 06:19:01.827</v>
      </c>
      <c r="C2433" t="str">
        <f t="shared" si="779"/>
        <v>FFDFD3C0</v>
      </c>
      <c r="D2433" t="s">
        <v>939</v>
      </c>
      <c r="E2433">
        <v>10</v>
      </c>
      <c r="H2433">
        <v>79</v>
      </c>
      <c r="I2433" t="s">
        <v>940</v>
      </c>
      <c r="J2433" t="s">
        <v>130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816"/>
        <v>06:19:05.070</v>
      </c>
      <c r="T2433" t="str">
        <f t="shared" si="817"/>
        <v>06:19:04.670</v>
      </c>
      <c r="U2433" t="str">
        <f t="shared" si="780"/>
        <v>A7E2E0</v>
      </c>
      <c r="V2433">
        <v>0</v>
      </c>
      <c r="W2433">
        <v>0</v>
      </c>
      <c r="X2433">
        <v>1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0</v>
      </c>
      <c r="AI2433" t="s">
        <v>1338</v>
      </c>
      <c r="AJ2433">
        <v>38.924560999999997</v>
      </c>
      <c r="AK2433" t="s">
        <v>1256</v>
      </c>
      <c r="AL2433">
        <v>-87.612727000000007</v>
      </c>
      <c r="AM2433">
        <v>100</v>
      </c>
      <c r="AN2433">
        <v>2500</v>
      </c>
      <c r="AO2433" t="s">
        <v>118</v>
      </c>
      <c r="AP2433">
        <v>13</v>
      </c>
      <c r="AQ2433">
        <v>-151</v>
      </c>
      <c r="AR2433">
        <v>0</v>
      </c>
      <c r="AZ2433">
        <v>4552</v>
      </c>
      <c r="BA2433">
        <v>1</v>
      </c>
      <c r="BB2433" t="str">
        <f t="shared" si="781"/>
        <v xml:space="preserve">N607SR  </v>
      </c>
      <c r="BC2433">
        <v>1</v>
      </c>
      <c r="BE2433">
        <v>0</v>
      </c>
      <c r="BF2433">
        <v>0</v>
      </c>
      <c r="BG2433">
        <v>0</v>
      </c>
      <c r="BH2433">
        <v>2350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>"06:19:05.075"</f>
        <v>06:19:05.075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465</v>
      </c>
      <c r="CR2433">
        <v>0</v>
      </c>
      <c r="CW2433">
        <v>4726006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 t="shared" ref="A2434:A2439" si="818">"08/29/2020 06:19:02.822"</f>
        <v>08/29/2020 06:19:02.822</v>
      </c>
      <c r="C2434" t="str">
        <f t="shared" ref="C2434:C2497" si="819">"FFDFD3C0"</f>
        <v>FFDFD3C0</v>
      </c>
      <c r="D2434" t="s">
        <v>939</v>
      </c>
      <c r="E2434">
        <v>10</v>
      </c>
      <c r="H2434">
        <v>79</v>
      </c>
      <c r="I2434" t="s">
        <v>940</v>
      </c>
      <c r="J2434" t="s">
        <v>130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ref="S2434:S2439" si="820">"06:19:06.063"</f>
        <v>06:19:06.063</v>
      </c>
      <c r="T2434" t="str">
        <f t="shared" ref="T2434:T2439" si="821">"06:19:05.662"</f>
        <v>06:19:05.662</v>
      </c>
      <c r="U2434" t="str">
        <f t="shared" ref="U2434:U2497" si="822">"A7E2E0"</f>
        <v>A7E2E0</v>
      </c>
      <c r="V2434">
        <v>0</v>
      </c>
      <c r="W2434">
        <v>0</v>
      </c>
      <c r="X2434">
        <v>1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0</v>
      </c>
      <c r="AI2434" t="s">
        <v>1339</v>
      </c>
      <c r="AJ2434">
        <v>38.923851999999997</v>
      </c>
      <c r="AK2434" t="s">
        <v>1340</v>
      </c>
      <c r="AL2434">
        <v>-87.612662</v>
      </c>
      <c r="AM2434">
        <v>100</v>
      </c>
      <c r="AN2434">
        <v>2400</v>
      </c>
      <c r="AO2434" t="s">
        <v>118</v>
      </c>
      <c r="AP2434">
        <v>14</v>
      </c>
      <c r="AQ2434">
        <v>-150</v>
      </c>
      <c r="AR2434">
        <v>0</v>
      </c>
      <c r="AZ2434">
        <v>4552</v>
      </c>
      <c r="BA2434">
        <v>1</v>
      </c>
      <c r="BB2434" t="str">
        <f t="shared" ref="BB2434:BB2497" si="823">"N607SR  "</f>
        <v xml:space="preserve">N607SR  </v>
      </c>
      <c r="BC2434">
        <v>1</v>
      </c>
      <c r="BE2434">
        <v>0</v>
      </c>
      <c r="BF2434">
        <v>0</v>
      </c>
      <c r="BG2434">
        <v>0</v>
      </c>
      <c r="BH2434">
        <v>2175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 t="shared" ref="BW2434:BW2439" si="824">"06:19:06.069"</f>
        <v>06:19:06.069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465</v>
      </c>
      <c r="CR2434">
        <v>0</v>
      </c>
      <c r="CW2434">
        <v>4726036</v>
      </c>
      <c r="CY2434">
        <v>1</v>
      </c>
      <c r="CZ2434">
        <v>0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 t="shared" si="818"/>
        <v>08/29/2020 06:19:02.822</v>
      </c>
      <c r="C2435" t="str">
        <f t="shared" si="819"/>
        <v>FFDFD3C0</v>
      </c>
      <c r="D2435" t="s">
        <v>121</v>
      </c>
      <c r="E2435">
        <v>13</v>
      </c>
      <c r="F2435">
        <v>1013</v>
      </c>
      <c r="G2435" t="s">
        <v>122</v>
      </c>
      <c r="J2435" t="s">
        <v>123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820"/>
        <v>06:19:06.063</v>
      </c>
      <c r="T2435" t="str">
        <f t="shared" si="821"/>
        <v>06:19:05.662</v>
      </c>
      <c r="U2435" t="str">
        <f t="shared" si="822"/>
        <v>A7E2E0</v>
      </c>
      <c r="V2435">
        <v>0</v>
      </c>
      <c r="W2435">
        <v>0</v>
      </c>
      <c r="X2435">
        <v>1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0</v>
      </c>
      <c r="AI2435" t="s">
        <v>1339</v>
      </c>
      <c r="AJ2435">
        <v>38.923851999999997</v>
      </c>
      <c r="AK2435" t="s">
        <v>1340</v>
      </c>
      <c r="AL2435">
        <v>-87.612662</v>
      </c>
      <c r="AM2435">
        <v>100</v>
      </c>
      <c r="AN2435">
        <v>2400</v>
      </c>
      <c r="AO2435" t="s">
        <v>118</v>
      </c>
      <c r="AP2435">
        <v>14</v>
      </c>
      <c r="AQ2435">
        <v>-150</v>
      </c>
      <c r="AR2435">
        <v>0</v>
      </c>
      <c r="AZ2435">
        <v>4552</v>
      </c>
      <c r="BA2435">
        <v>1</v>
      </c>
      <c r="BB2435" t="str">
        <f t="shared" si="823"/>
        <v xml:space="preserve">N607SR  </v>
      </c>
      <c r="BC2435">
        <v>1</v>
      </c>
      <c r="BE2435">
        <v>0</v>
      </c>
      <c r="BF2435">
        <v>0</v>
      </c>
      <c r="BG2435">
        <v>0</v>
      </c>
      <c r="BH2435">
        <v>2175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 t="shared" si="824"/>
        <v>06:19:06.069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465</v>
      </c>
      <c r="CR2435">
        <v>0</v>
      </c>
      <c r="CW2435">
        <v>4726036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si="818"/>
        <v>08/29/2020 06:19:02.822</v>
      </c>
      <c r="C2436" t="str">
        <f t="shared" si="819"/>
        <v>FFDFD3C0</v>
      </c>
      <c r="D2436" t="s">
        <v>121</v>
      </c>
      <c r="E2436">
        <v>11</v>
      </c>
      <c r="F2436">
        <v>1011</v>
      </c>
      <c r="G2436" t="s">
        <v>125</v>
      </c>
      <c r="J2436" t="s">
        <v>123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820"/>
        <v>06:19:06.063</v>
      </c>
      <c r="T2436" t="str">
        <f t="shared" si="821"/>
        <v>06:19:05.662</v>
      </c>
      <c r="U2436" t="str">
        <f t="shared" si="822"/>
        <v>A7E2E0</v>
      </c>
      <c r="V2436">
        <v>0</v>
      </c>
      <c r="W2436">
        <v>0</v>
      </c>
      <c r="X2436">
        <v>1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0</v>
      </c>
      <c r="AI2436" t="s">
        <v>1339</v>
      </c>
      <c r="AJ2436">
        <v>38.923851999999997</v>
      </c>
      <c r="AK2436" t="s">
        <v>1340</v>
      </c>
      <c r="AL2436">
        <v>-87.612662</v>
      </c>
      <c r="AM2436">
        <v>100</v>
      </c>
      <c r="AN2436">
        <v>2400</v>
      </c>
      <c r="AO2436" t="s">
        <v>118</v>
      </c>
      <c r="AP2436">
        <v>14</v>
      </c>
      <c r="AQ2436">
        <v>-150</v>
      </c>
      <c r="AR2436">
        <v>0</v>
      </c>
      <c r="AZ2436">
        <v>4552</v>
      </c>
      <c r="BA2436">
        <v>1</v>
      </c>
      <c r="BB2436" t="str">
        <f t="shared" si="823"/>
        <v xml:space="preserve">N607SR  </v>
      </c>
      <c r="BC2436">
        <v>1</v>
      </c>
      <c r="BE2436">
        <v>0</v>
      </c>
      <c r="BF2436">
        <v>0</v>
      </c>
      <c r="BG2436">
        <v>0</v>
      </c>
      <c r="BH2436">
        <v>2275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 t="shared" si="824"/>
        <v>06:19:06.069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6</v>
      </c>
      <c r="CP2436" t="s">
        <v>119</v>
      </c>
      <c r="CQ2436">
        <v>177</v>
      </c>
      <c r="CR2436">
        <v>2</v>
      </c>
      <c r="CW2436">
        <v>1671691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 t="shared" si="818"/>
        <v>08/29/2020 06:19:02.822</v>
      </c>
      <c r="C2437" t="str">
        <f t="shared" si="819"/>
        <v>FFDFD3C0</v>
      </c>
      <c r="D2437" t="s">
        <v>121</v>
      </c>
      <c r="E2437">
        <v>10</v>
      </c>
      <c r="F2437">
        <v>1010</v>
      </c>
      <c r="G2437" t="s">
        <v>114</v>
      </c>
      <c r="J2437" t="s">
        <v>123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820"/>
        <v>06:19:06.063</v>
      </c>
      <c r="T2437" t="str">
        <f t="shared" si="821"/>
        <v>06:19:05.662</v>
      </c>
      <c r="U2437" t="str">
        <f t="shared" si="822"/>
        <v>A7E2E0</v>
      </c>
      <c r="V2437">
        <v>0</v>
      </c>
      <c r="W2437">
        <v>0</v>
      </c>
      <c r="X2437">
        <v>1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0</v>
      </c>
      <c r="AI2437" t="s">
        <v>1339</v>
      </c>
      <c r="AJ2437">
        <v>38.923851999999997</v>
      </c>
      <c r="AK2437" t="s">
        <v>1340</v>
      </c>
      <c r="AL2437">
        <v>-87.612662</v>
      </c>
      <c r="AM2437">
        <v>100</v>
      </c>
      <c r="AN2437">
        <v>2400</v>
      </c>
      <c r="AO2437" t="s">
        <v>118</v>
      </c>
      <c r="AP2437">
        <v>14</v>
      </c>
      <c r="AQ2437">
        <v>-150</v>
      </c>
      <c r="AR2437">
        <v>0</v>
      </c>
      <c r="AZ2437">
        <v>4552</v>
      </c>
      <c r="BA2437">
        <v>1</v>
      </c>
      <c r="BB2437" t="str">
        <f t="shared" si="823"/>
        <v xml:space="preserve">N607SR  </v>
      </c>
      <c r="BC2437">
        <v>1</v>
      </c>
      <c r="BE2437">
        <v>0</v>
      </c>
      <c r="BF2437">
        <v>0</v>
      </c>
      <c r="BG2437">
        <v>0</v>
      </c>
      <c r="BH2437">
        <v>2175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 t="shared" si="824"/>
        <v>06:19:06.069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465</v>
      </c>
      <c r="CR2437">
        <v>0</v>
      </c>
      <c r="CW2437">
        <v>4726036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si="818"/>
        <v>08/29/2020 06:19:02.822</v>
      </c>
      <c r="C2438" t="str">
        <f t="shared" si="819"/>
        <v>FFDFD3C0</v>
      </c>
      <c r="D2438" t="s">
        <v>113</v>
      </c>
      <c r="E2438">
        <v>5</v>
      </c>
      <c r="H2438">
        <v>163</v>
      </c>
      <c r="I2438" t="s">
        <v>114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820"/>
        <v>06:19:06.063</v>
      </c>
      <c r="T2438" t="str">
        <f t="shared" si="821"/>
        <v>06:19:05.662</v>
      </c>
      <c r="U2438" t="str">
        <f t="shared" si="822"/>
        <v>A7E2E0</v>
      </c>
      <c r="V2438">
        <v>0</v>
      </c>
      <c r="W2438">
        <v>0</v>
      </c>
      <c r="X2438">
        <v>1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0</v>
      </c>
      <c r="AI2438" t="s">
        <v>1339</v>
      </c>
      <c r="AJ2438">
        <v>38.923851999999997</v>
      </c>
      <c r="AK2438" t="s">
        <v>1340</v>
      </c>
      <c r="AL2438">
        <v>-87.612662</v>
      </c>
      <c r="AM2438">
        <v>100</v>
      </c>
      <c r="AN2438">
        <v>2400</v>
      </c>
      <c r="AO2438" t="s">
        <v>118</v>
      </c>
      <c r="AP2438">
        <v>14</v>
      </c>
      <c r="AQ2438">
        <v>-150</v>
      </c>
      <c r="AR2438">
        <v>0</v>
      </c>
      <c r="AZ2438">
        <v>4552</v>
      </c>
      <c r="BA2438">
        <v>1</v>
      </c>
      <c r="BB2438" t="str">
        <f t="shared" si="823"/>
        <v xml:space="preserve">N607SR  </v>
      </c>
      <c r="BC2438">
        <v>1</v>
      </c>
      <c r="BE2438">
        <v>0</v>
      </c>
      <c r="BF2438">
        <v>0</v>
      </c>
      <c r="BG2438">
        <v>0</v>
      </c>
      <c r="BH2438">
        <v>2175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 t="shared" si="824"/>
        <v>06:19:06.069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465</v>
      </c>
      <c r="CR2438">
        <v>0</v>
      </c>
      <c r="CW2438">
        <v>4726036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si="818"/>
        <v>08/29/2020 06:19:02.822</v>
      </c>
      <c r="C2439" t="str">
        <f t="shared" si="819"/>
        <v>FFDFD3C0</v>
      </c>
      <c r="D2439" t="s">
        <v>128</v>
      </c>
      <c r="E2439">
        <v>5</v>
      </c>
      <c r="H2439">
        <v>241</v>
      </c>
      <c r="I2439" t="s">
        <v>129</v>
      </c>
      <c r="J2439" t="s">
        <v>130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820"/>
        <v>06:19:06.063</v>
      </c>
      <c r="T2439" t="str">
        <f t="shared" si="821"/>
        <v>06:19:05.662</v>
      </c>
      <c r="U2439" t="str">
        <f t="shared" si="822"/>
        <v>A7E2E0</v>
      </c>
      <c r="V2439">
        <v>0</v>
      </c>
      <c r="W2439">
        <v>0</v>
      </c>
      <c r="X2439">
        <v>1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0</v>
      </c>
      <c r="AI2439" t="s">
        <v>1339</v>
      </c>
      <c r="AJ2439">
        <v>38.923851999999997</v>
      </c>
      <c r="AK2439" t="s">
        <v>1340</v>
      </c>
      <c r="AL2439">
        <v>-87.612662</v>
      </c>
      <c r="AM2439">
        <v>100</v>
      </c>
      <c r="AN2439">
        <v>2400</v>
      </c>
      <c r="AO2439" t="s">
        <v>118</v>
      </c>
      <c r="AP2439">
        <v>14</v>
      </c>
      <c r="AQ2439">
        <v>-150</v>
      </c>
      <c r="AR2439">
        <v>0</v>
      </c>
      <c r="AZ2439">
        <v>4552</v>
      </c>
      <c r="BA2439">
        <v>1</v>
      </c>
      <c r="BB2439" t="str">
        <f t="shared" si="823"/>
        <v xml:space="preserve">N607SR  </v>
      </c>
      <c r="BC2439">
        <v>1</v>
      </c>
      <c r="BE2439">
        <v>0</v>
      </c>
      <c r="BF2439">
        <v>0</v>
      </c>
      <c r="BG2439">
        <v>0</v>
      </c>
      <c r="BH2439">
        <v>2175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 t="shared" si="824"/>
        <v>06:19:06.069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465</v>
      </c>
      <c r="CR2439">
        <v>0</v>
      </c>
      <c r="CW2439">
        <v>4726036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ref="A2440:A2445" si="825">"08/29/2020 06:19:03.804"</f>
        <v>08/29/2020 06:19:03.804</v>
      </c>
      <c r="C2440" t="str">
        <f t="shared" si="819"/>
        <v>FFDFD3C0</v>
      </c>
      <c r="D2440" t="s">
        <v>121</v>
      </c>
      <c r="E2440">
        <v>13</v>
      </c>
      <c r="F2440">
        <v>1013</v>
      </c>
      <c r="G2440" t="s">
        <v>122</v>
      </c>
      <c r="J2440" t="s">
        <v>123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ref="S2440:S2445" si="826">"06:19:07.055"</f>
        <v>06:19:07.055</v>
      </c>
      <c r="T2440" t="str">
        <f t="shared" ref="T2440:T2445" si="827">"06:19:06.655"</f>
        <v>06:19:06.655</v>
      </c>
      <c r="U2440" t="str">
        <f t="shared" si="822"/>
        <v>A7E2E0</v>
      </c>
      <c r="V2440">
        <v>0</v>
      </c>
      <c r="W2440">
        <v>0</v>
      </c>
      <c r="X2440">
        <v>1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0</v>
      </c>
      <c r="AI2440" t="s">
        <v>1341</v>
      </c>
      <c r="AJ2440">
        <v>38.923166000000002</v>
      </c>
      <c r="AK2440" t="s">
        <v>1342</v>
      </c>
      <c r="AL2440">
        <v>-87.612555</v>
      </c>
      <c r="AM2440">
        <v>100</v>
      </c>
      <c r="AN2440">
        <v>2500</v>
      </c>
      <c r="AO2440" t="s">
        <v>118</v>
      </c>
      <c r="AP2440">
        <v>14</v>
      </c>
      <c r="AQ2440">
        <v>-150</v>
      </c>
      <c r="AR2440">
        <v>0</v>
      </c>
      <c r="AZ2440">
        <v>4552</v>
      </c>
      <c r="BA2440">
        <v>1</v>
      </c>
      <c r="BB2440" t="str">
        <f t="shared" si="823"/>
        <v xml:space="preserve">N607SR  </v>
      </c>
      <c r="BC2440">
        <v>1</v>
      </c>
      <c r="BE2440">
        <v>0</v>
      </c>
      <c r="BF2440">
        <v>0</v>
      </c>
      <c r="BG2440">
        <v>0</v>
      </c>
      <c r="BH2440">
        <v>2375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 t="shared" ref="BW2440:BW2445" si="828">"06:19:07.057"</f>
        <v>06:19:07.057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465</v>
      </c>
      <c r="CR2440">
        <v>0</v>
      </c>
      <c r="CW2440">
        <v>4726067</v>
      </c>
      <c r="CY2440">
        <v>1</v>
      </c>
      <c r="CZ2440">
        <v>0</v>
      </c>
      <c r="DA2440">
        <v>0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825"/>
        <v>08/29/2020 06:19:03.804</v>
      </c>
      <c r="C2441" t="str">
        <f t="shared" si="819"/>
        <v>FFDFD3C0</v>
      </c>
      <c r="D2441" t="s">
        <v>121</v>
      </c>
      <c r="E2441">
        <v>11</v>
      </c>
      <c r="F2441">
        <v>1011</v>
      </c>
      <c r="G2441" t="s">
        <v>125</v>
      </c>
      <c r="J2441" t="s">
        <v>123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826"/>
        <v>06:19:07.055</v>
      </c>
      <c r="T2441" t="str">
        <f t="shared" si="827"/>
        <v>06:19:06.655</v>
      </c>
      <c r="U2441" t="str">
        <f t="shared" si="822"/>
        <v>A7E2E0</v>
      </c>
      <c r="V2441">
        <v>0</v>
      </c>
      <c r="W2441">
        <v>0</v>
      </c>
      <c r="X2441">
        <v>1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0</v>
      </c>
      <c r="AI2441" t="s">
        <v>1341</v>
      </c>
      <c r="AJ2441">
        <v>38.923166000000002</v>
      </c>
      <c r="AK2441" t="s">
        <v>1342</v>
      </c>
      <c r="AL2441">
        <v>-87.612555</v>
      </c>
      <c r="AM2441">
        <v>100</v>
      </c>
      <c r="AN2441">
        <v>2500</v>
      </c>
      <c r="AO2441" t="s">
        <v>118</v>
      </c>
      <c r="AP2441">
        <v>14</v>
      </c>
      <c r="AQ2441">
        <v>-150</v>
      </c>
      <c r="AR2441">
        <v>0</v>
      </c>
      <c r="AZ2441">
        <v>4552</v>
      </c>
      <c r="BA2441">
        <v>1</v>
      </c>
      <c r="BB2441" t="str">
        <f t="shared" si="823"/>
        <v xml:space="preserve">N607SR  </v>
      </c>
      <c r="BC2441">
        <v>1</v>
      </c>
      <c r="BE2441">
        <v>0</v>
      </c>
      <c r="BF2441">
        <v>0</v>
      </c>
      <c r="BG2441">
        <v>0</v>
      </c>
      <c r="BH2441">
        <v>2275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 t="shared" si="828"/>
        <v>06:19:07.057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5</v>
      </c>
      <c r="CP2441" t="s">
        <v>119</v>
      </c>
      <c r="CQ2441">
        <v>177</v>
      </c>
      <c r="CR2441">
        <v>2</v>
      </c>
      <c r="CW2441">
        <v>1671870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825"/>
        <v>08/29/2020 06:19:03.804</v>
      </c>
      <c r="C2442" t="str">
        <f t="shared" si="819"/>
        <v>FFDFD3C0</v>
      </c>
      <c r="D2442" t="s">
        <v>121</v>
      </c>
      <c r="E2442">
        <v>10</v>
      </c>
      <c r="F2442">
        <v>1010</v>
      </c>
      <c r="G2442" t="s">
        <v>114</v>
      </c>
      <c r="J2442" t="s">
        <v>123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826"/>
        <v>06:19:07.055</v>
      </c>
      <c r="T2442" t="str">
        <f t="shared" si="827"/>
        <v>06:19:06.655</v>
      </c>
      <c r="U2442" t="str">
        <f t="shared" si="822"/>
        <v>A7E2E0</v>
      </c>
      <c r="V2442">
        <v>0</v>
      </c>
      <c r="W2442">
        <v>0</v>
      </c>
      <c r="X2442">
        <v>1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0</v>
      </c>
      <c r="AI2442" t="s">
        <v>1341</v>
      </c>
      <c r="AJ2442">
        <v>38.923166000000002</v>
      </c>
      <c r="AK2442" t="s">
        <v>1342</v>
      </c>
      <c r="AL2442">
        <v>-87.612555</v>
      </c>
      <c r="AM2442">
        <v>100</v>
      </c>
      <c r="AN2442">
        <v>2500</v>
      </c>
      <c r="AO2442" t="s">
        <v>118</v>
      </c>
      <c r="AP2442">
        <v>14</v>
      </c>
      <c r="AQ2442">
        <v>-150</v>
      </c>
      <c r="AR2442">
        <v>0</v>
      </c>
      <c r="AZ2442">
        <v>4552</v>
      </c>
      <c r="BA2442">
        <v>1</v>
      </c>
      <c r="BB2442" t="str">
        <f t="shared" si="823"/>
        <v xml:space="preserve">N607SR  </v>
      </c>
      <c r="BC2442">
        <v>1</v>
      </c>
      <c r="BE2442">
        <v>0</v>
      </c>
      <c r="BF2442">
        <v>0</v>
      </c>
      <c r="BG2442">
        <v>0</v>
      </c>
      <c r="BH2442">
        <v>2375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 t="shared" si="828"/>
        <v>06:19:07.057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465</v>
      </c>
      <c r="CR2442">
        <v>0</v>
      </c>
      <c r="CW2442">
        <v>4726067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si="825"/>
        <v>08/29/2020 06:19:03.804</v>
      </c>
      <c r="C2443" t="str">
        <f t="shared" si="819"/>
        <v>FFDFD3C0</v>
      </c>
      <c r="D2443" t="s">
        <v>113</v>
      </c>
      <c r="E2443">
        <v>5</v>
      </c>
      <c r="H2443">
        <v>163</v>
      </c>
      <c r="I2443" t="s">
        <v>114</v>
      </c>
      <c r="J2443" t="s">
        <v>115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826"/>
        <v>06:19:07.055</v>
      </c>
      <c r="T2443" t="str">
        <f t="shared" si="827"/>
        <v>06:19:06.655</v>
      </c>
      <c r="U2443" t="str">
        <f t="shared" si="822"/>
        <v>A7E2E0</v>
      </c>
      <c r="V2443">
        <v>0</v>
      </c>
      <c r="W2443">
        <v>0</v>
      </c>
      <c r="X2443">
        <v>1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0</v>
      </c>
      <c r="AI2443" t="s">
        <v>1341</v>
      </c>
      <c r="AJ2443">
        <v>38.923166000000002</v>
      </c>
      <c r="AK2443" t="s">
        <v>1342</v>
      </c>
      <c r="AL2443">
        <v>-87.612555</v>
      </c>
      <c r="AM2443">
        <v>100</v>
      </c>
      <c r="AN2443">
        <v>2500</v>
      </c>
      <c r="AO2443" t="s">
        <v>118</v>
      </c>
      <c r="AP2443">
        <v>14</v>
      </c>
      <c r="AQ2443">
        <v>-150</v>
      </c>
      <c r="AR2443">
        <v>0</v>
      </c>
      <c r="AZ2443">
        <v>4552</v>
      </c>
      <c r="BA2443">
        <v>1</v>
      </c>
      <c r="BB2443" t="str">
        <f t="shared" si="823"/>
        <v xml:space="preserve">N607SR  </v>
      </c>
      <c r="BC2443">
        <v>1</v>
      </c>
      <c r="BE2443">
        <v>0</v>
      </c>
      <c r="BF2443">
        <v>0</v>
      </c>
      <c r="BG2443">
        <v>0</v>
      </c>
      <c r="BH2443">
        <v>2375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 t="shared" si="828"/>
        <v>06:19:07.057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465</v>
      </c>
      <c r="CR2443">
        <v>0</v>
      </c>
      <c r="CW2443">
        <v>4726067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si="825"/>
        <v>08/29/2020 06:19:03.804</v>
      </c>
      <c r="C2444" t="str">
        <f t="shared" si="819"/>
        <v>FFDFD3C0</v>
      </c>
      <c r="D2444" t="s">
        <v>128</v>
      </c>
      <c r="E2444">
        <v>5</v>
      </c>
      <c r="H2444">
        <v>241</v>
      </c>
      <c r="I2444" t="s">
        <v>129</v>
      </c>
      <c r="J2444" t="s">
        <v>130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826"/>
        <v>06:19:07.055</v>
      </c>
      <c r="T2444" t="str">
        <f t="shared" si="827"/>
        <v>06:19:06.655</v>
      </c>
      <c r="U2444" t="str">
        <f t="shared" si="822"/>
        <v>A7E2E0</v>
      </c>
      <c r="V2444">
        <v>0</v>
      </c>
      <c r="W2444">
        <v>0</v>
      </c>
      <c r="X2444">
        <v>1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0</v>
      </c>
      <c r="AI2444" t="s">
        <v>1341</v>
      </c>
      <c r="AJ2444">
        <v>38.923166000000002</v>
      </c>
      <c r="AK2444" t="s">
        <v>1342</v>
      </c>
      <c r="AL2444">
        <v>-87.612555</v>
      </c>
      <c r="AM2444">
        <v>100</v>
      </c>
      <c r="AN2444">
        <v>2500</v>
      </c>
      <c r="AO2444" t="s">
        <v>118</v>
      </c>
      <c r="AP2444">
        <v>14</v>
      </c>
      <c r="AQ2444">
        <v>-150</v>
      </c>
      <c r="AR2444">
        <v>0</v>
      </c>
      <c r="AZ2444">
        <v>4552</v>
      </c>
      <c r="BA2444">
        <v>1</v>
      </c>
      <c r="BB2444" t="str">
        <f t="shared" si="823"/>
        <v xml:space="preserve">N607SR  </v>
      </c>
      <c r="BC2444">
        <v>1</v>
      </c>
      <c r="BE2444">
        <v>0</v>
      </c>
      <c r="BF2444">
        <v>0</v>
      </c>
      <c r="BG2444">
        <v>0</v>
      </c>
      <c r="BH2444">
        <v>2375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 t="shared" si="828"/>
        <v>06:19:07.057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465</v>
      </c>
      <c r="CR2444">
        <v>0</v>
      </c>
      <c r="CW2444">
        <v>4726067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 t="shared" si="825"/>
        <v>08/29/2020 06:19:03.804</v>
      </c>
      <c r="C2445" t="str">
        <f t="shared" si="819"/>
        <v>FFDFD3C0</v>
      </c>
      <c r="D2445" t="s">
        <v>939</v>
      </c>
      <c r="E2445">
        <v>10</v>
      </c>
      <c r="H2445">
        <v>79</v>
      </c>
      <c r="I2445" t="s">
        <v>940</v>
      </c>
      <c r="J2445" t="s">
        <v>130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826"/>
        <v>06:19:07.055</v>
      </c>
      <c r="T2445" t="str">
        <f t="shared" si="827"/>
        <v>06:19:06.655</v>
      </c>
      <c r="U2445" t="str">
        <f t="shared" si="822"/>
        <v>A7E2E0</v>
      </c>
      <c r="V2445">
        <v>0</v>
      </c>
      <c r="W2445">
        <v>0</v>
      </c>
      <c r="X2445">
        <v>1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0</v>
      </c>
      <c r="AI2445" t="s">
        <v>1341</v>
      </c>
      <c r="AJ2445">
        <v>38.923166000000002</v>
      </c>
      <c r="AK2445" t="s">
        <v>1342</v>
      </c>
      <c r="AL2445">
        <v>-87.612555</v>
      </c>
      <c r="AM2445">
        <v>100</v>
      </c>
      <c r="AN2445">
        <v>2500</v>
      </c>
      <c r="AO2445" t="s">
        <v>118</v>
      </c>
      <c r="AP2445">
        <v>14</v>
      </c>
      <c r="AQ2445">
        <v>-150</v>
      </c>
      <c r="AR2445">
        <v>0</v>
      </c>
      <c r="AZ2445">
        <v>4552</v>
      </c>
      <c r="BA2445">
        <v>1</v>
      </c>
      <c r="BB2445" t="str">
        <f t="shared" si="823"/>
        <v xml:space="preserve">N607SR  </v>
      </c>
      <c r="BC2445">
        <v>1</v>
      </c>
      <c r="BE2445">
        <v>0</v>
      </c>
      <c r="BF2445">
        <v>0</v>
      </c>
      <c r="BG2445">
        <v>0</v>
      </c>
      <c r="BH2445">
        <v>2375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 t="shared" si="828"/>
        <v>06:19:07.057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465</v>
      </c>
      <c r="CR2445">
        <v>0</v>
      </c>
      <c r="CW2445">
        <v>4726067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 t="shared" ref="A2446:A2451" si="829">"08/29/2020 06:19:04.782"</f>
        <v>08/29/2020 06:19:04.782</v>
      </c>
      <c r="C2446" t="str">
        <f t="shared" si="819"/>
        <v>FFDFD3C0</v>
      </c>
      <c r="D2446" t="s">
        <v>113</v>
      </c>
      <c r="E2446">
        <v>5</v>
      </c>
      <c r="H2446">
        <v>163</v>
      </c>
      <c r="I2446" t="s">
        <v>114</v>
      </c>
      <c r="J2446" t="s">
        <v>115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ref="S2446:S2451" si="830">"06:19:08.023"</f>
        <v>06:19:08.023</v>
      </c>
      <c r="T2446" t="str">
        <f t="shared" ref="T2446:T2451" si="831">"06:19:07.523"</f>
        <v>06:19:07.523</v>
      </c>
      <c r="U2446" t="str">
        <f t="shared" si="822"/>
        <v>A7E2E0</v>
      </c>
      <c r="V2446">
        <v>0</v>
      </c>
      <c r="W2446">
        <v>0</v>
      </c>
      <c r="X2446">
        <v>1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0</v>
      </c>
      <c r="AI2446" t="s">
        <v>1343</v>
      </c>
      <c r="AJ2446">
        <v>38.922457999999999</v>
      </c>
      <c r="AK2446" t="s">
        <v>1344</v>
      </c>
      <c r="AL2446">
        <v>-87.612491000000006</v>
      </c>
      <c r="AM2446">
        <v>100</v>
      </c>
      <c r="AN2446">
        <v>2400</v>
      </c>
      <c r="AO2446" t="s">
        <v>118</v>
      </c>
      <c r="AP2446">
        <v>14</v>
      </c>
      <c r="AQ2446">
        <v>-149</v>
      </c>
      <c r="AR2446">
        <v>-64</v>
      </c>
      <c r="AZ2446">
        <v>4552</v>
      </c>
      <c r="BA2446">
        <v>1</v>
      </c>
      <c r="BB2446" t="str">
        <f t="shared" si="823"/>
        <v xml:space="preserve">N607SR  </v>
      </c>
      <c r="BC2446">
        <v>1</v>
      </c>
      <c r="BE2446">
        <v>0</v>
      </c>
      <c r="BF2446">
        <v>0</v>
      </c>
      <c r="BG2446">
        <v>0</v>
      </c>
      <c r="BH2446">
        <v>2275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 t="shared" ref="BW2446:BW2451" si="832">"06:19:08.025"</f>
        <v>06:19:08.025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465</v>
      </c>
      <c r="CR2446">
        <v>0</v>
      </c>
      <c r="CW2446">
        <v>4726097</v>
      </c>
      <c r="CY2446">
        <v>1</v>
      </c>
      <c r="CZ2446">
        <v>0</v>
      </c>
      <c r="DA2446">
        <v>0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 t="shared" si="829"/>
        <v>08/29/2020 06:19:04.782</v>
      </c>
      <c r="C2447" t="str">
        <f t="shared" si="819"/>
        <v>FFDFD3C0</v>
      </c>
      <c r="D2447" t="s">
        <v>939</v>
      </c>
      <c r="E2447">
        <v>10</v>
      </c>
      <c r="H2447">
        <v>79</v>
      </c>
      <c r="I2447" t="s">
        <v>940</v>
      </c>
      <c r="J2447" t="s">
        <v>130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830"/>
        <v>06:19:08.023</v>
      </c>
      <c r="T2447" t="str">
        <f t="shared" si="831"/>
        <v>06:19:07.523</v>
      </c>
      <c r="U2447" t="str">
        <f t="shared" si="822"/>
        <v>A7E2E0</v>
      </c>
      <c r="V2447">
        <v>0</v>
      </c>
      <c r="W2447">
        <v>0</v>
      </c>
      <c r="X2447">
        <v>1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0</v>
      </c>
      <c r="AI2447" t="s">
        <v>1343</v>
      </c>
      <c r="AJ2447">
        <v>38.922457999999999</v>
      </c>
      <c r="AK2447" t="s">
        <v>1344</v>
      </c>
      <c r="AL2447">
        <v>-87.612491000000006</v>
      </c>
      <c r="AM2447">
        <v>100</v>
      </c>
      <c r="AN2447">
        <v>2400</v>
      </c>
      <c r="AO2447" t="s">
        <v>118</v>
      </c>
      <c r="AP2447">
        <v>14</v>
      </c>
      <c r="AQ2447">
        <v>-149</v>
      </c>
      <c r="AR2447">
        <v>-64</v>
      </c>
      <c r="AZ2447">
        <v>4552</v>
      </c>
      <c r="BA2447">
        <v>1</v>
      </c>
      <c r="BB2447" t="str">
        <f t="shared" si="823"/>
        <v xml:space="preserve">N607SR  </v>
      </c>
      <c r="BC2447">
        <v>1</v>
      </c>
      <c r="BE2447">
        <v>0</v>
      </c>
      <c r="BF2447">
        <v>0</v>
      </c>
      <c r="BG2447">
        <v>0</v>
      </c>
      <c r="BH2447">
        <v>2275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 t="shared" si="832"/>
        <v>06:19:08.025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465</v>
      </c>
      <c r="CR2447">
        <v>0</v>
      </c>
      <c r="CW2447">
        <v>4726097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 t="shared" si="829"/>
        <v>08/29/2020 06:19:04.782</v>
      </c>
      <c r="C2448" t="str">
        <f t="shared" si="819"/>
        <v>FFDFD3C0</v>
      </c>
      <c r="D2448" t="s">
        <v>128</v>
      </c>
      <c r="E2448">
        <v>5</v>
      </c>
      <c r="H2448">
        <v>241</v>
      </c>
      <c r="I2448" t="s">
        <v>129</v>
      </c>
      <c r="J2448" t="s">
        <v>130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830"/>
        <v>06:19:08.023</v>
      </c>
      <c r="T2448" t="str">
        <f t="shared" si="831"/>
        <v>06:19:07.523</v>
      </c>
      <c r="U2448" t="str">
        <f t="shared" si="822"/>
        <v>A7E2E0</v>
      </c>
      <c r="V2448">
        <v>0</v>
      </c>
      <c r="W2448">
        <v>0</v>
      </c>
      <c r="X2448">
        <v>1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0</v>
      </c>
      <c r="AI2448" t="s">
        <v>1343</v>
      </c>
      <c r="AJ2448">
        <v>38.922457999999999</v>
      </c>
      <c r="AK2448" t="s">
        <v>1344</v>
      </c>
      <c r="AL2448">
        <v>-87.612491000000006</v>
      </c>
      <c r="AM2448">
        <v>100</v>
      </c>
      <c r="AN2448">
        <v>2400</v>
      </c>
      <c r="AO2448" t="s">
        <v>118</v>
      </c>
      <c r="AP2448">
        <v>14</v>
      </c>
      <c r="AQ2448">
        <v>-149</v>
      </c>
      <c r="AR2448">
        <v>-64</v>
      </c>
      <c r="AZ2448">
        <v>4552</v>
      </c>
      <c r="BA2448">
        <v>1</v>
      </c>
      <c r="BB2448" t="str">
        <f t="shared" si="823"/>
        <v xml:space="preserve">N607SR  </v>
      </c>
      <c r="BC2448">
        <v>1</v>
      </c>
      <c r="BE2448">
        <v>0</v>
      </c>
      <c r="BF2448">
        <v>0</v>
      </c>
      <c r="BG2448">
        <v>0</v>
      </c>
      <c r="BH2448">
        <v>2275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 t="shared" si="832"/>
        <v>06:19:08.025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465</v>
      </c>
      <c r="CR2448">
        <v>0</v>
      </c>
      <c r="CW2448">
        <v>4726097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 t="shared" si="829"/>
        <v>08/29/2020 06:19:04.782</v>
      </c>
      <c r="C2449" t="str">
        <f t="shared" si="819"/>
        <v>FFDFD3C0</v>
      </c>
      <c r="D2449" t="s">
        <v>121</v>
      </c>
      <c r="E2449">
        <v>13</v>
      </c>
      <c r="F2449">
        <v>1013</v>
      </c>
      <c r="G2449" t="s">
        <v>122</v>
      </c>
      <c r="J2449" t="s">
        <v>123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830"/>
        <v>06:19:08.023</v>
      </c>
      <c r="T2449" t="str">
        <f t="shared" si="831"/>
        <v>06:19:07.523</v>
      </c>
      <c r="U2449" t="str">
        <f t="shared" si="822"/>
        <v>A7E2E0</v>
      </c>
      <c r="V2449">
        <v>0</v>
      </c>
      <c r="W2449">
        <v>0</v>
      </c>
      <c r="X2449">
        <v>1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0</v>
      </c>
      <c r="AI2449" t="s">
        <v>1343</v>
      </c>
      <c r="AJ2449">
        <v>38.922457999999999</v>
      </c>
      <c r="AK2449" t="s">
        <v>1344</v>
      </c>
      <c r="AL2449">
        <v>-87.612491000000006</v>
      </c>
      <c r="AM2449">
        <v>100</v>
      </c>
      <c r="AN2449">
        <v>2400</v>
      </c>
      <c r="AO2449" t="s">
        <v>118</v>
      </c>
      <c r="AP2449">
        <v>14</v>
      </c>
      <c r="AQ2449">
        <v>-149</v>
      </c>
      <c r="AR2449">
        <v>-64</v>
      </c>
      <c r="AZ2449">
        <v>4552</v>
      </c>
      <c r="BA2449">
        <v>1</v>
      </c>
      <c r="BB2449" t="str">
        <f t="shared" si="823"/>
        <v xml:space="preserve">N607SR  </v>
      </c>
      <c r="BC2449">
        <v>1</v>
      </c>
      <c r="BE2449">
        <v>0</v>
      </c>
      <c r="BF2449">
        <v>0</v>
      </c>
      <c r="BG2449">
        <v>0</v>
      </c>
      <c r="BH2449">
        <v>2275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 t="shared" si="832"/>
        <v>06:19:08.025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465</v>
      </c>
      <c r="CR2449">
        <v>0</v>
      </c>
      <c r="CW2449">
        <v>4726097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 t="shared" si="829"/>
        <v>08/29/2020 06:19:04.782</v>
      </c>
      <c r="C2450" t="str">
        <f t="shared" si="819"/>
        <v>FFDFD3C0</v>
      </c>
      <c r="D2450" t="s">
        <v>121</v>
      </c>
      <c r="E2450">
        <v>10</v>
      </c>
      <c r="F2450">
        <v>1010</v>
      </c>
      <c r="G2450" t="s">
        <v>114</v>
      </c>
      <c r="J2450" t="s">
        <v>123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830"/>
        <v>06:19:08.023</v>
      </c>
      <c r="T2450" t="str">
        <f t="shared" si="831"/>
        <v>06:19:07.523</v>
      </c>
      <c r="U2450" t="str">
        <f t="shared" si="822"/>
        <v>A7E2E0</v>
      </c>
      <c r="V2450">
        <v>0</v>
      </c>
      <c r="W2450">
        <v>0</v>
      </c>
      <c r="X2450">
        <v>1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0</v>
      </c>
      <c r="AI2450" t="s">
        <v>1343</v>
      </c>
      <c r="AJ2450">
        <v>38.922457999999999</v>
      </c>
      <c r="AK2450" t="s">
        <v>1344</v>
      </c>
      <c r="AL2450">
        <v>-87.612491000000006</v>
      </c>
      <c r="AM2450">
        <v>100</v>
      </c>
      <c r="AN2450">
        <v>2400</v>
      </c>
      <c r="AO2450" t="s">
        <v>118</v>
      </c>
      <c r="AP2450">
        <v>14</v>
      </c>
      <c r="AQ2450">
        <v>-149</v>
      </c>
      <c r="AR2450">
        <v>-64</v>
      </c>
      <c r="AZ2450">
        <v>4552</v>
      </c>
      <c r="BA2450">
        <v>1</v>
      </c>
      <c r="BB2450" t="str">
        <f t="shared" si="823"/>
        <v xml:space="preserve">N607SR  </v>
      </c>
      <c r="BC2450">
        <v>1</v>
      </c>
      <c r="BE2450">
        <v>0</v>
      </c>
      <c r="BF2450">
        <v>0</v>
      </c>
      <c r="BG2450">
        <v>0</v>
      </c>
      <c r="BH2450">
        <v>2275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 t="shared" si="832"/>
        <v>06:19:08.025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465</v>
      </c>
      <c r="CR2450">
        <v>0</v>
      </c>
      <c r="CW2450">
        <v>4726097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 t="shared" si="829"/>
        <v>08/29/2020 06:19:04.782</v>
      </c>
      <c r="C2451" t="str">
        <f t="shared" si="819"/>
        <v>FFDFD3C0</v>
      </c>
      <c r="D2451" t="s">
        <v>121</v>
      </c>
      <c r="E2451">
        <v>11</v>
      </c>
      <c r="F2451">
        <v>1011</v>
      </c>
      <c r="G2451" t="s">
        <v>125</v>
      </c>
      <c r="J2451" t="s">
        <v>123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830"/>
        <v>06:19:08.023</v>
      </c>
      <c r="T2451" t="str">
        <f t="shared" si="831"/>
        <v>06:19:07.523</v>
      </c>
      <c r="U2451" t="str">
        <f t="shared" si="822"/>
        <v>A7E2E0</v>
      </c>
      <c r="V2451">
        <v>0</v>
      </c>
      <c r="W2451">
        <v>0</v>
      </c>
      <c r="X2451">
        <v>1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0</v>
      </c>
      <c r="AI2451" t="s">
        <v>1343</v>
      </c>
      <c r="AJ2451">
        <v>38.922457999999999</v>
      </c>
      <c r="AK2451" t="s">
        <v>1344</v>
      </c>
      <c r="AL2451">
        <v>-87.612491000000006</v>
      </c>
      <c r="AM2451">
        <v>100</v>
      </c>
      <c r="AN2451">
        <v>2400</v>
      </c>
      <c r="AO2451" t="s">
        <v>118</v>
      </c>
      <c r="AP2451">
        <v>14</v>
      </c>
      <c r="AQ2451">
        <v>-149</v>
      </c>
      <c r="AR2451">
        <v>-64</v>
      </c>
      <c r="AZ2451">
        <v>4552</v>
      </c>
      <c r="BA2451">
        <v>1</v>
      </c>
      <c r="BB2451" t="str">
        <f t="shared" si="823"/>
        <v xml:space="preserve">N607SR  </v>
      </c>
      <c r="BC2451">
        <v>1</v>
      </c>
      <c r="BE2451">
        <v>0</v>
      </c>
      <c r="BF2451">
        <v>0</v>
      </c>
      <c r="BG2451">
        <v>0</v>
      </c>
      <c r="BH2451">
        <v>2275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 t="shared" si="832"/>
        <v>06:19:08.025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5</v>
      </c>
      <c r="CP2451" t="s">
        <v>119</v>
      </c>
      <c r="CQ2451">
        <v>457</v>
      </c>
      <c r="CR2451">
        <v>0</v>
      </c>
      <c r="CW2451">
        <v>15521177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 t="shared" ref="A2452:A2457" si="833">"08/29/2020 06:19:05.904"</f>
        <v>08/29/2020 06:19:05.904</v>
      </c>
      <c r="C2452" t="str">
        <f t="shared" si="819"/>
        <v>FFDFD3C0</v>
      </c>
      <c r="D2452" t="s">
        <v>128</v>
      </c>
      <c r="E2452">
        <v>5</v>
      </c>
      <c r="H2452">
        <v>241</v>
      </c>
      <c r="I2452" t="s">
        <v>129</v>
      </c>
      <c r="J2452" t="s">
        <v>130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ref="S2452:S2457" si="834">"06:19:09.148"</f>
        <v>06:19:09.148</v>
      </c>
      <c r="T2452" t="str">
        <f t="shared" ref="T2452:T2457" si="835">"06:19:08.648"</f>
        <v>06:19:08.648</v>
      </c>
      <c r="U2452" t="str">
        <f t="shared" si="822"/>
        <v>A7E2E0</v>
      </c>
      <c r="V2452">
        <v>0</v>
      </c>
      <c r="W2452">
        <v>0</v>
      </c>
      <c r="X2452">
        <v>1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0</v>
      </c>
      <c r="AI2452" t="s">
        <v>1345</v>
      </c>
      <c r="AJ2452">
        <v>38.921728000000002</v>
      </c>
      <c r="AK2452" t="s">
        <v>1346</v>
      </c>
      <c r="AL2452">
        <v>-87.612382999999994</v>
      </c>
      <c r="AM2452">
        <v>100</v>
      </c>
      <c r="AN2452">
        <v>2400</v>
      </c>
      <c r="AO2452" t="s">
        <v>118</v>
      </c>
      <c r="AP2452">
        <v>15</v>
      </c>
      <c r="AQ2452">
        <v>-149</v>
      </c>
      <c r="AR2452">
        <v>-64</v>
      </c>
      <c r="AZ2452">
        <v>4552</v>
      </c>
      <c r="BA2452">
        <v>1</v>
      </c>
      <c r="BB2452" t="str">
        <f t="shared" si="823"/>
        <v xml:space="preserve">N607SR  </v>
      </c>
      <c r="BC2452">
        <v>1</v>
      </c>
      <c r="BE2452">
        <v>0</v>
      </c>
      <c r="BF2452">
        <v>0</v>
      </c>
      <c r="BG2452">
        <v>0</v>
      </c>
      <c r="BH2452">
        <v>2150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 t="shared" ref="BW2452:BW2457" si="836">"06:19:09.153"</f>
        <v>06:19:09.153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465</v>
      </c>
      <c r="CR2452">
        <v>0</v>
      </c>
      <c r="CW2452">
        <v>4726132</v>
      </c>
      <c r="CY2452">
        <v>1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 t="shared" si="833"/>
        <v>08/29/2020 06:19:05.904</v>
      </c>
      <c r="C2453" t="str">
        <f t="shared" si="819"/>
        <v>FFDFD3C0</v>
      </c>
      <c r="D2453" t="s">
        <v>121</v>
      </c>
      <c r="E2453">
        <v>13</v>
      </c>
      <c r="F2453">
        <v>1013</v>
      </c>
      <c r="G2453" t="s">
        <v>122</v>
      </c>
      <c r="J2453" t="s">
        <v>123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834"/>
        <v>06:19:09.148</v>
      </c>
      <c r="T2453" t="str">
        <f t="shared" si="835"/>
        <v>06:19:08.648</v>
      </c>
      <c r="U2453" t="str">
        <f t="shared" si="822"/>
        <v>A7E2E0</v>
      </c>
      <c r="V2453">
        <v>0</v>
      </c>
      <c r="W2453">
        <v>0</v>
      </c>
      <c r="X2453">
        <v>1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0</v>
      </c>
      <c r="AI2453" t="s">
        <v>1345</v>
      </c>
      <c r="AJ2453">
        <v>38.921728000000002</v>
      </c>
      <c r="AK2453" t="s">
        <v>1346</v>
      </c>
      <c r="AL2453">
        <v>-87.612382999999994</v>
      </c>
      <c r="AM2453">
        <v>100</v>
      </c>
      <c r="AN2453">
        <v>2400</v>
      </c>
      <c r="AO2453" t="s">
        <v>118</v>
      </c>
      <c r="AP2453">
        <v>15</v>
      </c>
      <c r="AQ2453">
        <v>-149</v>
      </c>
      <c r="AR2453">
        <v>-64</v>
      </c>
      <c r="AZ2453">
        <v>4552</v>
      </c>
      <c r="BA2453">
        <v>1</v>
      </c>
      <c r="BB2453" t="str">
        <f t="shared" si="823"/>
        <v xml:space="preserve">N607SR  </v>
      </c>
      <c r="BC2453">
        <v>1</v>
      </c>
      <c r="BE2453">
        <v>0</v>
      </c>
      <c r="BF2453">
        <v>0</v>
      </c>
      <c r="BG2453">
        <v>0</v>
      </c>
      <c r="BH2453">
        <v>2150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 t="shared" si="836"/>
        <v>06:19:09.153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465</v>
      </c>
      <c r="CR2453">
        <v>0</v>
      </c>
      <c r="CW2453">
        <v>4726132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 t="shared" si="833"/>
        <v>08/29/2020 06:19:05.904</v>
      </c>
      <c r="C2454" t="str">
        <f t="shared" si="819"/>
        <v>FFDFD3C0</v>
      </c>
      <c r="D2454" t="s">
        <v>121</v>
      </c>
      <c r="E2454">
        <v>11</v>
      </c>
      <c r="F2454">
        <v>1011</v>
      </c>
      <c r="G2454" t="s">
        <v>125</v>
      </c>
      <c r="J2454" t="s">
        <v>123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834"/>
        <v>06:19:09.148</v>
      </c>
      <c r="T2454" t="str">
        <f t="shared" si="835"/>
        <v>06:19:08.648</v>
      </c>
      <c r="U2454" t="str">
        <f t="shared" si="822"/>
        <v>A7E2E0</v>
      </c>
      <c r="V2454">
        <v>0</v>
      </c>
      <c r="W2454">
        <v>0</v>
      </c>
      <c r="X2454">
        <v>1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0</v>
      </c>
      <c r="AI2454" t="s">
        <v>1345</v>
      </c>
      <c r="AJ2454">
        <v>38.921728000000002</v>
      </c>
      <c r="AK2454" t="s">
        <v>1346</v>
      </c>
      <c r="AL2454">
        <v>-87.612382999999994</v>
      </c>
      <c r="AM2454">
        <v>100</v>
      </c>
      <c r="AN2454">
        <v>2400</v>
      </c>
      <c r="AO2454" t="s">
        <v>118</v>
      </c>
      <c r="AP2454">
        <v>15</v>
      </c>
      <c r="AQ2454">
        <v>-149</v>
      </c>
      <c r="AR2454">
        <v>-64</v>
      </c>
      <c r="AZ2454">
        <v>4552</v>
      </c>
      <c r="BA2454">
        <v>1</v>
      </c>
      <c r="BB2454" t="str">
        <f t="shared" si="823"/>
        <v xml:space="preserve">N607SR  </v>
      </c>
      <c r="BC2454">
        <v>1</v>
      </c>
      <c r="BE2454">
        <v>0</v>
      </c>
      <c r="BF2454">
        <v>0</v>
      </c>
      <c r="BG2454">
        <v>0</v>
      </c>
      <c r="BH2454">
        <v>2150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 t="shared" si="836"/>
        <v>06:19:09.153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5</v>
      </c>
      <c r="CP2454" t="s">
        <v>119</v>
      </c>
      <c r="CQ2454">
        <v>457</v>
      </c>
      <c r="CR2454">
        <v>0</v>
      </c>
      <c r="CW2454">
        <v>15521211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 t="shared" si="833"/>
        <v>08/29/2020 06:19:05.904</v>
      </c>
      <c r="C2455" t="str">
        <f t="shared" si="819"/>
        <v>FFDFD3C0</v>
      </c>
      <c r="D2455" t="s">
        <v>121</v>
      </c>
      <c r="E2455">
        <v>10</v>
      </c>
      <c r="F2455">
        <v>1010</v>
      </c>
      <c r="G2455" t="s">
        <v>114</v>
      </c>
      <c r="J2455" t="s">
        <v>123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834"/>
        <v>06:19:09.148</v>
      </c>
      <c r="T2455" t="str">
        <f t="shared" si="835"/>
        <v>06:19:08.648</v>
      </c>
      <c r="U2455" t="str">
        <f t="shared" si="822"/>
        <v>A7E2E0</v>
      </c>
      <c r="V2455">
        <v>0</v>
      </c>
      <c r="W2455">
        <v>0</v>
      </c>
      <c r="X2455">
        <v>1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0</v>
      </c>
      <c r="AI2455" t="s">
        <v>1345</v>
      </c>
      <c r="AJ2455">
        <v>38.921728000000002</v>
      </c>
      <c r="AK2455" t="s">
        <v>1346</v>
      </c>
      <c r="AL2455">
        <v>-87.612382999999994</v>
      </c>
      <c r="AM2455">
        <v>100</v>
      </c>
      <c r="AN2455">
        <v>2400</v>
      </c>
      <c r="AO2455" t="s">
        <v>118</v>
      </c>
      <c r="AP2455">
        <v>15</v>
      </c>
      <c r="AQ2455">
        <v>-149</v>
      </c>
      <c r="AR2455">
        <v>-64</v>
      </c>
      <c r="AZ2455">
        <v>4552</v>
      </c>
      <c r="BA2455">
        <v>1</v>
      </c>
      <c r="BB2455" t="str">
        <f t="shared" si="823"/>
        <v xml:space="preserve">N607SR  </v>
      </c>
      <c r="BC2455">
        <v>1</v>
      </c>
      <c r="BE2455">
        <v>0</v>
      </c>
      <c r="BF2455">
        <v>0</v>
      </c>
      <c r="BG2455">
        <v>0</v>
      </c>
      <c r="BH2455">
        <v>2150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 t="shared" si="836"/>
        <v>06:19:09.153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465</v>
      </c>
      <c r="CR2455">
        <v>0</v>
      </c>
      <c r="CW2455">
        <v>4726132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 t="shared" si="833"/>
        <v>08/29/2020 06:19:05.904</v>
      </c>
      <c r="C2456" t="str">
        <f t="shared" si="819"/>
        <v>FFDFD3C0</v>
      </c>
      <c r="D2456" t="s">
        <v>939</v>
      </c>
      <c r="E2456">
        <v>10</v>
      </c>
      <c r="H2456">
        <v>79</v>
      </c>
      <c r="I2456" t="s">
        <v>940</v>
      </c>
      <c r="J2456" t="s">
        <v>130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834"/>
        <v>06:19:09.148</v>
      </c>
      <c r="T2456" t="str">
        <f t="shared" si="835"/>
        <v>06:19:08.648</v>
      </c>
      <c r="U2456" t="str">
        <f t="shared" si="822"/>
        <v>A7E2E0</v>
      </c>
      <c r="V2456">
        <v>0</v>
      </c>
      <c r="W2456">
        <v>0</v>
      </c>
      <c r="X2456">
        <v>1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0</v>
      </c>
      <c r="AI2456" t="s">
        <v>1345</v>
      </c>
      <c r="AJ2456">
        <v>38.921728000000002</v>
      </c>
      <c r="AK2456" t="s">
        <v>1346</v>
      </c>
      <c r="AL2456">
        <v>-87.612382999999994</v>
      </c>
      <c r="AM2456">
        <v>100</v>
      </c>
      <c r="AN2456">
        <v>2400</v>
      </c>
      <c r="AO2456" t="s">
        <v>118</v>
      </c>
      <c r="AP2456">
        <v>15</v>
      </c>
      <c r="AQ2456">
        <v>-149</v>
      </c>
      <c r="AR2456">
        <v>-64</v>
      </c>
      <c r="AZ2456">
        <v>4552</v>
      </c>
      <c r="BA2456">
        <v>1</v>
      </c>
      <c r="BB2456" t="str">
        <f t="shared" si="823"/>
        <v xml:space="preserve">N607SR  </v>
      </c>
      <c r="BC2456">
        <v>1</v>
      </c>
      <c r="BE2456">
        <v>0</v>
      </c>
      <c r="BF2456">
        <v>0</v>
      </c>
      <c r="BG2456">
        <v>0</v>
      </c>
      <c r="BH2456">
        <v>2150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 t="shared" si="836"/>
        <v>06:19:09.153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465</v>
      </c>
      <c r="CR2456">
        <v>0</v>
      </c>
      <c r="CW2456">
        <v>4726132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 t="shared" si="833"/>
        <v>08/29/2020 06:19:05.904</v>
      </c>
      <c r="C2457" t="str">
        <f t="shared" si="819"/>
        <v>FFDFD3C0</v>
      </c>
      <c r="D2457" t="s">
        <v>113</v>
      </c>
      <c r="E2457">
        <v>5</v>
      </c>
      <c r="H2457">
        <v>163</v>
      </c>
      <c r="I2457" t="s">
        <v>114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834"/>
        <v>06:19:09.148</v>
      </c>
      <c r="T2457" t="str">
        <f t="shared" si="835"/>
        <v>06:19:08.648</v>
      </c>
      <c r="U2457" t="str">
        <f t="shared" si="822"/>
        <v>A7E2E0</v>
      </c>
      <c r="V2457">
        <v>0</v>
      </c>
      <c r="W2457">
        <v>0</v>
      </c>
      <c r="X2457">
        <v>1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0</v>
      </c>
      <c r="AI2457" t="s">
        <v>1345</v>
      </c>
      <c r="AJ2457">
        <v>38.921728000000002</v>
      </c>
      <c r="AK2457" t="s">
        <v>1346</v>
      </c>
      <c r="AL2457">
        <v>-87.612382999999994</v>
      </c>
      <c r="AM2457">
        <v>100</v>
      </c>
      <c r="AN2457">
        <v>2400</v>
      </c>
      <c r="AO2457" t="s">
        <v>118</v>
      </c>
      <c r="AP2457">
        <v>15</v>
      </c>
      <c r="AQ2457">
        <v>-149</v>
      </c>
      <c r="AR2457">
        <v>-64</v>
      </c>
      <c r="AZ2457">
        <v>4552</v>
      </c>
      <c r="BA2457">
        <v>1</v>
      </c>
      <c r="BB2457" t="str">
        <f t="shared" si="823"/>
        <v xml:space="preserve">N607SR  </v>
      </c>
      <c r="BC2457">
        <v>1</v>
      </c>
      <c r="BE2457">
        <v>0</v>
      </c>
      <c r="BF2457">
        <v>0</v>
      </c>
      <c r="BG2457">
        <v>0</v>
      </c>
      <c r="BH2457">
        <v>2150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 t="shared" si="836"/>
        <v>06:19:09.153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465</v>
      </c>
      <c r="CR2457">
        <v>0</v>
      </c>
      <c r="CW2457">
        <v>4726132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 t="shared" ref="A2458:A2463" si="837">"08/29/2020 06:19:06.796"</f>
        <v>08/29/2020 06:19:06.796</v>
      </c>
      <c r="C2458" t="str">
        <f t="shared" si="819"/>
        <v>FFDFD3C0</v>
      </c>
      <c r="D2458" t="s">
        <v>121</v>
      </c>
      <c r="E2458">
        <v>13</v>
      </c>
      <c r="F2458">
        <v>1013</v>
      </c>
      <c r="G2458" t="s">
        <v>122</v>
      </c>
      <c r="J2458" t="s">
        <v>123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ref="S2458:S2463" si="838">"06:19:10.000"</f>
        <v>06:19:10.000</v>
      </c>
      <c r="T2458" t="str">
        <f t="shared" ref="T2458:T2463" si="839">"06:19:09.600"</f>
        <v>06:19:09.600</v>
      </c>
      <c r="U2458" t="str">
        <f t="shared" si="822"/>
        <v>A7E2E0</v>
      </c>
      <c r="V2458">
        <v>0</v>
      </c>
      <c r="W2458">
        <v>0</v>
      </c>
      <c r="X2458">
        <v>1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0</v>
      </c>
      <c r="AI2458" t="s">
        <v>1347</v>
      </c>
      <c r="AJ2458">
        <v>38.921169999999996</v>
      </c>
      <c r="AK2458" t="s">
        <v>1348</v>
      </c>
      <c r="AL2458">
        <v>-87.612318999999999</v>
      </c>
      <c r="AM2458">
        <v>100</v>
      </c>
      <c r="AN2458">
        <v>2500</v>
      </c>
      <c r="AO2458" t="s">
        <v>118</v>
      </c>
      <c r="AP2458">
        <v>15</v>
      </c>
      <c r="AQ2458">
        <v>-149</v>
      </c>
      <c r="AR2458">
        <v>-64</v>
      </c>
      <c r="AZ2458">
        <v>4552</v>
      </c>
      <c r="BA2458">
        <v>1</v>
      </c>
      <c r="BB2458" t="str">
        <f t="shared" si="823"/>
        <v xml:space="preserve">N607SR  </v>
      </c>
      <c r="BC2458">
        <v>1</v>
      </c>
      <c r="BE2458">
        <v>0</v>
      </c>
      <c r="BF2458">
        <v>0</v>
      </c>
      <c r="BG2458">
        <v>0</v>
      </c>
      <c r="BH2458">
        <v>2350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 t="shared" ref="BW2458:BW2463" si="840">"06:19:10.003"</f>
        <v>06:19:10.003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465</v>
      </c>
      <c r="CR2458">
        <v>0</v>
      </c>
      <c r="CW2458">
        <v>4726155</v>
      </c>
      <c r="CY2458">
        <v>1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 t="shared" si="837"/>
        <v>08/29/2020 06:19:06.796</v>
      </c>
      <c r="C2459" t="str">
        <f t="shared" si="819"/>
        <v>FFDFD3C0</v>
      </c>
      <c r="D2459" t="s">
        <v>121</v>
      </c>
      <c r="E2459">
        <v>11</v>
      </c>
      <c r="F2459">
        <v>1011</v>
      </c>
      <c r="G2459" t="s">
        <v>125</v>
      </c>
      <c r="J2459" t="s">
        <v>123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838"/>
        <v>06:19:10.000</v>
      </c>
      <c r="T2459" t="str">
        <f t="shared" si="839"/>
        <v>06:19:09.600</v>
      </c>
      <c r="U2459" t="str">
        <f t="shared" si="822"/>
        <v>A7E2E0</v>
      </c>
      <c r="V2459">
        <v>0</v>
      </c>
      <c r="W2459">
        <v>0</v>
      </c>
      <c r="X2459">
        <v>1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0</v>
      </c>
      <c r="AI2459" t="s">
        <v>1347</v>
      </c>
      <c r="AJ2459">
        <v>38.921169999999996</v>
      </c>
      <c r="AK2459" t="s">
        <v>1348</v>
      </c>
      <c r="AL2459">
        <v>-87.612318999999999</v>
      </c>
      <c r="AM2459">
        <v>100</v>
      </c>
      <c r="AN2459">
        <v>2500</v>
      </c>
      <c r="AO2459" t="s">
        <v>118</v>
      </c>
      <c r="AP2459">
        <v>15</v>
      </c>
      <c r="AQ2459">
        <v>-149</v>
      </c>
      <c r="AR2459">
        <v>-64</v>
      </c>
      <c r="AZ2459">
        <v>4552</v>
      </c>
      <c r="BA2459">
        <v>1</v>
      </c>
      <c r="BB2459" t="str">
        <f t="shared" si="823"/>
        <v xml:space="preserve">N607SR  </v>
      </c>
      <c r="BC2459">
        <v>1</v>
      </c>
      <c r="BE2459">
        <v>0</v>
      </c>
      <c r="BF2459">
        <v>0</v>
      </c>
      <c r="BG2459">
        <v>0</v>
      </c>
      <c r="BH2459">
        <v>2250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 t="shared" si="840"/>
        <v>06:19:10.003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6</v>
      </c>
      <c r="CP2459" t="s">
        <v>119</v>
      </c>
      <c r="CQ2459">
        <v>177</v>
      </c>
      <c r="CR2459">
        <v>2</v>
      </c>
      <c r="CW2459">
        <v>1672319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 t="shared" si="837"/>
        <v>08/29/2020 06:19:06.796</v>
      </c>
      <c r="C2460" t="str">
        <f t="shared" si="819"/>
        <v>FFDFD3C0</v>
      </c>
      <c r="D2460" t="s">
        <v>121</v>
      </c>
      <c r="E2460">
        <v>10</v>
      </c>
      <c r="F2460">
        <v>1010</v>
      </c>
      <c r="G2460" t="s">
        <v>114</v>
      </c>
      <c r="J2460" t="s">
        <v>123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838"/>
        <v>06:19:10.000</v>
      </c>
      <c r="T2460" t="str">
        <f t="shared" si="839"/>
        <v>06:19:09.600</v>
      </c>
      <c r="U2460" t="str">
        <f t="shared" si="822"/>
        <v>A7E2E0</v>
      </c>
      <c r="V2460">
        <v>0</v>
      </c>
      <c r="W2460">
        <v>0</v>
      </c>
      <c r="X2460">
        <v>1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0</v>
      </c>
      <c r="AI2460" t="s">
        <v>1347</v>
      </c>
      <c r="AJ2460">
        <v>38.921169999999996</v>
      </c>
      <c r="AK2460" t="s">
        <v>1348</v>
      </c>
      <c r="AL2460">
        <v>-87.612318999999999</v>
      </c>
      <c r="AM2460">
        <v>100</v>
      </c>
      <c r="AN2460">
        <v>2500</v>
      </c>
      <c r="AO2460" t="s">
        <v>118</v>
      </c>
      <c r="AP2460">
        <v>15</v>
      </c>
      <c r="AQ2460">
        <v>-149</v>
      </c>
      <c r="AR2460">
        <v>-64</v>
      </c>
      <c r="AZ2460">
        <v>4552</v>
      </c>
      <c r="BA2460">
        <v>1</v>
      </c>
      <c r="BB2460" t="str">
        <f t="shared" si="823"/>
        <v xml:space="preserve">N607SR  </v>
      </c>
      <c r="BC2460">
        <v>1</v>
      </c>
      <c r="BE2460">
        <v>0</v>
      </c>
      <c r="BF2460">
        <v>0</v>
      </c>
      <c r="BG2460">
        <v>0</v>
      </c>
      <c r="BH2460">
        <v>2350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 t="shared" si="840"/>
        <v>06:19:10.003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465</v>
      </c>
      <c r="CR2460">
        <v>0</v>
      </c>
      <c r="CW2460">
        <v>4726155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 t="shared" si="837"/>
        <v>08/29/2020 06:19:06.796</v>
      </c>
      <c r="C2461" t="str">
        <f t="shared" si="819"/>
        <v>FFDFD3C0</v>
      </c>
      <c r="D2461" t="s">
        <v>939</v>
      </c>
      <c r="E2461">
        <v>10</v>
      </c>
      <c r="H2461">
        <v>79</v>
      </c>
      <c r="I2461" t="s">
        <v>940</v>
      </c>
      <c r="J2461" t="s">
        <v>130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838"/>
        <v>06:19:10.000</v>
      </c>
      <c r="T2461" t="str">
        <f t="shared" si="839"/>
        <v>06:19:09.600</v>
      </c>
      <c r="U2461" t="str">
        <f t="shared" si="822"/>
        <v>A7E2E0</v>
      </c>
      <c r="V2461">
        <v>0</v>
      </c>
      <c r="W2461">
        <v>0</v>
      </c>
      <c r="X2461">
        <v>1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0</v>
      </c>
      <c r="AI2461" t="s">
        <v>1347</v>
      </c>
      <c r="AJ2461">
        <v>38.921169999999996</v>
      </c>
      <c r="AK2461" t="s">
        <v>1348</v>
      </c>
      <c r="AL2461">
        <v>-87.612318999999999</v>
      </c>
      <c r="AM2461">
        <v>100</v>
      </c>
      <c r="AN2461">
        <v>2500</v>
      </c>
      <c r="AO2461" t="s">
        <v>118</v>
      </c>
      <c r="AP2461">
        <v>15</v>
      </c>
      <c r="AQ2461">
        <v>-149</v>
      </c>
      <c r="AR2461">
        <v>-64</v>
      </c>
      <c r="AZ2461">
        <v>4552</v>
      </c>
      <c r="BA2461">
        <v>1</v>
      </c>
      <c r="BB2461" t="str">
        <f t="shared" si="823"/>
        <v xml:space="preserve">N607SR  </v>
      </c>
      <c r="BC2461">
        <v>1</v>
      </c>
      <c r="BE2461">
        <v>0</v>
      </c>
      <c r="BF2461">
        <v>0</v>
      </c>
      <c r="BG2461">
        <v>0</v>
      </c>
      <c r="BH2461">
        <v>2350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 t="shared" si="840"/>
        <v>06:19:10.003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465</v>
      </c>
      <c r="CR2461">
        <v>0</v>
      </c>
      <c r="CW2461">
        <v>4726155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 t="shared" si="837"/>
        <v>08/29/2020 06:19:06.796</v>
      </c>
      <c r="C2462" t="str">
        <f t="shared" si="819"/>
        <v>FFDFD3C0</v>
      </c>
      <c r="D2462" t="s">
        <v>113</v>
      </c>
      <c r="E2462">
        <v>5</v>
      </c>
      <c r="H2462">
        <v>163</v>
      </c>
      <c r="I2462" t="s">
        <v>114</v>
      </c>
      <c r="J2462" t="s">
        <v>115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838"/>
        <v>06:19:10.000</v>
      </c>
      <c r="T2462" t="str">
        <f t="shared" si="839"/>
        <v>06:19:09.600</v>
      </c>
      <c r="U2462" t="str">
        <f t="shared" si="822"/>
        <v>A7E2E0</v>
      </c>
      <c r="V2462">
        <v>0</v>
      </c>
      <c r="W2462">
        <v>0</v>
      </c>
      <c r="X2462">
        <v>1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0</v>
      </c>
      <c r="AI2462" t="s">
        <v>1347</v>
      </c>
      <c r="AJ2462">
        <v>38.921169999999996</v>
      </c>
      <c r="AK2462" t="s">
        <v>1348</v>
      </c>
      <c r="AL2462">
        <v>-87.612318999999999</v>
      </c>
      <c r="AM2462">
        <v>100</v>
      </c>
      <c r="AN2462">
        <v>2500</v>
      </c>
      <c r="AO2462" t="s">
        <v>118</v>
      </c>
      <c r="AP2462">
        <v>15</v>
      </c>
      <c r="AQ2462">
        <v>-149</v>
      </c>
      <c r="AR2462">
        <v>-64</v>
      </c>
      <c r="AZ2462">
        <v>4552</v>
      </c>
      <c r="BA2462">
        <v>1</v>
      </c>
      <c r="BB2462" t="str">
        <f t="shared" si="823"/>
        <v xml:space="preserve">N607SR  </v>
      </c>
      <c r="BC2462">
        <v>1</v>
      </c>
      <c r="BE2462">
        <v>0</v>
      </c>
      <c r="BF2462">
        <v>0</v>
      </c>
      <c r="BG2462">
        <v>0</v>
      </c>
      <c r="BH2462">
        <v>2350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 t="shared" si="840"/>
        <v>06:19:10.003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465</v>
      </c>
      <c r="CR2462">
        <v>0</v>
      </c>
      <c r="CW2462">
        <v>4726155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 t="shared" si="837"/>
        <v>08/29/2020 06:19:06.796</v>
      </c>
      <c r="C2463" t="str">
        <f t="shared" si="819"/>
        <v>FFDFD3C0</v>
      </c>
      <c r="D2463" t="s">
        <v>128</v>
      </c>
      <c r="E2463">
        <v>5</v>
      </c>
      <c r="H2463">
        <v>241</v>
      </c>
      <c r="I2463" t="s">
        <v>129</v>
      </c>
      <c r="J2463" t="s">
        <v>130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838"/>
        <v>06:19:10.000</v>
      </c>
      <c r="T2463" t="str">
        <f t="shared" si="839"/>
        <v>06:19:09.600</v>
      </c>
      <c r="U2463" t="str">
        <f t="shared" si="822"/>
        <v>A7E2E0</v>
      </c>
      <c r="V2463">
        <v>0</v>
      </c>
      <c r="W2463">
        <v>0</v>
      </c>
      <c r="X2463">
        <v>1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0</v>
      </c>
      <c r="AI2463" t="s">
        <v>1347</v>
      </c>
      <c r="AJ2463">
        <v>38.921169999999996</v>
      </c>
      <c r="AK2463" t="s">
        <v>1348</v>
      </c>
      <c r="AL2463">
        <v>-87.612318999999999</v>
      </c>
      <c r="AM2463">
        <v>100</v>
      </c>
      <c r="AN2463">
        <v>2500</v>
      </c>
      <c r="AO2463" t="s">
        <v>118</v>
      </c>
      <c r="AP2463">
        <v>15</v>
      </c>
      <c r="AQ2463">
        <v>-149</v>
      </c>
      <c r="AR2463">
        <v>-64</v>
      </c>
      <c r="AZ2463">
        <v>4552</v>
      </c>
      <c r="BA2463">
        <v>1</v>
      </c>
      <c r="BB2463" t="str">
        <f t="shared" si="823"/>
        <v xml:space="preserve">N607SR  </v>
      </c>
      <c r="BC2463">
        <v>1</v>
      </c>
      <c r="BE2463">
        <v>0</v>
      </c>
      <c r="BF2463">
        <v>0</v>
      </c>
      <c r="BG2463">
        <v>0</v>
      </c>
      <c r="BH2463">
        <v>2350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 t="shared" si="840"/>
        <v>06:19:10.003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465</v>
      </c>
      <c r="CR2463">
        <v>0</v>
      </c>
      <c r="CW2463">
        <v>4726155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 t="shared" ref="A2464:A2469" si="841">"08/29/2020 06:19:07.708"</f>
        <v>08/29/2020 06:19:07.708</v>
      </c>
      <c r="C2464" t="str">
        <f t="shared" si="819"/>
        <v>FFDFD3C0</v>
      </c>
      <c r="D2464" t="s">
        <v>121</v>
      </c>
      <c r="E2464">
        <v>13</v>
      </c>
      <c r="F2464">
        <v>1013</v>
      </c>
      <c r="G2464" t="s">
        <v>122</v>
      </c>
      <c r="J2464" t="s">
        <v>123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ref="S2464:S2469" si="842">"06:19:10.945"</f>
        <v>06:19:10.945</v>
      </c>
      <c r="T2464" t="str">
        <f t="shared" ref="T2464:T2469" si="843">"06:19:10.545"</f>
        <v>06:19:10.545</v>
      </c>
      <c r="U2464" t="str">
        <f t="shared" si="822"/>
        <v>A7E2E0</v>
      </c>
      <c r="V2464">
        <v>0</v>
      </c>
      <c r="W2464">
        <v>0</v>
      </c>
      <c r="X2464">
        <v>1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0</v>
      </c>
      <c r="AI2464" t="s">
        <v>1349</v>
      </c>
      <c r="AJ2464">
        <v>38.920484000000002</v>
      </c>
      <c r="AK2464" t="s">
        <v>1350</v>
      </c>
      <c r="AL2464">
        <v>-87.612212</v>
      </c>
      <c r="AM2464">
        <v>100</v>
      </c>
      <c r="AN2464">
        <v>2400</v>
      </c>
      <c r="AO2464" t="s">
        <v>118</v>
      </c>
      <c r="AP2464">
        <v>16</v>
      </c>
      <c r="AQ2464">
        <v>-148</v>
      </c>
      <c r="AR2464">
        <v>-128</v>
      </c>
      <c r="AZ2464">
        <v>4552</v>
      </c>
      <c r="BA2464">
        <v>1</v>
      </c>
      <c r="BB2464" t="str">
        <f t="shared" si="823"/>
        <v xml:space="preserve">N607SR  </v>
      </c>
      <c r="BC2464">
        <v>1</v>
      </c>
      <c r="BE2464">
        <v>0</v>
      </c>
      <c r="BF2464">
        <v>0</v>
      </c>
      <c r="BG2464">
        <v>0</v>
      </c>
      <c r="BH2464">
        <v>2250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 t="shared" ref="BW2464:BW2469" si="844">"06:19:10.950"</f>
        <v>06:19:10.950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465</v>
      </c>
      <c r="CR2464">
        <v>0</v>
      </c>
      <c r="CW2464">
        <v>4726190</v>
      </c>
      <c r="CY2464">
        <v>1</v>
      </c>
      <c r="CZ2464">
        <v>0</v>
      </c>
      <c r="DA2464">
        <v>0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 t="shared" si="841"/>
        <v>08/29/2020 06:19:07.708</v>
      </c>
      <c r="C2465" t="str">
        <f t="shared" si="819"/>
        <v>FFDFD3C0</v>
      </c>
      <c r="D2465" t="s">
        <v>121</v>
      </c>
      <c r="E2465">
        <v>11</v>
      </c>
      <c r="F2465">
        <v>1011</v>
      </c>
      <c r="G2465" t="s">
        <v>125</v>
      </c>
      <c r="J2465" t="s">
        <v>123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842"/>
        <v>06:19:10.945</v>
      </c>
      <c r="T2465" t="str">
        <f t="shared" si="843"/>
        <v>06:19:10.545</v>
      </c>
      <c r="U2465" t="str">
        <f t="shared" si="822"/>
        <v>A7E2E0</v>
      </c>
      <c r="V2465">
        <v>0</v>
      </c>
      <c r="W2465">
        <v>0</v>
      </c>
      <c r="X2465">
        <v>1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0</v>
      </c>
      <c r="AI2465" t="s">
        <v>1349</v>
      </c>
      <c r="AJ2465">
        <v>38.920484000000002</v>
      </c>
      <c r="AK2465" t="s">
        <v>1350</v>
      </c>
      <c r="AL2465">
        <v>-87.612212</v>
      </c>
      <c r="AM2465">
        <v>100</v>
      </c>
      <c r="AN2465">
        <v>2400</v>
      </c>
      <c r="AO2465" t="s">
        <v>118</v>
      </c>
      <c r="AP2465">
        <v>16</v>
      </c>
      <c r="AQ2465">
        <v>-148</v>
      </c>
      <c r="AR2465">
        <v>-128</v>
      </c>
      <c r="AZ2465">
        <v>4552</v>
      </c>
      <c r="BA2465">
        <v>1</v>
      </c>
      <c r="BB2465" t="str">
        <f t="shared" si="823"/>
        <v xml:space="preserve">N607SR  </v>
      </c>
      <c r="BC2465">
        <v>1</v>
      </c>
      <c r="BE2465">
        <v>0</v>
      </c>
      <c r="BF2465">
        <v>0</v>
      </c>
      <c r="BG2465">
        <v>0</v>
      </c>
      <c r="BH2465">
        <v>2250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 t="shared" si="844"/>
        <v>06:19:10.950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5</v>
      </c>
      <c r="CP2465" t="s">
        <v>119</v>
      </c>
      <c r="CQ2465">
        <v>457</v>
      </c>
      <c r="CR2465">
        <v>0</v>
      </c>
      <c r="CW2465">
        <v>15521269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 t="shared" si="841"/>
        <v>08/29/2020 06:19:07.708</v>
      </c>
      <c r="C2466" t="str">
        <f t="shared" si="819"/>
        <v>FFDFD3C0</v>
      </c>
      <c r="D2466" t="s">
        <v>939</v>
      </c>
      <c r="E2466">
        <v>10</v>
      </c>
      <c r="H2466">
        <v>79</v>
      </c>
      <c r="I2466" t="s">
        <v>940</v>
      </c>
      <c r="J2466" t="s">
        <v>130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842"/>
        <v>06:19:10.945</v>
      </c>
      <c r="T2466" t="str">
        <f t="shared" si="843"/>
        <v>06:19:10.545</v>
      </c>
      <c r="U2466" t="str">
        <f t="shared" si="822"/>
        <v>A7E2E0</v>
      </c>
      <c r="V2466">
        <v>0</v>
      </c>
      <c r="W2466">
        <v>0</v>
      </c>
      <c r="X2466">
        <v>1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0</v>
      </c>
      <c r="AI2466" t="s">
        <v>1349</v>
      </c>
      <c r="AJ2466">
        <v>38.920484000000002</v>
      </c>
      <c r="AK2466" t="s">
        <v>1350</v>
      </c>
      <c r="AL2466">
        <v>-87.612212</v>
      </c>
      <c r="AM2466">
        <v>100</v>
      </c>
      <c r="AN2466">
        <v>2400</v>
      </c>
      <c r="AO2466" t="s">
        <v>118</v>
      </c>
      <c r="AP2466">
        <v>16</v>
      </c>
      <c r="AQ2466">
        <v>-148</v>
      </c>
      <c r="AR2466">
        <v>-128</v>
      </c>
      <c r="AZ2466">
        <v>4552</v>
      </c>
      <c r="BA2466">
        <v>1</v>
      </c>
      <c r="BB2466" t="str">
        <f t="shared" si="823"/>
        <v xml:space="preserve">N607SR  </v>
      </c>
      <c r="BC2466">
        <v>1</v>
      </c>
      <c r="BE2466">
        <v>0</v>
      </c>
      <c r="BF2466">
        <v>0</v>
      </c>
      <c r="BG2466">
        <v>0</v>
      </c>
      <c r="BH2466">
        <v>2250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 t="shared" si="844"/>
        <v>06:19:10.950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465</v>
      </c>
      <c r="CR2466">
        <v>0</v>
      </c>
      <c r="CW2466">
        <v>4726190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 t="shared" si="841"/>
        <v>08/29/2020 06:19:07.708</v>
      </c>
      <c r="C2467" t="str">
        <f t="shared" si="819"/>
        <v>FFDFD3C0</v>
      </c>
      <c r="D2467" t="s">
        <v>121</v>
      </c>
      <c r="E2467">
        <v>10</v>
      </c>
      <c r="F2467">
        <v>1010</v>
      </c>
      <c r="G2467" t="s">
        <v>114</v>
      </c>
      <c r="J2467" t="s">
        <v>123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842"/>
        <v>06:19:10.945</v>
      </c>
      <c r="T2467" t="str">
        <f t="shared" si="843"/>
        <v>06:19:10.545</v>
      </c>
      <c r="U2467" t="str">
        <f t="shared" si="822"/>
        <v>A7E2E0</v>
      </c>
      <c r="V2467">
        <v>0</v>
      </c>
      <c r="W2467">
        <v>0</v>
      </c>
      <c r="X2467">
        <v>1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0</v>
      </c>
      <c r="AI2467" t="s">
        <v>1349</v>
      </c>
      <c r="AJ2467">
        <v>38.920484000000002</v>
      </c>
      <c r="AK2467" t="s">
        <v>1350</v>
      </c>
      <c r="AL2467">
        <v>-87.612212</v>
      </c>
      <c r="AM2467">
        <v>100</v>
      </c>
      <c r="AN2467">
        <v>2400</v>
      </c>
      <c r="AO2467" t="s">
        <v>118</v>
      </c>
      <c r="AP2467">
        <v>16</v>
      </c>
      <c r="AQ2467">
        <v>-148</v>
      </c>
      <c r="AR2467">
        <v>-128</v>
      </c>
      <c r="AZ2467">
        <v>4552</v>
      </c>
      <c r="BA2467">
        <v>1</v>
      </c>
      <c r="BB2467" t="str">
        <f t="shared" si="823"/>
        <v xml:space="preserve">N607SR  </v>
      </c>
      <c r="BC2467">
        <v>1</v>
      </c>
      <c r="BE2467">
        <v>0</v>
      </c>
      <c r="BF2467">
        <v>0</v>
      </c>
      <c r="BG2467">
        <v>0</v>
      </c>
      <c r="BH2467">
        <v>2250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 t="shared" si="844"/>
        <v>06:19:10.950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465</v>
      </c>
      <c r="CR2467">
        <v>0</v>
      </c>
      <c r="CW2467">
        <v>4726190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 t="shared" si="841"/>
        <v>08/29/2020 06:19:07.708</v>
      </c>
      <c r="C2468" t="str">
        <f t="shared" si="819"/>
        <v>FFDFD3C0</v>
      </c>
      <c r="D2468" t="s">
        <v>113</v>
      </c>
      <c r="E2468">
        <v>5</v>
      </c>
      <c r="H2468">
        <v>163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842"/>
        <v>06:19:10.945</v>
      </c>
      <c r="T2468" t="str">
        <f t="shared" si="843"/>
        <v>06:19:10.545</v>
      </c>
      <c r="U2468" t="str">
        <f t="shared" si="822"/>
        <v>A7E2E0</v>
      </c>
      <c r="V2468">
        <v>0</v>
      </c>
      <c r="W2468">
        <v>0</v>
      </c>
      <c r="X2468">
        <v>1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0</v>
      </c>
      <c r="AI2468" t="s">
        <v>1349</v>
      </c>
      <c r="AJ2468">
        <v>38.920484000000002</v>
      </c>
      <c r="AK2468" t="s">
        <v>1350</v>
      </c>
      <c r="AL2468">
        <v>-87.612212</v>
      </c>
      <c r="AM2468">
        <v>100</v>
      </c>
      <c r="AN2468">
        <v>2400</v>
      </c>
      <c r="AO2468" t="s">
        <v>118</v>
      </c>
      <c r="AP2468">
        <v>16</v>
      </c>
      <c r="AQ2468">
        <v>-148</v>
      </c>
      <c r="AR2468">
        <v>-128</v>
      </c>
      <c r="AZ2468">
        <v>4552</v>
      </c>
      <c r="BA2468">
        <v>1</v>
      </c>
      <c r="BB2468" t="str">
        <f t="shared" si="823"/>
        <v xml:space="preserve">N607SR  </v>
      </c>
      <c r="BC2468">
        <v>1</v>
      </c>
      <c r="BE2468">
        <v>0</v>
      </c>
      <c r="BF2468">
        <v>0</v>
      </c>
      <c r="BG2468">
        <v>0</v>
      </c>
      <c r="BH2468">
        <v>2250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 t="shared" si="844"/>
        <v>06:19:10.950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465</v>
      </c>
      <c r="CR2468">
        <v>0</v>
      </c>
      <c r="CW2468">
        <v>4726190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 t="shared" si="841"/>
        <v>08/29/2020 06:19:07.708</v>
      </c>
      <c r="C2469" t="str">
        <f t="shared" si="819"/>
        <v>FFDFD3C0</v>
      </c>
      <c r="D2469" t="s">
        <v>128</v>
      </c>
      <c r="E2469">
        <v>5</v>
      </c>
      <c r="H2469">
        <v>241</v>
      </c>
      <c r="I2469" t="s">
        <v>129</v>
      </c>
      <c r="J2469" t="s">
        <v>130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842"/>
        <v>06:19:10.945</v>
      </c>
      <c r="T2469" t="str">
        <f t="shared" si="843"/>
        <v>06:19:10.545</v>
      </c>
      <c r="U2469" t="str">
        <f t="shared" si="822"/>
        <v>A7E2E0</v>
      </c>
      <c r="V2469">
        <v>0</v>
      </c>
      <c r="W2469">
        <v>0</v>
      </c>
      <c r="X2469">
        <v>1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0</v>
      </c>
      <c r="AI2469" t="s">
        <v>1349</v>
      </c>
      <c r="AJ2469">
        <v>38.920484000000002</v>
      </c>
      <c r="AK2469" t="s">
        <v>1350</v>
      </c>
      <c r="AL2469">
        <v>-87.612212</v>
      </c>
      <c r="AM2469">
        <v>100</v>
      </c>
      <c r="AN2469">
        <v>2400</v>
      </c>
      <c r="AO2469" t="s">
        <v>118</v>
      </c>
      <c r="AP2469">
        <v>16</v>
      </c>
      <c r="AQ2469">
        <v>-148</v>
      </c>
      <c r="AR2469">
        <v>-128</v>
      </c>
      <c r="AZ2469">
        <v>4552</v>
      </c>
      <c r="BA2469">
        <v>1</v>
      </c>
      <c r="BB2469" t="str">
        <f t="shared" si="823"/>
        <v xml:space="preserve">N607SR  </v>
      </c>
      <c r="BC2469">
        <v>1</v>
      </c>
      <c r="BE2469">
        <v>0</v>
      </c>
      <c r="BF2469">
        <v>0</v>
      </c>
      <c r="BG2469">
        <v>0</v>
      </c>
      <c r="BH2469">
        <v>2250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 t="shared" si="844"/>
        <v>06:19:10.950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465</v>
      </c>
      <c r="CR2469">
        <v>0</v>
      </c>
      <c r="CW2469">
        <v>4726190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 t="shared" ref="A2470:A2475" si="845">"08/29/2020 06:19:08.817"</f>
        <v>08/29/2020 06:19:08.817</v>
      </c>
      <c r="C2470" t="str">
        <f t="shared" si="819"/>
        <v>FFDFD3C0</v>
      </c>
      <c r="D2470" t="s">
        <v>939</v>
      </c>
      <c r="E2470">
        <v>10</v>
      </c>
      <c r="H2470">
        <v>79</v>
      </c>
      <c r="I2470" t="s">
        <v>940</v>
      </c>
      <c r="J2470" t="s">
        <v>130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ref="S2470:S2475" si="846">"06:19:12.039"</f>
        <v>06:19:12.039</v>
      </c>
      <c r="T2470" t="str">
        <f t="shared" ref="T2470:T2475" si="847">"06:19:11.539"</f>
        <v>06:19:11.539</v>
      </c>
      <c r="U2470" t="str">
        <f t="shared" si="822"/>
        <v>A7E2E0</v>
      </c>
      <c r="V2470">
        <v>0</v>
      </c>
      <c r="W2470">
        <v>0</v>
      </c>
      <c r="X2470">
        <v>1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0</v>
      </c>
      <c r="AI2470" t="s">
        <v>1351</v>
      </c>
      <c r="AJ2470">
        <v>38.919711</v>
      </c>
      <c r="AK2470" t="s">
        <v>1352</v>
      </c>
      <c r="AL2470">
        <v>-87.612126000000004</v>
      </c>
      <c r="AM2470">
        <v>100</v>
      </c>
      <c r="AN2470">
        <v>2400</v>
      </c>
      <c r="AO2470" t="s">
        <v>118</v>
      </c>
      <c r="AP2470">
        <v>16</v>
      </c>
      <c r="AQ2470">
        <v>-148</v>
      </c>
      <c r="AR2470">
        <v>-128</v>
      </c>
      <c r="AZ2470">
        <v>4552</v>
      </c>
      <c r="BA2470">
        <v>1</v>
      </c>
      <c r="BB2470" t="str">
        <f t="shared" si="823"/>
        <v xml:space="preserve">N607SR  </v>
      </c>
      <c r="BC2470">
        <v>1</v>
      </c>
      <c r="BE2470">
        <v>0</v>
      </c>
      <c r="BF2470">
        <v>0</v>
      </c>
      <c r="BG2470">
        <v>0</v>
      </c>
      <c r="BH2470">
        <v>2250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 t="shared" ref="BW2470:BW2475" si="848">"06:19:12.046"</f>
        <v>06:19:12.046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465</v>
      </c>
      <c r="CR2470">
        <v>0</v>
      </c>
      <c r="CW2470">
        <v>4726224</v>
      </c>
      <c r="CY2470">
        <v>1</v>
      </c>
      <c r="CZ2470">
        <v>0</v>
      </c>
      <c r="DA2470">
        <v>0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 t="shared" si="845"/>
        <v>08/29/2020 06:19:08.817</v>
      </c>
      <c r="C2471" t="str">
        <f t="shared" si="819"/>
        <v>FFDFD3C0</v>
      </c>
      <c r="D2471" t="s">
        <v>121</v>
      </c>
      <c r="E2471">
        <v>10</v>
      </c>
      <c r="F2471">
        <v>1010</v>
      </c>
      <c r="G2471" t="s">
        <v>114</v>
      </c>
      <c r="J2471" t="s">
        <v>123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846"/>
        <v>06:19:12.039</v>
      </c>
      <c r="T2471" t="str">
        <f t="shared" si="847"/>
        <v>06:19:11.539</v>
      </c>
      <c r="U2471" t="str">
        <f t="shared" si="822"/>
        <v>A7E2E0</v>
      </c>
      <c r="V2471">
        <v>0</v>
      </c>
      <c r="W2471">
        <v>0</v>
      </c>
      <c r="X2471">
        <v>1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0</v>
      </c>
      <c r="AI2471" t="s">
        <v>1351</v>
      </c>
      <c r="AJ2471">
        <v>38.919711</v>
      </c>
      <c r="AK2471" t="s">
        <v>1352</v>
      </c>
      <c r="AL2471">
        <v>-87.612126000000004</v>
      </c>
      <c r="AM2471">
        <v>100</v>
      </c>
      <c r="AN2471">
        <v>2400</v>
      </c>
      <c r="AO2471" t="s">
        <v>118</v>
      </c>
      <c r="AP2471">
        <v>16</v>
      </c>
      <c r="AQ2471">
        <v>-148</v>
      </c>
      <c r="AR2471">
        <v>-128</v>
      </c>
      <c r="AZ2471">
        <v>4552</v>
      </c>
      <c r="BA2471">
        <v>1</v>
      </c>
      <c r="BB2471" t="str">
        <f t="shared" si="823"/>
        <v xml:space="preserve">N607SR  </v>
      </c>
      <c r="BC2471">
        <v>1</v>
      </c>
      <c r="BE2471">
        <v>0</v>
      </c>
      <c r="BF2471">
        <v>0</v>
      </c>
      <c r="BG2471">
        <v>0</v>
      </c>
      <c r="BH2471">
        <v>2250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 t="shared" si="848"/>
        <v>06:19:12.046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465</v>
      </c>
      <c r="CR2471">
        <v>0</v>
      </c>
      <c r="CW2471">
        <v>4726224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 t="shared" si="845"/>
        <v>08/29/2020 06:19:08.817</v>
      </c>
      <c r="C2472" t="str">
        <f t="shared" si="819"/>
        <v>FFDFD3C0</v>
      </c>
      <c r="D2472" t="s">
        <v>121</v>
      </c>
      <c r="E2472">
        <v>13</v>
      </c>
      <c r="F2472">
        <v>1013</v>
      </c>
      <c r="G2472" t="s">
        <v>122</v>
      </c>
      <c r="J2472" t="s">
        <v>123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846"/>
        <v>06:19:12.039</v>
      </c>
      <c r="T2472" t="str">
        <f t="shared" si="847"/>
        <v>06:19:11.539</v>
      </c>
      <c r="U2472" t="str">
        <f t="shared" si="822"/>
        <v>A7E2E0</v>
      </c>
      <c r="V2472">
        <v>0</v>
      </c>
      <c r="W2472">
        <v>0</v>
      </c>
      <c r="X2472">
        <v>1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0</v>
      </c>
      <c r="AI2472" t="s">
        <v>1351</v>
      </c>
      <c r="AJ2472">
        <v>38.919711</v>
      </c>
      <c r="AK2472" t="s">
        <v>1352</v>
      </c>
      <c r="AL2472">
        <v>-87.612126000000004</v>
      </c>
      <c r="AM2472">
        <v>100</v>
      </c>
      <c r="AN2472">
        <v>2400</v>
      </c>
      <c r="AO2472" t="s">
        <v>118</v>
      </c>
      <c r="AP2472">
        <v>16</v>
      </c>
      <c r="AQ2472">
        <v>-148</v>
      </c>
      <c r="AR2472">
        <v>-128</v>
      </c>
      <c r="AZ2472">
        <v>4552</v>
      </c>
      <c r="BA2472">
        <v>1</v>
      </c>
      <c r="BB2472" t="str">
        <f t="shared" si="823"/>
        <v xml:space="preserve">N607SR  </v>
      </c>
      <c r="BC2472">
        <v>1</v>
      </c>
      <c r="BE2472">
        <v>0</v>
      </c>
      <c r="BF2472">
        <v>0</v>
      </c>
      <c r="BG2472">
        <v>0</v>
      </c>
      <c r="BH2472">
        <v>2250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 t="shared" si="848"/>
        <v>06:19:12.046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465</v>
      </c>
      <c r="CR2472">
        <v>0</v>
      </c>
      <c r="CW2472">
        <v>4726224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si="845"/>
        <v>08/29/2020 06:19:08.817</v>
      </c>
      <c r="C2473" t="str">
        <f t="shared" si="819"/>
        <v>FFDFD3C0</v>
      </c>
      <c r="D2473" t="s">
        <v>121</v>
      </c>
      <c r="E2473">
        <v>11</v>
      </c>
      <c r="F2473">
        <v>1011</v>
      </c>
      <c r="G2473" t="s">
        <v>125</v>
      </c>
      <c r="J2473" t="s">
        <v>123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846"/>
        <v>06:19:12.039</v>
      </c>
      <c r="T2473" t="str">
        <f t="shared" si="847"/>
        <v>06:19:11.539</v>
      </c>
      <c r="U2473" t="str">
        <f t="shared" si="822"/>
        <v>A7E2E0</v>
      </c>
      <c r="V2473">
        <v>0</v>
      </c>
      <c r="W2473">
        <v>0</v>
      </c>
      <c r="X2473">
        <v>1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0</v>
      </c>
      <c r="AI2473" t="s">
        <v>1351</v>
      </c>
      <c r="AJ2473">
        <v>38.919711</v>
      </c>
      <c r="AK2473" t="s">
        <v>1352</v>
      </c>
      <c r="AL2473">
        <v>-87.612126000000004</v>
      </c>
      <c r="AM2473">
        <v>100</v>
      </c>
      <c r="AN2473">
        <v>2400</v>
      </c>
      <c r="AO2473" t="s">
        <v>118</v>
      </c>
      <c r="AP2473">
        <v>16</v>
      </c>
      <c r="AQ2473">
        <v>-148</v>
      </c>
      <c r="AR2473">
        <v>-128</v>
      </c>
      <c r="AZ2473">
        <v>4552</v>
      </c>
      <c r="BA2473">
        <v>1</v>
      </c>
      <c r="BB2473" t="str">
        <f t="shared" si="823"/>
        <v xml:space="preserve">N607SR  </v>
      </c>
      <c r="BC2473">
        <v>1</v>
      </c>
      <c r="BE2473">
        <v>0</v>
      </c>
      <c r="BF2473">
        <v>0</v>
      </c>
      <c r="BG2473">
        <v>0</v>
      </c>
      <c r="BH2473">
        <v>2250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 t="shared" si="848"/>
        <v>06:19:12.046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5</v>
      </c>
      <c r="CP2473" t="s">
        <v>119</v>
      </c>
      <c r="CQ2473">
        <v>457</v>
      </c>
      <c r="CR2473">
        <v>0</v>
      </c>
      <c r="CW2473">
        <v>15521300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845"/>
        <v>08/29/2020 06:19:08.817</v>
      </c>
      <c r="C2474" t="str">
        <f t="shared" si="819"/>
        <v>FFDFD3C0</v>
      </c>
      <c r="D2474" t="s">
        <v>113</v>
      </c>
      <c r="E2474">
        <v>5</v>
      </c>
      <c r="H2474">
        <v>163</v>
      </c>
      <c r="I2474" t="s">
        <v>114</v>
      </c>
      <c r="J2474" t="s">
        <v>115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846"/>
        <v>06:19:12.039</v>
      </c>
      <c r="T2474" t="str">
        <f t="shared" si="847"/>
        <v>06:19:11.539</v>
      </c>
      <c r="U2474" t="str">
        <f t="shared" si="822"/>
        <v>A7E2E0</v>
      </c>
      <c r="V2474">
        <v>0</v>
      </c>
      <c r="W2474">
        <v>0</v>
      </c>
      <c r="X2474">
        <v>1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0</v>
      </c>
      <c r="AI2474" t="s">
        <v>1351</v>
      </c>
      <c r="AJ2474">
        <v>38.919711</v>
      </c>
      <c r="AK2474" t="s">
        <v>1352</v>
      </c>
      <c r="AL2474">
        <v>-87.612126000000004</v>
      </c>
      <c r="AM2474">
        <v>100</v>
      </c>
      <c r="AN2474">
        <v>2400</v>
      </c>
      <c r="AO2474" t="s">
        <v>118</v>
      </c>
      <c r="AP2474">
        <v>16</v>
      </c>
      <c r="AQ2474">
        <v>-148</v>
      </c>
      <c r="AR2474">
        <v>-128</v>
      </c>
      <c r="AZ2474">
        <v>4552</v>
      </c>
      <c r="BA2474">
        <v>1</v>
      </c>
      <c r="BB2474" t="str">
        <f t="shared" si="823"/>
        <v xml:space="preserve">N607SR  </v>
      </c>
      <c r="BC2474">
        <v>1</v>
      </c>
      <c r="BE2474">
        <v>0</v>
      </c>
      <c r="BF2474">
        <v>0</v>
      </c>
      <c r="BG2474">
        <v>0</v>
      </c>
      <c r="BH2474">
        <v>2250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 t="shared" si="848"/>
        <v>06:19:12.046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465</v>
      </c>
      <c r="CR2474">
        <v>0</v>
      </c>
      <c r="CW2474">
        <v>4726224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 t="shared" si="845"/>
        <v>08/29/2020 06:19:08.817</v>
      </c>
      <c r="C2475" t="str">
        <f t="shared" si="819"/>
        <v>FFDFD3C0</v>
      </c>
      <c r="D2475" t="s">
        <v>128</v>
      </c>
      <c r="E2475">
        <v>5</v>
      </c>
      <c r="H2475">
        <v>241</v>
      </c>
      <c r="I2475" t="s">
        <v>129</v>
      </c>
      <c r="J2475" t="s">
        <v>130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846"/>
        <v>06:19:12.039</v>
      </c>
      <c r="T2475" t="str">
        <f t="shared" si="847"/>
        <v>06:19:11.539</v>
      </c>
      <c r="U2475" t="str">
        <f t="shared" si="822"/>
        <v>A7E2E0</v>
      </c>
      <c r="V2475">
        <v>0</v>
      </c>
      <c r="W2475">
        <v>0</v>
      </c>
      <c r="X2475">
        <v>1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0</v>
      </c>
      <c r="AI2475" t="s">
        <v>1351</v>
      </c>
      <c r="AJ2475">
        <v>38.919711</v>
      </c>
      <c r="AK2475" t="s">
        <v>1352</v>
      </c>
      <c r="AL2475">
        <v>-87.612126000000004</v>
      </c>
      <c r="AM2475">
        <v>100</v>
      </c>
      <c r="AN2475">
        <v>2400</v>
      </c>
      <c r="AO2475" t="s">
        <v>118</v>
      </c>
      <c r="AP2475">
        <v>16</v>
      </c>
      <c r="AQ2475">
        <v>-148</v>
      </c>
      <c r="AR2475">
        <v>-128</v>
      </c>
      <c r="AZ2475">
        <v>4552</v>
      </c>
      <c r="BA2475">
        <v>1</v>
      </c>
      <c r="BB2475" t="str">
        <f t="shared" si="823"/>
        <v xml:space="preserve">N607SR  </v>
      </c>
      <c r="BC2475">
        <v>1</v>
      </c>
      <c r="BE2475">
        <v>0</v>
      </c>
      <c r="BF2475">
        <v>0</v>
      </c>
      <c r="BG2475">
        <v>0</v>
      </c>
      <c r="BH2475">
        <v>2250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 t="shared" si="848"/>
        <v>06:19:12.046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465</v>
      </c>
      <c r="CR2475">
        <v>0</v>
      </c>
      <c r="CW2475">
        <v>4726224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 t="shared" ref="A2476:A2481" si="849">"08/29/2020 06:19:09.926"</f>
        <v>08/29/2020 06:19:09.926</v>
      </c>
      <c r="C2476" t="str">
        <f t="shared" si="819"/>
        <v>FFDFD3C0</v>
      </c>
      <c r="D2476" t="s">
        <v>939</v>
      </c>
      <c r="E2476">
        <v>10</v>
      </c>
      <c r="H2476">
        <v>79</v>
      </c>
      <c r="I2476" t="s">
        <v>940</v>
      </c>
      <c r="J2476" t="s">
        <v>130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ref="S2476:S2481" si="850">"06:19:13.156"</f>
        <v>06:19:13.156</v>
      </c>
      <c r="T2476" t="str">
        <f t="shared" ref="T2476:T2481" si="851">"06:19:12.656"</f>
        <v>06:19:12.656</v>
      </c>
      <c r="U2476" t="str">
        <f t="shared" si="822"/>
        <v>A7E2E0</v>
      </c>
      <c r="V2476">
        <v>0</v>
      </c>
      <c r="W2476">
        <v>0</v>
      </c>
      <c r="X2476">
        <v>1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0</v>
      </c>
      <c r="AI2476" t="s">
        <v>1353</v>
      </c>
      <c r="AJ2476">
        <v>38.918982</v>
      </c>
      <c r="AK2476" t="s">
        <v>1354</v>
      </c>
      <c r="AL2476">
        <v>-87.611975999999999</v>
      </c>
      <c r="AM2476">
        <v>100</v>
      </c>
      <c r="AN2476">
        <v>2400</v>
      </c>
      <c r="AO2476" t="s">
        <v>118</v>
      </c>
      <c r="AP2476">
        <v>17</v>
      </c>
      <c r="AQ2476">
        <v>-148</v>
      </c>
      <c r="AR2476">
        <v>-192</v>
      </c>
      <c r="AZ2476">
        <v>4552</v>
      </c>
      <c r="BA2476">
        <v>1</v>
      </c>
      <c r="BB2476" t="str">
        <f t="shared" si="823"/>
        <v xml:space="preserve">N607SR  </v>
      </c>
      <c r="BC2476">
        <v>1</v>
      </c>
      <c r="BE2476">
        <v>0</v>
      </c>
      <c r="BF2476">
        <v>0</v>
      </c>
      <c r="BG2476">
        <v>0</v>
      </c>
      <c r="BH2476">
        <v>2150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 t="shared" ref="BW2476:BW2481" si="852">"06:19:13.159"</f>
        <v>06:19:13.159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465</v>
      </c>
      <c r="CR2476">
        <v>0</v>
      </c>
      <c r="CW2476">
        <v>4726256</v>
      </c>
      <c r="CY2476">
        <v>1</v>
      </c>
      <c r="CZ2476">
        <v>0</v>
      </c>
      <c r="DA2476">
        <v>0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si="849"/>
        <v>08/29/2020 06:19:09.926</v>
      </c>
      <c r="C2477" t="str">
        <f t="shared" si="819"/>
        <v>FFDFD3C0</v>
      </c>
      <c r="D2477" t="s">
        <v>121</v>
      </c>
      <c r="E2477">
        <v>13</v>
      </c>
      <c r="F2477">
        <v>1013</v>
      </c>
      <c r="G2477" t="s">
        <v>122</v>
      </c>
      <c r="J2477" t="s">
        <v>123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850"/>
        <v>06:19:13.156</v>
      </c>
      <c r="T2477" t="str">
        <f t="shared" si="851"/>
        <v>06:19:12.656</v>
      </c>
      <c r="U2477" t="str">
        <f t="shared" si="822"/>
        <v>A7E2E0</v>
      </c>
      <c r="V2477">
        <v>0</v>
      </c>
      <c r="W2477">
        <v>0</v>
      </c>
      <c r="X2477">
        <v>1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0</v>
      </c>
      <c r="AI2477" t="s">
        <v>1353</v>
      </c>
      <c r="AJ2477">
        <v>38.918982</v>
      </c>
      <c r="AK2477" t="s">
        <v>1354</v>
      </c>
      <c r="AL2477">
        <v>-87.611975999999999</v>
      </c>
      <c r="AM2477">
        <v>100</v>
      </c>
      <c r="AN2477">
        <v>2400</v>
      </c>
      <c r="AO2477" t="s">
        <v>118</v>
      </c>
      <c r="AP2477">
        <v>17</v>
      </c>
      <c r="AQ2477">
        <v>-148</v>
      </c>
      <c r="AR2477">
        <v>-192</v>
      </c>
      <c r="AZ2477">
        <v>4552</v>
      </c>
      <c r="BA2477">
        <v>1</v>
      </c>
      <c r="BB2477" t="str">
        <f t="shared" si="823"/>
        <v xml:space="preserve">N607SR  </v>
      </c>
      <c r="BC2477">
        <v>1</v>
      </c>
      <c r="BE2477">
        <v>0</v>
      </c>
      <c r="BF2477">
        <v>0</v>
      </c>
      <c r="BG2477">
        <v>0</v>
      </c>
      <c r="BH2477">
        <v>2150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 t="shared" si="852"/>
        <v>06:19:13.159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465</v>
      </c>
      <c r="CR2477">
        <v>0</v>
      </c>
      <c r="CW2477">
        <v>4726256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849"/>
        <v>08/29/2020 06:19:09.926</v>
      </c>
      <c r="C2478" t="str">
        <f t="shared" si="819"/>
        <v>FFDFD3C0</v>
      </c>
      <c r="D2478" t="s">
        <v>121</v>
      </c>
      <c r="E2478">
        <v>10</v>
      </c>
      <c r="F2478">
        <v>1010</v>
      </c>
      <c r="G2478" t="s">
        <v>114</v>
      </c>
      <c r="J2478" t="s">
        <v>123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850"/>
        <v>06:19:13.156</v>
      </c>
      <c r="T2478" t="str">
        <f t="shared" si="851"/>
        <v>06:19:12.656</v>
      </c>
      <c r="U2478" t="str">
        <f t="shared" si="822"/>
        <v>A7E2E0</v>
      </c>
      <c r="V2478">
        <v>0</v>
      </c>
      <c r="W2478">
        <v>0</v>
      </c>
      <c r="X2478">
        <v>1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0</v>
      </c>
      <c r="AI2478" t="s">
        <v>1353</v>
      </c>
      <c r="AJ2478">
        <v>38.918982</v>
      </c>
      <c r="AK2478" t="s">
        <v>1354</v>
      </c>
      <c r="AL2478">
        <v>-87.611975999999999</v>
      </c>
      <c r="AM2478">
        <v>100</v>
      </c>
      <c r="AN2478">
        <v>2400</v>
      </c>
      <c r="AO2478" t="s">
        <v>118</v>
      </c>
      <c r="AP2478">
        <v>17</v>
      </c>
      <c r="AQ2478">
        <v>-148</v>
      </c>
      <c r="AR2478">
        <v>-192</v>
      </c>
      <c r="AZ2478">
        <v>4552</v>
      </c>
      <c r="BA2478">
        <v>1</v>
      </c>
      <c r="BB2478" t="str">
        <f t="shared" si="823"/>
        <v xml:space="preserve">N607SR  </v>
      </c>
      <c r="BC2478">
        <v>1</v>
      </c>
      <c r="BE2478">
        <v>0</v>
      </c>
      <c r="BF2478">
        <v>0</v>
      </c>
      <c r="BG2478">
        <v>0</v>
      </c>
      <c r="BH2478">
        <v>2150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 t="shared" si="852"/>
        <v>06:19:13.159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465</v>
      </c>
      <c r="CR2478">
        <v>0</v>
      </c>
      <c r="CW2478">
        <v>4726256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si="849"/>
        <v>08/29/2020 06:19:09.926</v>
      </c>
      <c r="C2479" t="str">
        <f t="shared" si="819"/>
        <v>FFDFD3C0</v>
      </c>
      <c r="D2479" t="s">
        <v>121</v>
      </c>
      <c r="E2479">
        <v>11</v>
      </c>
      <c r="F2479">
        <v>1011</v>
      </c>
      <c r="G2479" t="s">
        <v>125</v>
      </c>
      <c r="J2479" t="s">
        <v>123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850"/>
        <v>06:19:13.156</v>
      </c>
      <c r="T2479" t="str">
        <f t="shared" si="851"/>
        <v>06:19:12.656</v>
      </c>
      <c r="U2479" t="str">
        <f t="shared" si="822"/>
        <v>A7E2E0</v>
      </c>
      <c r="V2479">
        <v>0</v>
      </c>
      <c r="W2479">
        <v>0</v>
      </c>
      <c r="X2479">
        <v>1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0</v>
      </c>
      <c r="AI2479" t="s">
        <v>1353</v>
      </c>
      <c r="AJ2479">
        <v>38.918982</v>
      </c>
      <c r="AK2479" t="s">
        <v>1354</v>
      </c>
      <c r="AL2479">
        <v>-87.611975999999999</v>
      </c>
      <c r="AM2479">
        <v>100</v>
      </c>
      <c r="AN2479">
        <v>2400</v>
      </c>
      <c r="AO2479" t="s">
        <v>118</v>
      </c>
      <c r="AP2479">
        <v>17</v>
      </c>
      <c r="AQ2479">
        <v>-148</v>
      </c>
      <c r="AR2479">
        <v>-192</v>
      </c>
      <c r="AZ2479">
        <v>4552</v>
      </c>
      <c r="BA2479">
        <v>1</v>
      </c>
      <c r="BB2479" t="str">
        <f t="shared" si="823"/>
        <v xml:space="preserve">N607SR  </v>
      </c>
      <c r="BC2479">
        <v>1</v>
      </c>
      <c r="BE2479">
        <v>0</v>
      </c>
      <c r="BF2479">
        <v>0</v>
      </c>
      <c r="BG2479">
        <v>0</v>
      </c>
      <c r="BH2479">
        <v>2150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 t="shared" si="852"/>
        <v>06:19:13.159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6</v>
      </c>
      <c r="CP2479" t="s">
        <v>119</v>
      </c>
      <c r="CQ2479">
        <v>457</v>
      </c>
      <c r="CR2479">
        <v>0</v>
      </c>
      <c r="CW2479">
        <v>15521333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si="849"/>
        <v>08/29/2020 06:19:09.926</v>
      </c>
      <c r="C2480" t="str">
        <f t="shared" si="819"/>
        <v>FFDFD3C0</v>
      </c>
      <c r="D2480" t="s">
        <v>113</v>
      </c>
      <c r="E2480">
        <v>5</v>
      </c>
      <c r="H2480">
        <v>163</v>
      </c>
      <c r="I2480" t="s">
        <v>114</v>
      </c>
      <c r="J2480" t="s">
        <v>115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850"/>
        <v>06:19:13.156</v>
      </c>
      <c r="T2480" t="str">
        <f t="shared" si="851"/>
        <v>06:19:12.656</v>
      </c>
      <c r="U2480" t="str">
        <f t="shared" si="822"/>
        <v>A7E2E0</v>
      </c>
      <c r="V2480">
        <v>0</v>
      </c>
      <c r="W2480">
        <v>0</v>
      </c>
      <c r="X2480">
        <v>1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0</v>
      </c>
      <c r="AI2480" t="s">
        <v>1353</v>
      </c>
      <c r="AJ2480">
        <v>38.918982</v>
      </c>
      <c r="AK2480" t="s">
        <v>1354</v>
      </c>
      <c r="AL2480">
        <v>-87.611975999999999</v>
      </c>
      <c r="AM2480">
        <v>100</v>
      </c>
      <c r="AN2480">
        <v>2400</v>
      </c>
      <c r="AO2480" t="s">
        <v>118</v>
      </c>
      <c r="AP2480">
        <v>17</v>
      </c>
      <c r="AQ2480">
        <v>-148</v>
      </c>
      <c r="AR2480">
        <v>-192</v>
      </c>
      <c r="AZ2480">
        <v>4552</v>
      </c>
      <c r="BA2480">
        <v>1</v>
      </c>
      <c r="BB2480" t="str">
        <f t="shared" si="823"/>
        <v xml:space="preserve">N607SR  </v>
      </c>
      <c r="BC2480">
        <v>1</v>
      </c>
      <c r="BE2480">
        <v>0</v>
      </c>
      <c r="BF2480">
        <v>0</v>
      </c>
      <c r="BG2480">
        <v>0</v>
      </c>
      <c r="BH2480">
        <v>2150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 t="shared" si="852"/>
        <v>06:19:13.159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465</v>
      </c>
      <c r="CR2480">
        <v>0</v>
      </c>
      <c r="CW2480">
        <v>4726256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si="849"/>
        <v>08/29/2020 06:19:09.926</v>
      </c>
      <c r="C2481" t="str">
        <f t="shared" si="819"/>
        <v>FFDFD3C0</v>
      </c>
      <c r="D2481" t="s">
        <v>128</v>
      </c>
      <c r="E2481">
        <v>5</v>
      </c>
      <c r="H2481">
        <v>241</v>
      </c>
      <c r="I2481" t="s">
        <v>129</v>
      </c>
      <c r="J2481" t="s">
        <v>130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850"/>
        <v>06:19:13.156</v>
      </c>
      <c r="T2481" t="str">
        <f t="shared" si="851"/>
        <v>06:19:12.656</v>
      </c>
      <c r="U2481" t="str">
        <f t="shared" si="822"/>
        <v>A7E2E0</v>
      </c>
      <c r="V2481">
        <v>0</v>
      </c>
      <c r="W2481">
        <v>0</v>
      </c>
      <c r="X2481">
        <v>1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0</v>
      </c>
      <c r="AI2481" t="s">
        <v>1353</v>
      </c>
      <c r="AJ2481">
        <v>38.918982</v>
      </c>
      <c r="AK2481" t="s">
        <v>1354</v>
      </c>
      <c r="AL2481">
        <v>-87.611975999999999</v>
      </c>
      <c r="AM2481">
        <v>100</v>
      </c>
      <c r="AN2481">
        <v>2400</v>
      </c>
      <c r="AO2481" t="s">
        <v>118</v>
      </c>
      <c r="AP2481">
        <v>17</v>
      </c>
      <c r="AQ2481">
        <v>-148</v>
      </c>
      <c r="AR2481">
        <v>-192</v>
      </c>
      <c r="AZ2481">
        <v>4552</v>
      </c>
      <c r="BA2481">
        <v>1</v>
      </c>
      <c r="BB2481" t="str">
        <f t="shared" si="823"/>
        <v xml:space="preserve">N607SR  </v>
      </c>
      <c r="BC2481">
        <v>1</v>
      </c>
      <c r="BE2481">
        <v>0</v>
      </c>
      <c r="BF2481">
        <v>0</v>
      </c>
      <c r="BG2481">
        <v>0</v>
      </c>
      <c r="BH2481">
        <v>2150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 t="shared" si="852"/>
        <v>06:19:13.159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465</v>
      </c>
      <c r="CR2481">
        <v>0</v>
      </c>
      <c r="CW2481">
        <v>4726256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ref="A2482:A2487" si="853">"08/29/2020 06:19:11.104"</f>
        <v>08/29/2020 06:19:11.104</v>
      </c>
      <c r="C2482" t="str">
        <f t="shared" si="819"/>
        <v>FFDFD3C0</v>
      </c>
      <c r="D2482" t="s">
        <v>121</v>
      </c>
      <c r="E2482">
        <v>13</v>
      </c>
      <c r="F2482">
        <v>1013</v>
      </c>
      <c r="G2482" t="s">
        <v>122</v>
      </c>
      <c r="J2482" t="s">
        <v>123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ref="S2482:S2487" si="854">"06:19:14.305"</f>
        <v>06:19:14.305</v>
      </c>
      <c r="T2482" t="str">
        <f t="shared" ref="T2482:T2487" si="855">"06:19:13.805"</f>
        <v>06:19:13.805</v>
      </c>
      <c r="U2482" t="str">
        <f t="shared" si="822"/>
        <v>A7E2E0</v>
      </c>
      <c r="V2482">
        <v>0</v>
      </c>
      <c r="W2482">
        <v>0</v>
      </c>
      <c r="X2482">
        <v>1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0</v>
      </c>
      <c r="AI2482" t="s">
        <v>1355</v>
      </c>
      <c r="AJ2482">
        <v>38.918145000000003</v>
      </c>
      <c r="AK2482" t="s">
        <v>1252</v>
      </c>
      <c r="AL2482">
        <v>-87.611846999999997</v>
      </c>
      <c r="AM2482">
        <v>100</v>
      </c>
      <c r="AN2482">
        <v>2400</v>
      </c>
      <c r="AO2482" t="s">
        <v>118</v>
      </c>
      <c r="AP2482">
        <v>18</v>
      </c>
      <c r="AQ2482">
        <v>-147</v>
      </c>
      <c r="AR2482">
        <v>-192</v>
      </c>
      <c r="AZ2482">
        <v>4552</v>
      </c>
      <c r="BA2482">
        <v>1</v>
      </c>
      <c r="BB2482" t="str">
        <f t="shared" si="823"/>
        <v xml:space="preserve">N607SR  </v>
      </c>
      <c r="BC2482">
        <v>1</v>
      </c>
      <c r="BE2482">
        <v>0</v>
      </c>
      <c r="BF2482">
        <v>0</v>
      </c>
      <c r="BG2482">
        <v>0</v>
      </c>
      <c r="BH2482">
        <v>2250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 t="shared" ref="BW2482:BW2487" si="856">"06:19:14.309"</f>
        <v>06:19:14.309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465</v>
      </c>
      <c r="CR2482">
        <v>0</v>
      </c>
      <c r="CW2482">
        <v>4726287</v>
      </c>
      <c r="CY2482">
        <v>1</v>
      </c>
      <c r="CZ2482">
        <v>0</v>
      </c>
      <c r="DA2482">
        <v>0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853"/>
        <v>08/29/2020 06:19:11.104</v>
      </c>
      <c r="C2483" t="str">
        <f t="shared" si="819"/>
        <v>FFDFD3C0</v>
      </c>
      <c r="D2483" t="s">
        <v>121</v>
      </c>
      <c r="E2483">
        <v>11</v>
      </c>
      <c r="F2483">
        <v>1011</v>
      </c>
      <c r="G2483" t="s">
        <v>125</v>
      </c>
      <c r="J2483" t="s">
        <v>123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854"/>
        <v>06:19:14.305</v>
      </c>
      <c r="T2483" t="str">
        <f t="shared" si="855"/>
        <v>06:19:13.805</v>
      </c>
      <c r="U2483" t="str">
        <f t="shared" si="822"/>
        <v>A7E2E0</v>
      </c>
      <c r="V2483">
        <v>0</v>
      </c>
      <c r="W2483">
        <v>0</v>
      </c>
      <c r="X2483">
        <v>1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0</v>
      </c>
      <c r="AI2483" t="s">
        <v>1355</v>
      </c>
      <c r="AJ2483">
        <v>38.918145000000003</v>
      </c>
      <c r="AK2483" t="s">
        <v>1252</v>
      </c>
      <c r="AL2483">
        <v>-87.611846999999997</v>
      </c>
      <c r="AM2483">
        <v>100</v>
      </c>
      <c r="AN2483">
        <v>2400</v>
      </c>
      <c r="AO2483" t="s">
        <v>118</v>
      </c>
      <c r="AP2483">
        <v>18</v>
      </c>
      <c r="AQ2483">
        <v>-147</v>
      </c>
      <c r="AR2483">
        <v>-192</v>
      </c>
      <c r="AZ2483">
        <v>4552</v>
      </c>
      <c r="BA2483">
        <v>1</v>
      </c>
      <c r="BB2483" t="str">
        <f t="shared" si="823"/>
        <v xml:space="preserve">N607SR  </v>
      </c>
      <c r="BC2483">
        <v>1</v>
      </c>
      <c r="BE2483">
        <v>0</v>
      </c>
      <c r="BF2483">
        <v>0</v>
      </c>
      <c r="BG2483">
        <v>0</v>
      </c>
      <c r="BH2483">
        <v>2250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 t="shared" si="856"/>
        <v>06:19:14.309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6</v>
      </c>
      <c r="CP2483" t="s">
        <v>119</v>
      </c>
      <c r="CQ2483">
        <v>457</v>
      </c>
      <c r="CR2483">
        <v>0</v>
      </c>
      <c r="CW2483">
        <v>15521366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853"/>
        <v>08/29/2020 06:19:11.104</v>
      </c>
      <c r="C2484" t="str">
        <f t="shared" si="819"/>
        <v>FFDFD3C0</v>
      </c>
      <c r="D2484" t="s">
        <v>121</v>
      </c>
      <c r="E2484">
        <v>10</v>
      </c>
      <c r="F2484">
        <v>1010</v>
      </c>
      <c r="G2484" t="s">
        <v>114</v>
      </c>
      <c r="J2484" t="s">
        <v>123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854"/>
        <v>06:19:14.305</v>
      </c>
      <c r="T2484" t="str">
        <f t="shared" si="855"/>
        <v>06:19:13.805</v>
      </c>
      <c r="U2484" t="str">
        <f t="shared" si="822"/>
        <v>A7E2E0</v>
      </c>
      <c r="V2484">
        <v>0</v>
      </c>
      <c r="W2484">
        <v>0</v>
      </c>
      <c r="X2484">
        <v>1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0</v>
      </c>
      <c r="AI2484" t="s">
        <v>1355</v>
      </c>
      <c r="AJ2484">
        <v>38.918145000000003</v>
      </c>
      <c r="AK2484" t="s">
        <v>1252</v>
      </c>
      <c r="AL2484">
        <v>-87.611846999999997</v>
      </c>
      <c r="AM2484">
        <v>100</v>
      </c>
      <c r="AN2484">
        <v>2400</v>
      </c>
      <c r="AO2484" t="s">
        <v>118</v>
      </c>
      <c r="AP2484">
        <v>18</v>
      </c>
      <c r="AQ2484">
        <v>-147</v>
      </c>
      <c r="AR2484">
        <v>-192</v>
      </c>
      <c r="AZ2484">
        <v>4552</v>
      </c>
      <c r="BA2484">
        <v>1</v>
      </c>
      <c r="BB2484" t="str">
        <f t="shared" si="823"/>
        <v xml:space="preserve">N607SR  </v>
      </c>
      <c r="BC2484">
        <v>1</v>
      </c>
      <c r="BE2484">
        <v>0</v>
      </c>
      <c r="BF2484">
        <v>0</v>
      </c>
      <c r="BG2484">
        <v>0</v>
      </c>
      <c r="BH2484">
        <v>2250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 t="shared" si="856"/>
        <v>06:19:14.309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465</v>
      </c>
      <c r="CR2484">
        <v>0</v>
      </c>
      <c r="CW2484">
        <v>4726287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 t="shared" si="853"/>
        <v>08/29/2020 06:19:11.104</v>
      </c>
      <c r="C2485" t="str">
        <f t="shared" si="819"/>
        <v>FFDFD3C0</v>
      </c>
      <c r="D2485" t="s">
        <v>113</v>
      </c>
      <c r="E2485">
        <v>5</v>
      </c>
      <c r="H2485">
        <v>163</v>
      </c>
      <c r="I2485" t="s">
        <v>114</v>
      </c>
      <c r="J2485" t="s">
        <v>115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854"/>
        <v>06:19:14.305</v>
      </c>
      <c r="T2485" t="str">
        <f t="shared" si="855"/>
        <v>06:19:13.805</v>
      </c>
      <c r="U2485" t="str">
        <f t="shared" si="822"/>
        <v>A7E2E0</v>
      </c>
      <c r="V2485">
        <v>0</v>
      </c>
      <c r="W2485">
        <v>0</v>
      </c>
      <c r="X2485">
        <v>1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0</v>
      </c>
      <c r="AI2485" t="s">
        <v>1355</v>
      </c>
      <c r="AJ2485">
        <v>38.918145000000003</v>
      </c>
      <c r="AK2485" t="s">
        <v>1252</v>
      </c>
      <c r="AL2485">
        <v>-87.611846999999997</v>
      </c>
      <c r="AM2485">
        <v>100</v>
      </c>
      <c r="AN2485">
        <v>2400</v>
      </c>
      <c r="AO2485" t="s">
        <v>118</v>
      </c>
      <c r="AP2485">
        <v>18</v>
      </c>
      <c r="AQ2485">
        <v>-147</v>
      </c>
      <c r="AR2485">
        <v>-192</v>
      </c>
      <c r="AZ2485">
        <v>4552</v>
      </c>
      <c r="BA2485">
        <v>1</v>
      </c>
      <c r="BB2485" t="str">
        <f t="shared" si="823"/>
        <v xml:space="preserve">N607SR  </v>
      </c>
      <c r="BC2485">
        <v>1</v>
      </c>
      <c r="BE2485">
        <v>0</v>
      </c>
      <c r="BF2485">
        <v>0</v>
      </c>
      <c r="BG2485">
        <v>0</v>
      </c>
      <c r="BH2485">
        <v>2250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 t="shared" si="856"/>
        <v>06:19:14.309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465</v>
      </c>
      <c r="CR2485">
        <v>0</v>
      </c>
      <c r="CW2485">
        <v>4726287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 t="shared" si="853"/>
        <v>08/29/2020 06:19:11.104</v>
      </c>
      <c r="C2486" t="str">
        <f t="shared" si="819"/>
        <v>FFDFD3C0</v>
      </c>
      <c r="D2486" t="s">
        <v>128</v>
      </c>
      <c r="E2486">
        <v>5</v>
      </c>
      <c r="H2486">
        <v>241</v>
      </c>
      <c r="I2486" t="s">
        <v>129</v>
      </c>
      <c r="J2486" t="s">
        <v>130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854"/>
        <v>06:19:14.305</v>
      </c>
      <c r="T2486" t="str">
        <f t="shared" si="855"/>
        <v>06:19:13.805</v>
      </c>
      <c r="U2486" t="str">
        <f t="shared" si="822"/>
        <v>A7E2E0</v>
      </c>
      <c r="V2486">
        <v>0</v>
      </c>
      <c r="W2486">
        <v>0</v>
      </c>
      <c r="X2486">
        <v>1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0</v>
      </c>
      <c r="AI2486" t="s">
        <v>1355</v>
      </c>
      <c r="AJ2486">
        <v>38.918145000000003</v>
      </c>
      <c r="AK2486" t="s">
        <v>1252</v>
      </c>
      <c r="AL2486">
        <v>-87.611846999999997</v>
      </c>
      <c r="AM2486">
        <v>100</v>
      </c>
      <c r="AN2486">
        <v>2400</v>
      </c>
      <c r="AO2486" t="s">
        <v>118</v>
      </c>
      <c r="AP2486">
        <v>18</v>
      </c>
      <c r="AQ2486">
        <v>-147</v>
      </c>
      <c r="AR2486">
        <v>-192</v>
      </c>
      <c r="AZ2486">
        <v>4552</v>
      </c>
      <c r="BA2486">
        <v>1</v>
      </c>
      <c r="BB2486" t="str">
        <f t="shared" si="823"/>
        <v xml:space="preserve">N607SR  </v>
      </c>
      <c r="BC2486">
        <v>1</v>
      </c>
      <c r="BE2486">
        <v>0</v>
      </c>
      <c r="BF2486">
        <v>0</v>
      </c>
      <c r="BG2486">
        <v>0</v>
      </c>
      <c r="BH2486">
        <v>2250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 t="shared" si="856"/>
        <v>06:19:14.309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465</v>
      </c>
      <c r="CR2486">
        <v>0</v>
      </c>
      <c r="CW2486">
        <v>4726287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 t="shared" si="853"/>
        <v>08/29/2020 06:19:11.104</v>
      </c>
      <c r="C2487" t="str">
        <f t="shared" si="819"/>
        <v>FFDFD3C0</v>
      </c>
      <c r="D2487" t="s">
        <v>939</v>
      </c>
      <c r="E2487">
        <v>10</v>
      </c>
      <c r="H2487">
        <v>79</v>
      </c>
      <c r="I2487" t="s">
        <v>940</v>
      </c>
      <c r="J2487" t="s">
        <v>130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854"/>
        <v>06:19:14.305</v>
      </c>
      <c r="T2487" t="str">
        <f t="shared" si="855"/>
        <v>06:19:13.805</v>
      </c>
      <c r="U2487" t="str">
        <f t="shared" si="822"/>
        <v>A7E2E0</v>
      </c>
      <c r="V2487">
        <v>0</v>
      </c>
      <c r="W2487">
        <v>0</v>
      </c>
      <c r="X2487">
        <v>1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0</v>
      </c>
      <c r="AI2487" t="s">
        <v>1355</v>
      </c>
      <c r="AJ2487">
        <v>38.918145000000003</v>
      </c>
      <c r="AK2487" t="s">
        <v>1252</v>
      </c>
      <c r="AL2487">
        <v>-87.611846999999997</v>
      </c>
      <c r="AM2487">
        <v>100</v>
      </c>
      <c r="AN2487">
        <v>2400</v>
      </c>
      <c r="AO2487" t="s">
        <v>118</v>
      </c>
      <c r="AP2487">
        <v>18</v>
      </c>
      <c r="AQ2487">
        <v>-147</v>
      </c>
      <c r="AR2487">
        <v>-192</v>
      </c>
      <c r="AZ2487">
        <v>4552</v>
      </c>
      <c r="BA2487">
        <v>1</v>
      </c>
      <c r="BB2487" t="str">
        <f t="shared" si="823"/>
        <v xml:space="preserve">N607SR  </v>
      </c>
      <c r="BC2487">
        <v>1</v>
      </c>
      <c r="BE2487">
        <v>0</v>
      </c>
      <c r="BF2487">
        <v>0</v>
      </c>
      <c r="BG2487">
        <v>0</v>
      </c>
      <c r="BH2487">
        <v>2250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 t="shared" si="856"/>
        <v>06:19:14.309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465</v>
      </c>
      <c r="CR2487">
        <v>0</v>
      </c>
      <c r="CW2487">
        <v>4726287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 t="shared" ref="A2488:A2493" si="857">"08/29/2020 06:19:12.110"</f>
        <v>08/29/2020 06:19:12.110</v>
      </c>
      <c r="C2488" t="str">
        <f t="shared" si="819"/>
        <v>FFDFD3C0</v>
      </c>
      <c r="D2488" t="s">
        <v>121</v>
      </c>
      <c r="E2488">
        <v>10</v>
      </c>
      <c r="F2488">
        <v>1010</v>
      </c>
      <c r="G2488" t="s">
        <v>114</v>
      </c>
      <c r="J2488" t="s">
        <v>123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ref="S2488:S2493" si="858">"06:19:15.320"</f>
        <v>06:19:15.320</v>
      </c>
      <c r="T2488" t="str">
        <f t="shared" ref="T2488:T2493" si="859">"06:19:14.920"</f>
        <v>06:19:14.920</v>
      </c>
      <c r="U2488" t="str">
        <f t="shared" si="822"/>
        <v>A7E2E0</v>
      </c>
      <c r="V2488">
        <v>0</v>
      </c>
      <c r="W2488">
        <v>0</v>
      </c>
      <c r="X2488">
        <v>1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0</v>
      </c>
      <c r="AI2488" t="s">
        <v>1356</v>
      </c>
      <c r="AJ2488">
        <v>38.917458000000003</v>
      </c>
      <c r="AK2488" t="s">
        <v>1357</v>
      </c>
      <c r="AL2488">
        <v>-87.611717999999996</v>
      </c>
      <c r="AM2488">
        <v>100</v>
      </c>
      <c r="AN2488">
        <v>2400</v>
      </c>
      <c r="AO2488" t="s">
        <v>118</v>
      </c>
      <c r="AP2488">
        <v>19</v>
      </c>
      <c r="AQ2488">
        <v>-147</v>
      </c>
      <c r="AR2488">
        <v>-128</v>
      </c>
      <c r="AZ2488">
        <v>4552</v>
      </c>
      <c r="BA2488">
        <v>1</v>
      </c>
      <c r="BB2488" t="str">
        <f t="shared" si="823"/>
        <v xml:space="preserve">N607SR  </v>
      </c>
      <c r="BC2488">
        <v>1</v>
      </c>
      <c r="BE2488">
        <v>0</v>
      </c>
      <c r="BF2488">
        <v>0</v>
      </c>
      <c r="BG2488">
        <v>0</v>
      </c>
      <c r="BH2488">
        <v>2150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 t="shared" ref="BW2488:BW2493" si="860">"06:19:15.325"</f>
        <v>06:19:15.325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465</v>
      </c>
      <c r="CR2488">
        <v>0</v>
      </c>
      <c r="CW2488">
        <v>4726313</v>
      </c>
      <c r="CY2488">
        <v>1</v>
      </c>
      <c r="CZ2488">
        <v>0</v>
      </c>
      <c r="DA2488">
        <v>0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si="857"/>
        <v>08/29/2020 06:19:12.110</v>
      </c>
      <c r="C2489" t="str">
        <f t="shared" si="819"/>
        <v>FFDFD3C0</v>
      </c>
      <c r="D2489" t="s">
        <v>121</v>
      </c>
      <c r="E2489">
        <v>13</v>
      </c>
      <c r="F2489">
        <v>1013</v>
      </c>
      <c r="G2489" t="s">
        <v>122</v>
      </c>
      <c r="J2489" t="s">
        <v>123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858"/>
        <v>06:19:15.320</v>
      </c>
      <c r="T2489" t="str">
        <f t="shared" si="859"/>
        <v>06:19:14.920</v>
      </c>
      <c r="U2489" t="str">
        <f t="shared" si="822"/>
        <v>A7E2E0</v>
      </c>
      <c r="V2489">
        <v>0</v>
      </c>
      <c r="W2489">
        <v>0</v>
      </c>
      <c r="X2489">
        <v>1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0</v>
      </c>
      <c r="AI2489" t="s">
        <v>1356</v>
      </c>
      <c r="AJ2489">
        <v>38.917458000000003</v>
      </c>
      <c r="AK2489" t="s">
        <v>1357</v>
      </c>
      <c r="AL2489">
        <v>-87.611717999999996</v>
      </c>
      <c r="AM2489">
        <v>100</v>
      </c>
      <c r="AN2489">
        <v>2400</v>
      </c>
      <c r="AO2489" t="s">
        <v>118</v>
      </c>
      <c r="AP2489">
        <v>19</v>
      </c>
      <c r="AQ2489">
        <v>-147</v>
      </c>
      <c r="AR2489">
        <v>-128</v>
      </c>
      <c r="AZ2489">
        <v>4552</v>
      </c>
      <c r="BA2489">
        <v>1</v>
      </c>
      <c r="BB2489" t="str">
        <f t="shared" si="823"/>
        <v xml:space="preserve">N607SR  </v>
      </c>
      <c r="BC2489">
        <v>1</v>
      </c>
      <c r="BE2489">
        <v>0</v>
      </c>
      <c r="BF2489">
        <v>0</v>
      </c>
      <c r="BG2489">
        <v>0</v>
      </c>
      <c r="BH2489">
        <v>2150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 t="shared" si="860"/>
        <v>06:19:15.325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465</v>
      </c>
      <c r="CR2489">
        <v>0</v>
      </c>
      <c r="CW2489">
        <v>4726313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857"/>
        <v>08/29/2020 06:19:12.110</v>
      </c>
      <c r="C2490" t="str">
        <f t="shared" si="819"/>
        <v>FFDFD3C0</v>
      </c>
      <c r="D2490" t="s">
        <v>121</v>
      </c>
      <c r="E2490">
        <v>11</v>
      </c>
      <c r="F2490">
        <v>1011</v>
      </c>
      <c r="G2490" t="s">
        <v>125</v>
      </c>
      <c r="J2490" t="s">
        <v>123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858"/>
        <v>06:19:15.320</v>
      </c>
      <c r="T2490" t="str">
        <f t="shared" si="859"/>
        <v>06:19:14.920</v>
      </c>
      <c r="U2490" t="str">
        <f t="shared" si="822"/>
        <v>A7E2E0</v>
      </c>
      <c r="V2490">
        <v>0</v>
      </c>
      <c r="W2490">
        <v>0</v>
      </c>
      <c r="X2490">
        <v>1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0</v>
      </c>
      <c r="AI2490" t="s">
        <v>1356</v>
      </c>
      <c r="AJ2490">
        <v>38.917458000000003</v>
      </c>
      <c r="AK2490" t="s">
        <v>1357</v>
      </c>
      <c r="AL2490">
        <v>-87.611717999999996</v>
      </c>
      <c r="AM2490">
        <v>100</v>
      </c>
      <c r="AN2490">
        <v>2400</v>
      </c>
      <c r="AO2490" t="s">
        <v>118</v>
      </c>
      <c r="AP2490">
        <v>19</v>
      </c>
      <c r="AQ2490">
        <v>-147</v>
      </c>
      <c r="AR2490">
        <v>-128</v>
      </c>
      <c r="AZ2490">
        <v>4552</v>
      </c>
      <c r="BA2490">
        <v>1</v>
      </c>
      <c r="BB2490" t="str">
        <f t="shared" si="823"/>
        <v xml:space="preserve">N607SR  </v>
      </c>
      <c r="BC2490">
        <v>1</v>
      </c>
      <c r="BE2490">
        <v>0</v>
      </c>
      <c r="BF2490">
        <v>0</v>
      </c>
      <c r="BG2490">
        <v>0</v>
      </c>
      <c r="BH2490">
        <v>2150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 t="shared" si="860"/>
        <v>06:19:15.325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5</v>
      </c>
      <c r="CP2490" t="s">
        <v>119</v>
      </c>
      <c r="CQ2490">
        <v>457</v>
      </c>
      <c r="CR2490">
        <v>0</v>
      </c>
      <c r="CW2490">
        <v>15521395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857"/>
        <v>08/29/2020 06:19:12.110</v>
      </c>
      <c r="C2491" t="str">
        <f t="shared" si="819"/>
        <v>FFDFD3C0</v>
      </c>
      <c r="D2491" t="s">
        <v>113</v>
      </c>
      <c r="E2491">
        <v>5</v>
      </c>
      <c r="H2491">
        <v>163</v>
      </c>
      <c r="I2491" t="s">
        <v>114</v>
      </c>
      <c r="J2491" t="s">
        <v>115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858"/>
        <v>06:19:15.320</v>
      </c>
      <c r="T2491" t="str">
        <f t="shared" si="859"/>
        <v>06:19:14.920</v>
      </c>
      <c r="U2491" t="str">
        <f t="shared" si="822"/>
        <v>A7E2E0</v>
      </c>
      <c r="V2491">
        <v>0</v>
      </c>
      <c r="W2491">
        <v>0</v>
      </c>
      <c r="X2491">
        <v>1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0</v>
      </c>
      <c r="AI2491" t="s">
        <v>1356</v>
      </c>
      <c r="AJ2491">
        <v>38.917458000000003</v>
      </c>
      <c r="AK2491" t="s">
        <v>1357</v>
      </c>
      <c r="AL2491">
        <v>-87.611717999999996</v>
      </c>
      <c r="AM2491">
        <v>100</v>
      </c>
      <c r="AN2491">
        <v>2400</v>
      </c>
      <c r="AO2491" t="s">
        <v>118</v>
      </c>
      <c r="AP2491">
        <v>19</v>
      </c>
      <c r="AQ2491">
        <v>-147</v>
      </c>
      <c r="AR2491">
        <v>-128</v>
      </c>
      <c r="AZ2491">
        <v>4552</v>
      </c>
      <c r="BA2491">
        <v>1</v>
      </c>
      <c r="BB2491" t="str">
        <f t="shared" si="823"/>
        <v xml:space="preserve">N607SR  </v>
      </c>
      <c r="BC2491">
        <v>1</v>
      </c>
      <c r="BE2491">
        <v>0</v>
      </c>
      <c r="BF2491">
        <v>0</v>
      </c>
      <c r="BG2491">
        <v>0</v>
      </c>
      <c r="BH2491">
        <v>2150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 t="shared" si="860"/>
        <v>06:19:15.325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465</v>
      </c>
      <c r="CR2491">
        <v>0</v>
      </c>
      <c r="CW2491">
        <v>4726313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857"/>
        <v>08/29/2020 06:19:12.110</v>
      </c>
      <c r="C2492" t="str">
        <f t="shared" si="819"/>
        <v>FFDFD3C0</v>
      </c>
      <c r="D2492" t="s">
        <v>939</v>
      </c>
      <c r="E2492">
        <v>10</v>
      </c>
      <c r="H2492">
        <v>79</v>
      </c>
      <c r="I2492" t="s">
        <v>940</v>
      </c>
      <c r="J2492" t="s">
        <v>130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858"/>
        <v>06:19:15.320</v>
      </c>
      <c r="T2492" t="str">
        <f t="shared" si="859"/>
        <v>06:19:14.920</v>
      </c>
      <c r="U2492" t="str">
        <f t="shared" si="822"/>
        <v>A7E2E0</v>
      </c>
      <c r="V2492">
        <v>0</v>
      </c>
      <c r="W2492">
        <v>0</v>
      </c>
      <c r="X2492">
        <v>1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0</v>
      </c>
      <c r="AI2492" t="s">
        <v>1356</v>
      </c>
      <c r="AJ2492">
        <v>38.917458000000003</v>
      </c>
      <c r="AK2492" t="s">
        <v>1357</v>
      </c>
      <c r="AL2492">
        <v>-87.611717999999996</v>
      </c>
      <c r="AM2492">
        <v>100</v>
      </c>
      <c r="AN2492">
        <v>2400</v>
      </c>
      <c r="AO2492" t="s">
        <v>118</v>
      </c>
      <c r="AP2492">
        <v>19</v>
      </c>
      <c r="AQ2492">
        <v>-147</v>
      </c>
      <c r="AR2492">
        <v>-128</v>
      </c>
      <c r="AZ2492">
        <v>4552</v>
      </c>
      <c r="BA2492">
        <v>1</v>
      </c>
      <c r="BB2492" t="str">
        <f t="shared" si="823"/>
        <v xml:space="preserve">N607SR  </v>
      </c>
      <c r="BC2492">
        <v>1</v>
      </c>
      <c r="BE2492">
        <v>0</v>
      </c>
      <c r="BF2492">
        <v>0</v>
      </c>
      <c r="BG2492">
        <v>0</v>
      </c>
      <c r="BH2492">
        <v>2150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 t="shared" si="860"/>
        <v>06:19:15.325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465</v>
      </c>
      <c r="CR2492">
        <v>0</v>
      </c>
      <c r="CW2492">
        <v>4726313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 t="shared" si="857"/>
        <v>08/29/2020 06:19:12.110</v>
      </c>
      <c r="C2493" t="str">
        <f t="shared" si="819"/>
        <v>FFDFD3C0</v>
      </c>
      <c r="D2493" t="s">
        <v>128</v>
      </c>
      <c r="E2493">
        <v>5</v>
      </c>
      <c r="H2493">
        <v>241</v>
      </c>
      <c r="I2493" t="s">
        <v>129</v>
      </c>
      <c r="J2493" t="s">
        <v>130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858"/>
        <v>06:19:15.320</v>
      </c>
      <c r="T2493" t="str">
        <f t="shared" si="859"/>
        <v>06:19:14.920</v>
      </c>
      <c r="U2493" t="str">
        <f t="shared" si="822"/>
        <v>A7E2E0</v>
      </c>
      <c r="V2493">
        <v>0</v>
      </c>
      <c r="W2493">
        <v>0</v>
      </c>
      <c r="X2493">
        <v>1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0</v>
      </c>
      <c r="AI2493" t="s">
        <v>1356</v>
      </c>
      <c r="AJ2493">
        <v>38.917458000000003</v>
      </c>
      <c r="AK2493" t="s">
        <v>1357</v>
      </c>
      <c r="AL2493">
        <v>-87.611717999999996</v>
      </c>
      <c r="AM2493">
        <v>100</v>
      </c>
      <c r="AN2493">
        <v>2400</v>
      </c>
      <c r="AO2493" t="s">
        <v>118</v>
      </c>
      <c r="AP2493">
        <v>19</v>
      </c>
      <c r="AQ2493">
        <v>-147</v>
      </c>
      <c r="AR2493">
        <v>-128</v>
      </c>
      <c r="AZ2493">
        <v>4552</v>
      </c>
      <c r="BA2493">
        <v>1</v>
      </c>
      <c r="BB2493" t="str">
        <f t="shared" si="823"/>
        <v xml:space="preserve">N607SR  </v>
      </c>
      <c r="BC2493">
        <v>1</v>
      </c>
      <c r="BE2493">
        <v>0</v>
      </c>
      <c r="BF2493">
        <v>0</v>
      </c>
      <c r="BG2493">
        <v>0</v>
      </c>
      <c r="BH2493">
        <v>2150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 t="shared" si="860"/>
        <v>06:19:15.325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465</v>
      </c>
      <c r="CR2493">
        <v>0</v>
      </c>
      <c r="CW2493">
        <v>4726313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 t="shared" ref="A2494:A2499" si="861">"08/29/2020 06:19:13.172"</f>
        <v>08/29/2020 06:19:13.172</v>
      </c>
      <c r="C2494" t="str">
        <f t="shared" si="819"/>
        <v>FFDFD3C0</v>
      </c>
      <c r="D2494" t="s">
        <v>121</v>
      </c>
      <c r="E2494">
        <v>10</v>
      </c>
      <c r="F2494">
        <v>1010</v>
      </c>
      <c r="G2494" t="s">
        <v>114</v>
      </c>
      <c r="J2494" t="s">
        <v>123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ref="S2494:S2499" si="862">"06:19:16.391"</f>
        <v>06:19:16.391</v>
      </c>
      <c r="T2494" t="str">
        <f t="shared" ref="T2494:T2499" si="863">"06:19:15.891"</f>
        <v>06:19:15.891</v>
      </c>
      <c r="U2494" t="str">
        <f t="shared" si="822"/>
        <v>A7E2E0</v>
      </c>
      <c r="V2494">
        <v>0</v>
      </c>
      <c r="W2494">
        <v>0</v>
      </c>
      <c r="X2494">
        <v>1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0</v>
      </c>
      <c r="AI2494" t="s">
        <v>1358</v>
      </c>
      <c r="AJ2494">
        <v>38.916770999999997</v>
      </c>
      <c r="AK2494" t="s">
        <v>1359</v>
      </c>
      <c r="AL2494">
        <v>-87.611675000000005</v>
      </c>
      <c r="AM2494">
        <v>100</v>
      </c>
      <c r="AN2494">
        <v>2400</v>
      </c>
      <c r="AO2494" t="s">
        <v>118</v>
      </c>
      <c r="AP2494">
        <v>19</v>
      </c>
      <c r="AQ2494">
        <v>-147</v>
      </c>
      <c r="AR2494">
        <v>-128</v>
      </c>
      <c r="AZ2494">
        <v>4552</v>
      </c>
      <c r="BA2494">
        <v>1</v>
      </c>
      <c r="BB2494" t="str">
        <f t="shared" si="823"/>
        <v xml:space="preserve">N607SR  </v>
      </c>
      <c r="BC2494">
        <v>1</v>
      </c>
      <c r="BE2494">
        <v>0</v>
      </c>
      <c r="BF2494">
        <v>0</v>
      </c>
      <c r="BG2494">
        <v>0</v>
      </c>
      <c r="BH2494">
        <v>2250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 t="shared" ref="BW2494:BW2499" si="864">"06:19:16.395"</f>
        <v>06:19:16.395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465</v>
      </c>
      <c r="CR2494">
        <v>0</v>
      </c>
      <c r="CW2494">
        <v>4726343</v>
      </c>
      <c r="CY2494">
        <v>1</v>
      </c>
      <c r="CZ2494">
        <v>0</v>
      </c>
      <c r="DA2494">
        <v>0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 t="shared" si="861"/>
        <v>08/29/2020 06:19:13.172</v>
      </c>
      <c r="C2495" t="str">
        <f t="shared" si="819"/>
        <v>FFDFD3C0</v>
      </c>
      <c r="D2495" t="s">
        <v>121</v>
      </c>
      <c r="E2495">
        <v>13</v>
      </c>
      <c r="F2495">
        <v>1013</v>
      </c>
      <c r="G2495" t="s">
        <v>122</v>
      </c>
      <c r="J2495" t="s">
        <v>123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862"/>
        <v>06:19:16.391</v>
      </c>
      <c r="T2495" t="str">
        <f t="shared" si="863"/>
        <v>06:19:15.891</v>
      </c>
      <c r="U2495" t="str">
        <f t="shared" si="822"/>
        <v>A7E2E0</v>
      </c>
      <c r="V2495">
        <v>0</v>
      </c>
      <c r="W2495">
        <v>0</v>
      </c>
      <c r="X2495">
        <v>1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0</v>
      </c>
      <c r="AI2495" t="s">
        <v>1358</v>
      </c>
      <c r="AJ2495">
        <v>38.916770999999997</v>
      </c>
      <c r="AK2495" t="s">
        <v>1359</v>
      </c>
      <c r="AL2495">
        <v>-87.611675000000005</v>
      </c>
      <c r="AM2495">
        <v>100</v>
      </c>
      <c r="AN2495">
        <v>2400</v>
      </c>
      <c r="AO2495" t="s">
        <v>118</v>
      </c>
      <c r="AP2495">
        <v>19</v>
      </c>
      <c r="AQ2495">
        <v>-147</v>
      </c>
      <c r="AR2495">
        <v>-128</v>
      </c>
      <c r="AZ2495">
        <v>4552</v>
      </c>
      <c r="BA2495">
        <v>1</v>
      </c>
      <c r="BB2495" t="str">
        <f t="shared" si="823"/>
        <v xml:space="preserve">N607SR  </v>
      </c>
      <c r="BC2495">
        <v>1</v>
      </c>
      <c r="BE2495">
        <v>0</v>
      </c>
      <c r="BF2495">
        <v>0</v>
      </c>
      <c r="BG2495">
        <v>0</v>
      </c>
      <c r="BH2495">
        <v>2250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 t="shared" si="864"/>
        <v>06:19:16.395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465</v>
      </c>
      <c r="CR2495">
        <v>0</v>
      </c>
      <c r="CW2495">
        <v>4726343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 t="shared" si="861"/>
        <v>08/29/2020 06:19:13.172</v>
      </c>
      <c r="C2496" t="str">
        <f t="shared" si="819"/>
        <v>FFDFD3C0</v>
      </c>
      <c r="D2496" t="s">
        <v>121</v>
      </c>
      <c r="E2496">
        <v>11</v>
      </c>
      <c r="F2496">
        <v>1011</v>
      </c>
      <c r="G2496" t="s">
        <v>125</v>
      </c>
      <c r="J2496" t="s">
        <v>123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862"/>
        <v>06:19:16.391</v>
      </c>
      <c r="T2496" t="str">
        <f t="shared" si="863"/>
        <v>06:19:15.891</v>
      </c>
      <c r="U2496" t="str">
        <f t="shared" si="822"/>
        <v>A7E2E0</v>
      </c>
      <c r="V2496">
        <v>0</v>
      </c>
      <c r="W2496">
        <v>0</v>
      </c>
      <c r="X2496">
        <v>1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0</v>
      </c>
      <c r="AI2496" t="s">
        <v>1358</v>
      </c>
      <c r="AJ2496">
        <v>38.916770999999997</v>
      </c>
      <c r="AK2496" t="s">
        <v>1359</v>
      </c>
      <c r="AL2496">
        <v>-87.611675000000005</v>
      </c>
      <c r="AM2496">
        <v>100</v>
      </c>
      <c r="AN2496">
        <v>2400</v>
      </c>
      <c r="AO2496" t="s">
        <v>118</v>
      </c>
      <c r="AP2496">
        <v>19</v>
      </c>
      <c r="AQ2496">
        <v>-147</v>
      </c>
      <c r="AR2496">
        <v>-128</v>
      </c>
      <c r="AZ2496">
        <v>4552</v>
      </c>
      <c r="BA2496">
        <v>1</v>
      </c>
      <c r="BB2496" t="str">
        <f t="shared" si="823"/>
        <v xml:space="preserve">N607SR  </v>
      </c>
      <c r="BC2496">
        <v>1</v>
      </c>
      <c r="BE2496">
        <v>0</v>
      </c>
      <c r="BF2496">
        <v>0</v>
      </c>
      <c r="BG2496">
        <v>0</v>
      </c>
      <c r="BH2496">
        <v>2250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 t="shared" si="864"/>
        <v>06:19:16.395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5</v>
      </c>
      <c r="CP2496" t="s">
        <v>119</v>
      </c>
      <c r="CQ2496">
        <v>177</v>
      </c>
      <c r="CR2496">
        <v>2</v>
      </c>
      <c r="CW2496">
        <v>1673454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 t="shared" si="861"/>
        <v>08/29/2020 06:19:13.172</v>
      </c>
      <c r="C2497" t="str">
        <f t="shared" si="819"/>
        <v>FFDFD3C0</v>
      </c>
      <c r="D2497" t="s">
        <v>113</v>
      </c>
      <c r="E2497">
        <v>5</v>
      </c>
      <c r="H2497">
        <v>163</v>
      </c>
      <c r="I2497" t="s">
        <v>114</v>
      </c>
      <c r="J2497" t="s">
        <v>115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862"/>
        <v>06:19:16.391</v>
      </c>
      <c r="T2497" t="str">
        <f t="shared" si="863"/>
        <v>06:19:15.891</v>
      </c>
      <c r="U2497" t="str">
        <f t="shared" si="822"/>
        <v>A7E2E0</v>
      </c>
      <c r="V2497">
        <v>0</v>
      </c>
      <c r="W2497">
        <v>0</v>
      </c>
      <c r="X2497">
        <v>1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0</v>
      </c>
      <c r="AI2497" t="s">
        <v>1358</v>
      </c>
      <c r="AJ2497">
        <v>38.916770999999997</v>
      </c>
      <c r="AK2497" t="s">
        <v>1359</v>
      </c>
      <c r="AL2497">
        <v>-87.611675000000005</v>
      </c>
      <c r="AM2497">
        <v>100</v>
      </c>
      <c r="AN2497">
        <v>2400</v>
      </c>
      <c r="AO2497" t="s">
        <v>118</v>
      </c>
      <c r="AP2497">
        <v>19</v>
      </c>
      <c r="AQ2497">
        <v>-147</v>
      </c>
      <c r="AR2497">
        <v>-128</v>
      </c>
      <c r="AZ2497">
        <v>4552</v>
      </c>
      <c r="BA2497">
        <v>1</v>
      </c>
      <c r="BB2497" t="str">
        <f t="shared" si="823"/>
        <v xml:space="preserve">N607SR  </v>
      </c>
      <c r="BC2497">
        <v>1</v>
      </c>
      <c r="BE2497">
        <v>0</v>
      </c>
      <c r="BF2497">
        <v>0</v>
      </c>
      <c r="BG2497">
        <v>0</v>
      </c>
      <c r="BH2497">
        <v>2250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 t="shared" si="864"/>
        <v>06:19:16.395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465</v>
      </c>
      <c r="CR2497">
        <v>0</v>
      </c>
      <c r="CW2497">
        <v>4726343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 t="shared" si="861"/>
        <v>08/29/2020 06:19:13.172</v>
      </c>
      <c r="C2498" t="str">
        <f t="shared" ref="C2498:C2561" si="865">"FFDFD3C0"</f>
        <v>FFDFD3C0</v>
      </c>
      <c r="D2498" t="s">
        <v>939</v>
      </c>
      <c r="E2498">
        <v>10</v>
      </c>
      <c r="H2498">
        <v>79</v>
      </c>
      <c r="I2498" t="s">
        <v>940</v>
      </c>
      <c r="J2498" t="s">
        <v>130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862"/>
        <v>06:19:16.391</v>
      </c>
      <c r="T2498" t="str">
        <f t="shared" si="863"/>
        <v>06:19:15.891</v>
      </c>
      <c r="U2498" t="str">
        <f t="shared" ref="U2498:U2561" si="866">"A7E2E0"</f>
        <v>A7E2E0</v>
      </c>
      <c r="V2498">
        <v>0</v>
      </c>
      <c r="W2498">
        <v>0</v>
      </c>
      <c r="X2498">
        <v>1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0</v>
      </c>
      <c r="AI2498" t="s">
        <v>1358</v>
      </c>
      <c r="AJ2498">
        <v>38.916770999999997</v>
      </c>
      <c r="AK2498" t="s">
        <v>1359</v>
      </c>
      <c r="AL2498">
        <v>-87.611675000000005</v>
      </c>
      <c r="AM2498">
        <v>100</v>
      </c>
      <c r="AN2498">
        <v>2400</v>
      </c>
      <c r="AO2498" t="s">
        <v>118</v>
      </c>
      <c r="AP2498">
        <v>19</v>
      </c>
      <c r="AQ2498">
        <v>-147</v>
      </c>
      <c r="AR2498">
        <v>-128</v>
      </c>
      <c r="AZ2498">
        <v>4552</v>
      </c>
      <c r="BA2498">
        <v>1</v>
      </c>
      <c r="BB2498" t="str">
        <f t="shared" ref="BB2498:BB2561" si="867">"N607SR  "</f>
        <v xml:space="preserve">N607SR  </v>
      </c>
      <c r="BC2498">
        <v>1</v>
      </c>
      <c r="BE2498">
        <v>0</v>
      </c>
      <c r="BF2498">
        <v>0</v>
      </c>
      <c r="BG2498">
        <v>0</v>
      </c>
      <c r="BH2498">
        <v>2250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 t="shared" si="864"/>
        <v>06:19:16.395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465</v>
      </c>
      <c r="CR2498">
        <v>0</v>
      </c>
      <c r="CW2498">
        <v>4726343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 t="shared" si="861"/>
        <v>08/29/2020 06:19:13.172</v>
      </c>
      <c r="C2499" t="str">
        <f t="shared" si="865"/>
        <v>FFDFD3C0</v>
      </c>
      <c r="D2499" t="s">
        <v>128</v>
      </c>
      <c r="E2499">
        <v>5</v>
      </c>
      <c r="H2499">
        <v>241</v>
      </c>
      <c r="I2499" t="s">
        <v>129</v>
      </c>
      <c r="J2499" t="s">
        <v>130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862"/>
        <v>06:19:16.391</v>
      </c>
      <c r="T2499" t="str">
        <f t="shared" si="863"/>
        <v>06:19:15.891</v>
      </c>
      <c r="U2499" t="str">
        <f t="shared" si="866"/>
        <v>A7E2E0</v>
      </c>
      <c r="V2499">
        <v>0</v>
      </c>
      <c r="W2499">
        <v>0</v>
      </c>
      <c r="X2499">
        <v>1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0</v>
      </c>
      <c r="AI2499" t="s">
        <v>1358</v>
      </c>
      <c r="AJ2499">
        <v>38.916770999999997</v>
      </c>
      <c r="AK2499" t="s">
        <v>1359</v>
      </c>
      <c r="AL2499">
        <v>-87.611675000000005</v>
      </c>
      <c r="AM2499">
        <v>100</v>
      </c>
      <c r="AN2499">
        <v>2400</v>
      </c>
      <c r="AO2499" t="s">
        <v>118</v>
      </c>
      <c r="AP2499">
        <v>19</v>
      </c>
      <c r="AQ2499">
        <v>-147</v>
      </c>
      <c r="AR2499">
        <v>-128</v>
      </c>
      <c r="AZ2499">
        <v>4552</v>
      </c>
      <c r="BA2499">
        <v>1</v>
      </c>
      <c r="BB2499" t="str">
        <f t="shared" si="867"/>
        <v xml:space="preserve">N607SR  </v>
      </c>
      <c r="BC2499">
        <v>1</v>
      </c>
      <c r="BE2499">
        <v>0</v>
      </c>
      <c r="BF2499">
        <v>0</v>
      </c>
      <c r="BG2499">
        <v>0</v>
      </c>
      <c r="BH2499">
        <v>2250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 t="shared" si="864"/>
        <v>06:19:16.395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465</v>
      </c>
      <c r="CR2499">
        <v>0</v>
      </c>
      <c r="CW2499">
        <v>4726343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 t="shared" ref="A2500:A2505" si="868">"08/29/2020 06:19:14.118"</f>
        <v>08/29/2020 06:19:14.118</v>
      </c>
      <c r="C2500" t="str">
        <f t="shared" si="865"/>
        <v>FFDFD3C0</v>
      </c>
      <c r="D2500" t="s">
        <v>128</v>
      </c>
      <c r="E2500">
        <v>5</v>
      </c>
      <c r="H2500">
        <v>241</v>
      </c>
      <c r="I2500" t="s">
        <v>129</v>
      </c>
      <c r="J2500" t="s">
        <v>130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ref="S2500:S2505" si="869">"06:19:17.328"</f>
        <v>06:19:17.328</v>
      </c>
      <c r="T2500" t="str">
        <f t="shared" ref="T2500:T2505" si="870">"06:19:16.928"</f>
        <v>06:19:16.928</v>
      </c>
      <c r="U2500" t="str">
        <f t="shared" si="866"/>
        <v>A7E2E0</v>
      </c>
      <c r="V2500">
        <v>0</v>
      </c>
      <c r="W2500">
        <v>0</v>
      </c>
      <c r="X2500">
        <v>1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0</v>
      </c>
      <c r="AI2500" t="s">
        <v>1360</v>
      </c>
      <c r="AJ2500">
        <v>38.916085000000002</v>
      </c>
      <c r="AK2500" t="s">
        <v>1361</v>
      </c>
      <c r="AL2500">
        <v>-87.611547000000002</v>
      </c>
      <c r="AM2500">
        <v>100</v>
      </c>
      <c r="AN2500">
        <v>2400</v>
      </c>
      <c r="AO2500" t="s">
        <v>118</v>
      </c>
      <c r="AP2500">
        <v>19</v>
      </c>
      <c r="AQ2500">
        <v>-146</v>
      </c>
      <c r="AR2500">
        <v>-192</v>
      </c>
      <c r="AZ2500">
        <v>4552</v>
      </c>
      <c r="BA2500">
        <v>1</v>
      </c>
      <c r="BB2500" t="str">
        <f t="shared" si="867"/>
        <v xml:space="preserve">N607SR  </v>
      </c>
      <c r="BC2500">
        <v>1</v>
      </c>
      <c r="BE2500">
        <v>0</v>
      </c>
      <c r="BF2500">
        <v>0</v>
      </c>
      <c r="BG2500">
        <v>0</v>
      </c>
      <c r="BH2500">
        <v>2250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 t="shared" ref="BW2500:BW2505" si="871">"06:19:17.335"</f>
        <v>06:19:17.335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465</v>
      </c>
      <c r="CR2500">
        <v>0</v>
      </c>
      <c r="CW2500">
        <v>4726369</v>
      </c>
      <c r="CY2500">
        <v>1</v>
      </c>
      <c r="CZ2500">
        <v>0</v>
      </c>
      <c r="DA2500">
        <v>0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 t="shared" si="868"/>
        <v>08/29/2020 06:19:14.118</v>
      </c>
      <c r="C2501" t="str">
        <f t="shared" si="865"/>
        <v>FFDFD3C0</v>
      </c>
      <c r="D2501" t="s">
        <v>121</v>
      </c>
      <c r="E2501">
        <v>10</v>
      </c>
      <c r="F2501">
        <v>1010</v>
      </c>
      <c r="G2501" t="s">
        <v>114</v>
      </c>
      <c r="J2501" t="s">
        <v>123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869"/>
        <v>06:19:17.328</v>
      </c>
      <c r="T2501" t="str">
        <f t="shared" si="870"/>
        <v>06:19:16.928</v>
      </c>
      <c r="U2501" t="str">
        <f t="shared" si="866"/>
        <v>A7E2E0</v>
      </c>
      <c r="V2501">
        <v>0</v>
      </c>
      <c r="W2501">
        <v>0</v>
      </c>
      <c r="X2501">
        <v>1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0</v>
      </c>
      <c r="AI2501" t="s">
        <v>1360</v>
      </c>
      <c r="AJ2501">
        <v>38.916085000000002</v>
      </c>
      <c r="AK2501" t="s">
        <v>1361</v>
      </c>
      <c r="AL2501">
        <v>-87.611547000000002</v>
      </c>
      <c r="AM2501">
        <v>100</v>
      </c>
      <c r="AN2501">
        <v>2400</v>
      </c>
      <c r="AO2501" t="s">
        <v>118</v>
      </c>
      <c r="AP2501">
        <v>19</v>
      </c>
      <c r="AQ2501">
        <v>-146</v>
      </c>
      <c r="AR2501">
        <v>-192</v>
      </c>
      <c r="AZ2501">
        <v>4552</v>
      </c>
      <c r="BA2501">
        <v>1</v>
      </c>
      <c r="BB2501" t="str">
        <f t="shared" si="867"/>
        <v xml:space="preserve">N607SR  </v>
      </c>
      <c r="BC2501">
        <v>1</v>
      </c>
      <c r="BE2501">
        <v>0</v>
      </c>
      <c r="BF2501">
        <v>0</v>
      </c>
      <c r="BG2501">
        <v>0</v>
      </c>
      <c r="BH2501">
        <v>2250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 t="shared" si="871"/>
        <v>06:19:17.335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465</v>
      </c>
      <c r="CR2501">
        <v>0</v>
      </c>
      <c r="CW2501">
        <v>4726369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 t="shared" si="868"/>
        <v>08/29/2020 06:19:14.118</v>
      </c>
      <c r="C2502" t="str">
        <f t="shared" si="865"/>
        <v>FFDFD3C0</v>
      </c>
      <c r="D2502" t="s">
        <v>121</v>
      </c>
      <c r="E2502">
        <v>13</v>
      </c>
      <c r="F2502">
        <v>1013</v>
      </c>
      <c r="G2502" t="s">
        <v>122</v>
      </c>
      <c r="J2502" t="s">
        <v>123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869"/>
        <v>06:19:17.328</v>
      </c>
      <c r="T2502" t="str">
        <f t="shared" si="870"/>
        <v>06:19:16.928</v>
      </c>
      <c r="U2502" t="str">
        <f t="shared" si="866"/>
        <v>A7E2E0</v>
      </c>
      <c r="V2502">
        <v>0</v>
      </c>
      <c r="W2502">
        <v>0</v>
      </c>
      <c r="X2502">
        <v>1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0</v>
      </c>
      <c r="AI2502" t="s">
        <v>1360</v>
      </c>
      <c r="AJ2502">
        <v>38.916085000000002</v>
      </c>
      <c r="AK2502" t="s">
        <v>1361</v>
      </c>
      <c r="AL2502">
        <v>-87.611547000000002</v>
      </c>
      <c r="AM2502">
        <v>100</v>
      </c>
      <c r="AN2502">
        <v>2400</v>
      </c>
      <c r="AO2502" t="s">
        <v>118</v>
      </c>
      <c r="AP2502">
        <v>19</v>
      </c>
      <c r="AQ2502">
        <v>-146</v>
      </c>
      <c r="AR2502">
        <v>-192</v>
      </c>
      <c r="AZ2502">
        <v>4552</v>
      </c>
      <c r="BA2502">
        <v>1</v>
      </c>
      <c r="BB2502" t="str">
        <f t="shared" si="867"/>
        <v xml:space="preserve">N607SR  </v>
      </c>
      <c r="BC2502">
        <v>1</v>
      </c>
      <c r="BE2502">
        <v>0</v>
      </c>
      <c r="BF2502">
        <v>0</v>
      </c>
      <c r="BG2502">
        <v>0</v>
      </c>
      <c r="BH2502">
        <v>2250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 t="shared" si="871"/>
        <v>06:19:17.335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465</v>
      </c>
      <c r="CR2502">
        <v>0</v>
      </c>
      <c r="CW2502">
        <v>4726369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 t="shared" si="868"/>
        <v>08/29/2020 06:19:14.118</v>
      </c>
      <c r="C2503" t="str">
        <f t="shared" si="865"/>
        <v>FFDFD3C0</v>
      </c>
      <c r="D2503" t="s">
        <v>939</v>
      </c>
      <c r="E2503">
        <v>10</v>
      </c>
      <c r="H2503">
        <v>79</v>
      </c>
      <c r="I2503" t="s">
        <v>940</v>
      </c>
      <c r="J2503" t="s">
        <v>130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869"/>
        <v>06:19:17.328</v>
      </c>
      <c r="T2503" t="str">
        <f t="shared" si="870"/>
        <v>06:19:16.928</v>
      </c>
      <c r="U2503" t="str">
        <f t="shared" si="866"/>
        <v>A7E2E0</v>
      </c>
      <c r="V2503">
        <v>0</v>
      </c>
      <c r="W2503">
        <v>0</v>
      </c>
      <c r="X2503">
        <v>1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0</v>
      </c>
      <c r="AI2503" t="s">
        <v>1360</v>
      </c>
      <c r="AJ2503">
        <v>38.916085000000002</v>
      </c>
      <c r="AK2503" t="s">
        <v>1361</v>
      </c>
      <c r="AL2503">
        <v>-87.611547000000002</v>
      </c>
      <c r="AM2503">
        <v>100</v>
      </c>
      <c r="AN2503">
        <v>2400</v>
      </c>
      <c r="AO2503" t="s">
        <v>118</v>
      </c>
      <c r="AP2503">
        <v>19</v>
      </c>
      <c r="AQ2503">
        <v>-146</v>
      </c>
      <c r="AR2503">
        <v>-192</v>
      </c>
      <c r="AZ2503">
        <v>4552</v>
      </c>
      <c r="BA2503">
        <v>1</v>
      </c>
      <c r="BB2503" t="str">
        <f t="shared" si="867"/>
        <v xml:space="preserve">N607SR  </v>
      </c>
      <c r="BC2503">
        <v>1</v>
      </c>
      <c r="BE2503">
        <v>0</v>
      </c>
      <c r="BF2503">
        <v>0</v>
      </c>
      <c r="BG2503">
        <v>0</v>
      </c>
      <c r="BH2503">
        <v>2250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 t="shared" si="871"/>
        <v>06:19:17.335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465</v>
      </c>
      <c r="CR2503">
        <v>0</v>
      </c>
      <c r="CW2503">
        <v>4726369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 t="shared" si="868"/>
        <v>08/29/2020 06:19:14.118</v>
      </c>
      <c r="C2504" t="str">
        <f t="shared" si="865"/>
        <v>FFDFD3C0</v>
      </c>
      <c r="D2504" t="s">
        <v>121</v>
      </c>
      <c r="E2504">
        <v>11</v>
      </c>
      <c r="F2504">
        <v>1011</v>
      </c>
      <c r="G2504" t="s">
        <v>125</v>
      </c>
      <c r="J2504" t="s">
        <v>123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869"/>
        <v>06:19:17.328</v>
      </c>
      <c r="T2504" t="str">
        <f t="shared" si="870"/>
        <v>06:19:16.928</v>
      </c>
      <c r="U2504" t="str">
        <f t="shared" si="866"/>
        <v>A7E2E0</v>
      </c>
      <c r="V2504">
        <v>0</v>
      </c>
      <c r="W2504">
        <v>0</v>
      </c>
      <c r="X2504">
        <v>1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0</v>
      </c>
      <c r="AI2504" t="s">
        <v>1360</v>
      </c>
      <c r="AJ2504">
        <v>38.916085000000002</v>
      </c>
      <c r="AK2504" t="s">
        <v>1361</v>
      </c>
      <c r="AL2504">
        <v>-87.611547000000002</v>
      </c>
      <c r="AM2504">
        <v>100</v>
      </c>
      <c r="AN2504">
        <v>2400</v>
      </c>
      <c r="AO2504" t="s">
        <v>118</v>
      </c>
      <c r="AP2504">
        <v>19</v>
      </c>
      <c r="AQ2504">
        <v>-146</v>
      </c>
      <c r="AR2504">
        <v>-192</v>
      </c>
      <c r="AZ2504">
        <v>4552</v>
      </c>
      <c r="BA2504">
        <v>1</v>
      </c>
      <c r="BB2504" t="str">
        <f t="shared" si="867"/>
        <v xml:space="preserve">N607SR  </v>
      </c>
      <c r="BC2504">
        <v>1</v>
      </c>
      <c r="BE2504">
        <v>0</v>
      </c>
      <c r="BF2504">
        <v>0</v>
      </c>
      <c r="BG2504">
        <v>0</v>
      </c>
      <c r="BH2504">
        <v>2250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 t="shared" si="871"/>
        <v>06:19:17.335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5</v>
      </c>
      <c r="CP2504" t="s">
        <v>119</v>
      </c>
      <c r="CQ2504">
        <v>457</v>
      </c>
      <c r="CR2504">
        <v>0</v>
      </c>
      <c r="CW2504">
        <v>15521458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 t="shared" si="868"/>
        <v>08/29/2020 06:19:14.118</v>
      </c>
      <c r="C2505" t="str">
        <f t="shared" si="865"/>
        <v>FFDFD3C0</v>
      </c>
      <c r="D2505" t="s">
        <v>113</v>
      </c>
      <c r="E2505">
        <v>5</v>
      </c>
      <c r="H2505">
        <v>163</v>
      </c>
      <c r="I2505" t="s">
        <v>114</v>
      </c>
      <c r="J2505" t="s">
        <v>115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869"/>
        <v>06:19:17.328</v>
      </c>
      <c r="T2505" t="str">
        <f t="shared" si="870"/>
        <v>06:19:16.928</v>
      </c>
      <c r="U2505" t="str">
        <f t="shared" si="866"/>
        <v>A7E2E0</v>
      </c>
      <c r="V2505">
        <v>0</v>
      </c>
      <c r="W2505">
        <v>0</v>
      </c>
      <c r="X2505">
        <v>1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0</v>
      </c>
      <c r="AI2505" t="s">
        <v>1360</v>
      </c>
      <c r="AJ2505">
        <v>38.916085000000002</v>
      </c>
      <c r="AK2505" t="s">
        <v>1361</v>
      </c>
      <c r="AL2505">
        <v>-87.611547000000002</v>
      </c>
      <c r="AM2505">
        <v>100</v>
      </c>
      <c r="AN2505">
        <v>2400</v>
      </c>
      <c r="AO2505" t="s">
        <v>118</v>
      </c>
      <c r="AP2505">
        <v>19</v>
      </c>
      <c r="AQ2505">
        <v>-146</v>
      </c>
      <c r="AR2505">
        <v>-192</v>
      </c>
      <c r="AZ2505">
        <v>4552</v>
      </c>
      <c r="BA2505">
        <v>1</v>
      </c>
      <c r="BB2505" t="str">
        <f t="shared" si="867"/>
        <v xml:space="preserve">N607SR  </v>
      </c>
      <c r="BC2505">
        <v>1</v>
      </c>
      <c r="BE2505">
        <v>0</v>
      </c>
      <c r="BF2505">
        <v>0</v>
      </c>
      <c r="BG2505">
        <v>0</v>
      </c>
      <c r="BH2505">
        <v>2250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 t="shared" si="871"/>
        <v>06:19:17.335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465</v>
      </c>
      <c r="CR2505">
        <v>0</v>
      </c>
      <c r="CW2505">
        <v>4726369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 t="shared" ref="A2506:A2511" si="872">"08/29/2020 06:19:14.941"</f>
        <v>08/29/2020 06:19:14.941</v>
      </c>
      <c r="C2506" t="str">
        <f t="shared" si="865"/>
        <v>FFDFD3C0</v>
      </c>
      <c r="D2506" t="s">
        <v>121</v>
      </c>
      <c r="E2506">
        <v>10</v>
      </c>
      <c r="F2506">
        <v>1010</v>
      </c>
      <c r="G2506" t="s">
        <v>114</v>
      </c>
      <c r="J2506" t="s">
        <v>123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ref="S2506:S2511" si="873">"06:19:18.164"</f>
        <v>06:19:18.164</v>
      </c>
      <c r="T2506" t="str">
        <f t="shared" ref="T2506:T2511" si="874">"06:19:17.764"</f>
        <v>06:19:17.764</v>
      </c>
      <c r="U2506" t="str">
        <f t="shared" si="866"/>
        <v>A7E2E0</v>
      </c>
      <c r="V2506">
        <v>0</v>
      </c>
      <c r="W2506">
        <v>0</v>
      </c>
      <c r="X2506">
        <v>1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0</v>
      </c>
      <c r="AI2506" t="s">
        <v>1362</v>
      </c>
      <c r="AJ2506">
        <v>38.915548000000001</v>
      </c>
      <c r="AK2506" t="s">
        <v>1363</v>
      </c>
      <c r="AL2506">
        <v>-87.611439000000004</v>
      </c>
      <c r="AM2506">
        <v>100</v>
      </c>
      <c r="AN2506">
        <v>2400</v>
      </c>
      <c r="AO2506" t="s">
        <v>118</v>
      </c>
      <c r="AP2506">
        <v>20</v>
      </c>
      <c r="AQ2506">
        <v>-146</v>
      </c>
      <c r="AR2506">
        <v>-192</v>
      </c>
      <c r="AZ2506">
        <v>4552</v>
      </c>
      <c r="BA2506">
        <v>1</v>
      </c>
      <c r="BB2506" t="str">
        <f t="shared" si="867"/>
        <v xml:space="preserve">N607SR  </v>
      </c>
      <c r="BC2506">
        <v>1</v>
      </c>
      <c r="BE2506">
        <v>0</v>
      </c>
      <c r="BF2506">
        <v>0</v>
      </c>
      <c r="BG2506">
        <v>0</v>
      </c>
      <c r="BH2506">
        <v>2250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>"06:19:18.167"</f>
        <v>06:19:18.167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465</v>
      </c>
      <c r="CR2506">
        <v>0</v>
      </c>
      <c r="CW2506">
        <v>4726395</v>
      </c>
      <c r="CY2506">
        <v>1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 t="shared" si="872"/>
        <v>08/29/2020 06:19:14.941</v>
      </c>
      <c r="C2507" t="str">
        <f t="shared" si="865"/>
        <v>FFDFD3C0</v>
      </c>
      <c r="D2507" t="s">
        <v>121</v>
      </c>
      <c r="E2507">
        <v>13</v>
      </c>
      <c r="F2507">
        <v>1013</v>
      </c>
      <c r="G2507" t="s">
        <v>122</v>
      </c>
      <c r="J2507" t="s">
        <v>123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873"/>
        <v>06:19:18.164</v>
      </c>
      <c r="T2507" t="str">
        <f t="shared" si="874"/>
        <v>06:19:17.764</v>
      </c>
      <c r="U2507" t="str">
        <f t="shared" si="866"/>
        <v>A7E2E0</v>
      </c>
      <c r="V2507">
        <v>0</v>
      </c>
      <c r="W2507">
        <v>0</v>
      </c>
      <c r="X2507">
        <v>1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0</v>
      </c>
      <c r="AI2507" t="s">
        <v>1362</v>
      </c>
      <c r="AJ2507">
        <v>38.915548000000001</v>
      </c>
      <c r="AK2507" t="s">
        <v>1363</v>
      </c>
      <c r="AL2507">
        <v>-87.611439000000004</v>
      </c>
      <c r="AM2507">
        <v>100</v>
      </c>
      <c r="AN2507">
        <v>2400</v>
      </c>
      <c r="AO2507" t="s">
        <v>118</v>
      </c>
      <c r="AP2507">
        <v>20</v>
      </c>
      <c r="AQ2507">
        <v>-146</v>
      </c>
      <c r="AR2507">
        <v>-192</v>
      </c>
      <c r="AZ2507">
        <v>4552</v>
      </c>
      <c r="BA2507">
        <v>1</v>
      </c>
      <c r="BB2507" t="str">
        <f t="shared" si="867"/>
        <v xml:space="preserve">N607SR  </v>
      </c>
      <c r="BC2507">
        <v>1</v>
      </c>
      <c r="BE2507">
        <v>0</v>
      </c>
      <c r="BF2507">
        <v>0</v>
      </c>
      <c r="BG2507">
        <v>0</v>
      </c>
      <c r="BH2507">
        <v>2250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>"06:19:18.167"</f>
        <v>06:19:18.167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119</v>
      </c>
      <c r="CQ2507">
        <v>465</v>
      </c>
      <c r="CR2507">
        <v>0</v>
      </c>
      <c r="CW2507">
        <v>4726395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 t="shared" si="872"/>
        <v>08/29/2020 06:19:14.941</v>
      </c>
      <c r="C2508" t="str">
        <f t="shared" si="865"/>
        <v>FFDFD3C0</v>
      </c>
      <c r="D2508" t="s">
        <v>939</v>
      </c>
      <c r="E2508">
        <v>10</v>
      </c>
      <c r="H2508">
        <v>79</v>
      </c>
      <c r="I2508" t="s">
        <v>940</v>
      </c>
      <c r="J2508" t="s">
        <v>130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873"/>
        <v>06:19:18.164</v>
      </c>
      <c r="T2508" t="str">
        <f t="shared" si="874"/>
        <v>06:19:17.764</v>
      </c>
      <c r="U2508" t="str">
        <f t="shared" si="866"/>
        <v>A7E2E0</v>
      </c>
      <c r="V2508">
        <v>0</v>
      </c>
      <c r="W2508">
        <v>0</v>
      </c>
      <c r="X2508">
        <v>1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0</v>
      </c>
      <c r="AI2508" t="s">
        <v>1362</v>
      </c>
      <c r="AJ2508">
        <v>38.915548000000001</v>
      </c>
      <c r="AK2508" t="s">
        <v>1363</v>
      </c>
      <c r="AL2508">
        <v>-87.611439000000004</v>
      </c>
      <c r="AM2508">
        <v>100</v>
      </c>
      <c r="AN2508">
        <v>2400</v>
      </c>
      <c r="AO2508" t="s">
        <v>118</v>
      </c>
      <c r="AP2508">
        <v>20</v>
      </c>
      <c r="AQ2508">
        <v>-146</v>
      </c>
      <c r="AR2508">
        <v>-192</v>
      </c>
      <c r="AZ2508">
        <v>4552</v>
      </c>
      <c r="BA2508">
        <v>1</v>
      </c>
      <c r="BB2508" t="str">
        <f t="shared" si="867"/>
        <v xml:space="preserve">N607SR  </v>
      </c>
      <c r="BC2508">
        <v>1</v>
      </c>
      <c r="BE2508">
        <v>0</v>
      </c>
      <c r="BF2508">
        <v>0</v>
      </c>
      <c r="BG2508">
        <v>0</v>
      </c>
      <c r="BH2508">
        <v>2250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>"06:19:18.167"</f>
        <v>06:19:18.167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465</v>
      </c>
      <c r="CR2508">
        <v>0</v>
      </c>
      <c r="CW2508">
        <v>4726395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 t="shared" si="872"/>
        <v>08/29/2020 06:19:14.941</v>
      </c>
      <c r="C2509" t="str">
        <f t="shared" si="865"/>
        <v>FFDFD3C0</v>
      </c>
      <c r="D2509" t="s">
        <v>121</v>
      </c>
      <c r="E2509">
        <v>11</v>
      </c>
      <c r="F2509">
        <v>1011</v>
      </c>
      <c r="G2509" t="s">
        <v>125</v>
      </c>
      <c r="J2509" t="s">
        <v>123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873"/>
        <v>06:19:18.164</v>
      </c>
      <c r="T2509" t="str">
        <f t="shared" si="874"/>
        <v>06:19:17.764</v>
      </c>
      <c r="U2509" t="str">
        <f t="shared" si="866"/>
        <v>A7E2E0</v>
      </c>
      <c r="V2509">
        <v>0</v>
      </c>
      <c r="W2509">
        <v>0</v>
      </c>
      <c r="X2509">
        <v>1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0</v>
      </c>
      <c r="AI2509" t="s">
        <v>1362</v>
      </c>
      <c r="AJ2509">
        <v>38.915548000000001</v>
      </c>
      <c r="AK2509" t="s">
        <v>1363</v>
      </c>
      <c r="AL2509">
        <v>-87.611439000000004</v>
      </c>
      <c r="AM2509">
        <v>100</v>
      </c>
      <c r="AN2509">
        <v>2400</v>
      </c>
      <c r="AO2509" t="s">
        <v>118</v>
      </c>
      <c r="AP2509">
        <v>20</v>
      </c>
      <c r="AQ2509">
        <v>-146</v>
      </c>
      <c r="AR2509">
        <v>-192</v>
      </c>
      <c r="AZ2509">
        <v>4552</v>
      </c>
      <c r="BA2509">
        <v>1</v>
      </c>
      <c r="BB2509" t="str">
        <f t="shared" si="867"/>
        <v xml:space="preserve">N607SR  </v>
      </c>
      <c r="BC2509">
        <v>1</v>
      </c>
      <c r="BE2509">
        <v>0</v>
      </c>
      <c r="BF2509">
        <v>0</v>
      </c>
      <c r="BG2509">
        <v>0</v>
      </c>
      <c r="BH2509">
        <v>2250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>"06:19:18.168"</f>
        <v>06:19:18.168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6</v>
      </c>
      <c r="CP2509" t="s">
        <v>119</v>
      </c>
      <c r="CQ2509">
        <v>177</v>
      </c>
      <c r="CR2509">
        <v>2</v>
      </c>
      <c r="CW2509">
        <v>1673755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 t="shared" si="872"/>
        <v>08/29/2020 06:19:14.941</v>
      </c>
      <c r="C2510" t="str">
        <f t="shared" si="865"/>
        <v>FFDFD3C0</v>
      </c>
      <c r="D2510" t="s">
        <v>113</v>
      </c>
      <c r="E2510">
        <v>5</v>
      </c>
      <c r="H2510">
        <v>163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873"/>
        <v>06:19:18.164</v>
      </c>
      <c r="T2510" t="str">
        <f t="shared" si="874"/>
        <v>06:19:17.764</v>
      </c>
      <c r="U2510" t="str">
        <f t="shared" si="866"/>
        <v>A7E2E0</v>
      </c>
      <c r="V2510">
        <v>0</v>
      </c>
      <c r="W2510">
        <v>0</v>
      </c>
      <c r="X2510">
        <v>1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0</v>
      </c>
      <c r="AI2510" t="s">
        <v>1362</v>
      </c>
      <c r="AJ2510">
        <v>38.915548000000001</v>
      </c>
      <c r="AK2510" t="s">
        <v>1363</v>
      </c>
      <c r="AL2510">
        <v>-87.611439000000004</v>
      </c>
      <c r="AM2510">
        <v>100</v>
      </c>
      <c r="AN2510">
        <v>2400</v>
      </c>
      <c r="AO2510" t="s">
        <v>118</v>
      </c>
      <c r="AP2510">
        <v>20</v>
      </c>
      <c r="AQ2510">
        <v>-146</v>
      </c>
      <c r="AR2510">
        <v>-192</v>
      </c>
      <c r="AZ2510">
        <v>4552</v>
      </c>
      <c r="BA2510">
        <v>1</v>
      </c>
      <c r="BB2510" t="str">
        <f t="shared" si="867"/>
        <v xml:space="preserve">N607SR  </v>
      </c>
      <c r="BC2510">
        <v>1</v>
      </c>
      <c r="BE2510">
        <v>0</v>
      </c>
      <c r="BF2510">
        <v>0</v>
      </c>
      <c r="BG2510">
        <v>0</v>
      </c>
      <c r="BH2510">
        <v>2250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>"06:19:18.167"</f>
        <v>06:19:18.167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465</v>
      </c>
      <c r="CR2510">
        <v>0</v>
      </c>
      <c r="CW2510">
        <v>4726395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 t="shared" si="872"/>
        <v>08/29/2020 06:19:14.941</v>
      </c>
      <c r="C2511" t="str">
        <f t="shared" si="865"/>
        <v>FFDFD3C0</v>
      </c>
      <c r="D2511" t="s">
        <v>128</v>
      </c>
      <c r="E2511">
        <v>5</v>
      </c>
      <c r="H2511">
        <v>241</v>
      </c>
      <c r="I2511" t="s">
        <v>129</v>
      </c>
      <c r="J2511" t="s">
        <v>130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873"/>
        <v>06:19:18.164</v>
      </c>
      <c r="T2511" t="str">
        <f t="shared" si="874"/>
        <v>06:19:17.764</v>
      </c>
      <c r="U2511" t="str">
        <f t="shared" si="866"/>
        <v>A7E2E0</v>
      </c>
      <c r="V2511">
        <v>0</v>
      </c>
      <c r="W2511">
        <v>0</v>
      </c>
      <c r="X2511">
        <v>1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0</v>
      </c>
      <c r="AI2511" t="s">
        <v>1362</v>
      </c>
      <c r="AJ2511">
        <v>38.915548000000001</v>
      </c>
      <c r="AK2511" t="s">
        <v>1363</v>
      </c>
      <c r="AL2511">
        <v>-87.611439000000004</v>
      </c>
      <c r="AM2511">
        <v>100</v>
      </c>
      <c r="AN2511">
        <v>2400</v>
      </c>
      <c r="AO2511" t="s">
        <v>118</v>
      </c>
      <c r="AP2511">
        <v>20</v>
      </c>
      <c r="AQ2511">
        <v>-146</v>
      </c>
      <c r="AR2511">
        <v>-192</v>
      </c>
      <c r="AZ2511">
        <v>4552</v>
      </c>
      <c r="BA2511">
        <v>1</v>
      </c>
      <c r="BB2511" t="str">
        <f t="shared" si="867"/>
        <v xml:space="preserve">N607SR  </v>
      </c>
      <c r="BC2511">
        <v>1</v>
      </c>
      <c r="BE2511">
        <v>0</v>
      </c>
      <c r="BF2511">
        <v>0</v>
      </c>
      <c r="BG2511">
        <v>0</v>
      </c>
      <c r="BH2511">
        <v>2250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>"06:19:18.167"</f>
        <v>06:19:18.167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465</v>
      </c>
      <c r="CR2511">
        <v>0</v>
      </c>
      <c r="CW2511">
        <v>4726395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 t="shared" ref="A2512:A2517" si="875">"08/29/2020 06:19:15.888"</f>
        <v>08/29/2020 06:19:15.888</v>
      </c>
      <c r="C2512" t="str">
        <f t="shared" si="865"/>
        <v>FFDFD3C0</v>
      </c>
      <c r="D2512" t="s">
        <v>113</v>
      </c>
      <c r="E2512">
        <v>5</v>
      </c>
      <c r="H2512">
        <v>163</v>
      </c>
      <c r="I2512" t="s">
        <v>114</v>
      </c>
      <c r="J2512" t="s">
        <v>115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ref="S2512:S2517" si="876">"06:19:19.102"</f>
        <v>06:19:19.102</v>
      </c>
      <c r="T2512" t="str">
        <f t="shared" ref="T2512:T2517" si="877">"06:19:18.702"</f>
        <v>06:19:18.702</v>
      </c>
      <c r="U2512" t="str">
        <f t="shared" si="866"/>
        <v>A7E2E0</v>
      </c>
      <c r="V2512">
        <v>0</v>
      </c>
      <c r="W2512">
        <v>0</v>
      </c>
      <c r="X2512">
        <v>1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0</v>
      </c>
      <c r="AI2512" t="s">
        <v>1364</v>
      </c>
      <c r="AJ2512">
        <v>38.914968999999999</v>
      </c>
      <c r="AK2512" t="s">
        <v>1250</v>
      </c>
      <c r="AL2512">
        <v>-87.611332000000004</v>
      </c>
      <c r="AM2512">
        <v>100</v>
      </c>
      <c r="AN2512">
        <v>2400</v>
      </c>
      <c r="AO2512" t="s">
        <v>118</v>
      </c>
      <c r="AP2512">
        <v>19</v>
      </c>
      <c r="AQ2512">
        <v>-146</v>
      </c>
      <c r="AR2512">
        <v>-192</v>
      </c>
      <c r="AZ2512">
        <v>4552</v>
      </c>
      <c r="BA2512">
        <v>1</v>
      </c>
      <c r="BB2512" t="str">
        <f t="shared" si="867"/>
        <v xml:space="preserve">N607SR  </v>
      </c>
      <c r="BC2512">
        <v>1</v>
      </c>
      <c r="BE2512">
        <v>0</v>
      </c>
      <c r="BF2512">
        <v>0</v>
      </c>
      <c r="BG2512">
        <v>0</v>
      </c>
      <c r="BH2512">
        <v>2250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 t="shared" ref="BW2512:BW2517" si="878">"06:19:19.106"</f>
        <v>06:19:19.106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465</v>
      </c>
      <c r="CR2512">
        <v>0</v>
      </c>
      <c r="CW2512">
        <v>4726423</v>
      </c>
      <c r="CY2512">
        <v>1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 t="shared" si="875"/>
        <v>08/29/2020 06:19:15.888</v>
      </c>
      <c r="C2513" t="str">
        <f t="shared" si="865"/>
        <v>FFDFD3C0</v>
      </c>
      <c r="D2513" t="s">
        <v>121</v>
      </c>
      <c r="E2513">
        <v>11</v>
      </c>
      <c r="F2513">
        <v>1011</v>
      </c>
      <c r="G2513" t="s">
        <v>125</v>
      </c>
      <c r="J2513" t="s">
        <v>123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876"/>
        <v>06:19:19.102</v>
      </c>
      <c r="T2513" t="str">
        <f t="shared" si="877"/>
        <v>06:19:18.702</v>
      </c>
      <c r="U2513" t="str">
        <f t="shared" si="866"/>
        <v>A7E2E0</v>
      </c>
      <c r="V2513">
        <v>0</v>
      </c>
      <c r="W2513">
        <v>0</v>
      </c>
      <c r="X2513">
        <v>1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0</v>
      </c>
      <c r="AI2513" t="s">
        <v>1364</v>
      </c>
      <c r="AJ2513">
        <v>38.914968999999999</v>
      </c>
      <c r="AK2513" t="s">
        <v>1250</v>
      </c>
      <c r="AL2513">
        <v>-87.611332000000004</v>
      </c>
      <c r="AM2513">
        <v>100</v>
      </c>
      <c r="AN2513">
        <v>2400</v>
      </c>
      <c r="AO2513" t="s">
        <v>118</v>
      </c>
      <c r="AP2513">
        <v>19</v>
      </c>
      <c r="AQ2513">
        <v>-146</v>
      </c>
      <c r="AR2513">
        <v>-192</v>
      </c>
      <c r="AZ2513">
        <v>4552</v>
      </c>
      <c r="BA2513">
        <v>1</v>
      </c>
      <c r="BB2513" t="str">
        <f t="shared" si="867"/>
        <v xml:space="preserve">N607SR  </v>
      </c>
      <c r="BC2513">
        <v>1</v>
      </c>
      <c r="BE2513">
        <v>0</v>
      </c>
      <c r="BF2513">
        <v>0</v>
      </c>
      <c r="BG2513">
        <v>0</v>
      </c>
      <c r="BH2513">
        <v>2250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 t="shared" si="878"/>
        <v>06:19:19.106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6</v>
      </c>
      <c r="CP2513" t="s">
        <v>119</v>
      </c>
      <c r="CQ2513">
        <v>177</v>
      </c>
      <c r="CR2513">
        <v>2</v>
      </c>
      <c r="CW2513">
        <v>1673883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 t="shared" si="875"/>
        <v>08/29/2020 06:19:15.888</v>
      </c>
      <c r="C2514" t="str">
        <f t="shared" si="865"/>
        <v>FFDFD3C0</v>
      </c>
      <c r="D2514" t="s">
        <v>128</v>
      </c>
      <c r="E2514">
        <v>5</v>
      </c>
      <c r="H2514">
        <v>241</v>
      </c>
      <c r="I2514" t="s">
        <v>129</v>
      </c>
      <c r="J2514" t="s">
        <v>130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876"/>
        <v>06:19:19.102</v>
      </c>
      <c r="T2514" t="str">
        <f t="shared" si="877"/>
        <v>06:19:18.702</v>
      </c>
      <c r="U2514" t="str">
        <f t="shared" si="866"/>
        <v>A7E2E0</v>
      </c>
      <c r="V2514">
        <v>0</v>
      </c>
      <c r="W2514">
        <v>0</v>
      </c>
      <c r="X2514">
        <v>1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0</v>
      </c>
      <c r="AI2514" t="s">
        <v>1364</v>
      </c>
      <c r="AJ2514">
        <v>38.914968999999999</v>
      </c>
      <c r="AK2514" t="s">
        <v>1250</v>
      </c>
      <c r="AL2514">
        <v>-87.611332000000004</v>
      </c>
      <c r="AM2514">
        <v>100</v>
      </c>
      <c r="AN2514">
        <v>2400</v>
      </c>
      <c r="AO2514" t="s">
        <v>118</v>
      </c>
      <c r="AP2514">
        <v>19</v>
      </c>
      <c r="AQ2514">
        <v>-146</v>
      </c>
      <c r="AR2514">
        <v>-192</v>
      </c>
      <c r="AZ2514">
        <v>4552</v>
      </c>
      <c r="BA2514">
        <v>1</v>
      </c>
      <c r="BB2514" t="str">
        <f t="shared" si="867"/>
        <v xml:space="preserve">N607SR  </v>
      </c>
      <c r="BC2514">
        <v>1</v>
      </c>
      <c r="BE2514">
        <v>0</v>
      </c>
      <c r="BF2514">
        <v>0</v>
      </c>
      <c r="BG2514">
        <v>0</v>
      </c>
      <c r="BH2514">
        <v>2250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 t="shared" si="878"/>
        <v>06:19:19.106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465</v>
      </c>
      <c r="CR2514">
        <v>0</v>
      </c>
      <c r="CW2514">
        <v>4726423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 t="shared" si="875"/>
        <v>08/29/2020 06:19:15.888</v>
      </c>
      <c r="C2515" t="str">
        <f t="shared" si="865"/>
        <v>FFDFD3C0</v>
      </c>
      <c r="D2515" t="s">
        <v>121</v>
      </c>
      <c r="E2515">
        <v>10</v>
      </c>
      <c r="F2515">
        <v>1010</v>
      </c>
      <c r="G2515" t="s">
        <v>114</v>
      </c>
      <c r="J2515" t="s">
        <v>123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876"/>
        <v>06:19:19.102</v>
      </c>
      <c r="T2515" t="str">
        <f t="shared" si="877"/>
        <v>06:19:18.702</v>
      </c>
      <c r="U2515" t="str">
        <f t="shared" si="866"/>
        <v>A7E2E0</v>
      </c>
      <c r="V2515">
        <v>0</v>
      </c>
      <c r="W2515">
        <v>0</v>
      </c>
      <c r="X2515">
        <v>1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0</v>
      </c>
      <c r="AI2515" t="s">
        <v>1364</v>
      </c>
      <c r="AJ2515">
        <v>38.914968999999999</v>
      </c>
      <c r="AK2515" t="s">
        <v>1250</v>
      </c>
      <c r="AL2515">
        <v>-87.611332000000004</v>
      </c>
      <c r="AM2515">
        <v>100</v>
      </c>
      <c r="AN2515">
        <v>2400</v>
      </c>
      <c r="AO2515" t="s">
        <v>118</v>
      </c>
      <c r="AP2515">
        <v>19</v>
      </c>
      <c r="AQ2515">
        <v>-146</v>
      </c>
      <c r="AR2515">
        <v>-192</v>
      </c>
      <c r="AZ2515">
        <v>4552</v>
      </c>
      <c r="BA2515">
        <v>1</v>
      </c>
      <c r="BB2515" t="str">
        <f t="shared" si="867"/>
        <v xml:space="preserve">N607SR  </v>
      </c>
      <c r="BC2515">
        <v>1</v>
      </c>
      <c r="BE2515">
        <v>0</v>
      </c>
      <c r="BF2515">
        <v>0</v>
      </c>
      <c r="BG2515">
        <v>0</v>
      </c>
      <c r="BH2515">
        <v>2250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 t="shared" si="878"/>
        <v>06:19:19.106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465</v>
      </c>
      <c r="CR2515">
        <v>0</v>
      </c>
      <c r="CW2515">
        <v>4726423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 t="shared" si="875"/>
        <v>08/29/2020 06:19:15.888</v>
      </c>
      <c r="C2516" t="str">
        <f t="shared" si="865"/>
        <v>FFDFD3C0</v>
      </c>
      <c r="D2516" t="s">
        <v>939</v>
      </c>
      <c r="E2516">
        <v>10</v>
      </c>
      <c r="H2516">
        <v>79</v>
      </c>
      <c r="I2516" t="s">
        <v>940</v>
      </c>
      <c r="J2516" t="s">
        <v>130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876"/>
        <v>06:19:19.102</v>
      </c>
      <c r="T2516" t="str">
        <f t="shared" si="877"/>
        <v>06:19:18.702</v>
      </c>
      <c r="U2516" t="str">
        <f t="shared" si="866"/>
        <v>A7E2E0</v>
      </c>
      <c r="V2516">
        <v>0</v>
      </c>
      <c r="W2516">
        <v>0</v>
      </c>
      <c r="X2516">
        <v>1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0</v>
      </c>
      <c r="AI2516" t="s">
        <v>1364</v>
      </c>
      <c r="AJ2516">
        <v>38.914968999999999</v>
      </c>
      <c r="AK2516" t="s">
        <v>1250</v>
      </c>
      <c r="AL2516">
        <v>-87.611332000000004</v>
      </c>
      <c r="AM2516">
        <v>100</v>
      </c>
      <c r="AN2516">
        <v>2400</v>
      </c>
      <c r="AO2516" t="s">
        <v>118</v>
      </c>
      <c r="AP2516">
        <v>19</v>
      </c>
      <c r="AQ2516">
        <v>-146</v>
      </c>
      <c r="AR2516">
        <v>-192</v>
      </c>
      <c r="AZ2516">
        <v>4552</v>
      </c>
      <c r="BA2516">
        <v>1</v>
      </c>
      <c r="BB2516" t="str">
        <f t="shared" si="867"/>
        <v xml:space="preserve">N607SR  </v>
      </c>
      <c r="BC2516">
        <v>1</v>
      </c>
      <c r="BE2516">
        <v>0</v>
      </c>
      <c r="BF2516">
        <v>0</v>
      </c>
      <c r="BG2516">
        <v>0</v>
      </c>
      <c r="BH2516">
        <v>2250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 t="shared" si="878"/>
        <v>06:19:19.106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465</v>
      </c>
      <c r="CR2516">
        <v>0</v>
      </c>
      <c r="CW2516">
        <v>4726423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 t="shared" si="875"/>
        <v>08/29/2020 06:19:15.888</v>
      </c>
      <c r="C2517" t="str">
        <f t="shared" si="865"/>
        <v>FFDFD3C0</v>
      </c>
      <c r="D2517" t="s">
        <v>121</v>
      </c>
      <c r="E2517">
        <v>13</v>
      </c>
      <c r="F2517">
        <v>1013</v>
      </c>
      <c r="G2517" t="s">
        <v>122</v>
      </c>
      <c r="J2517" t="s">
        <v>123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876"/>
        <v>06:19:19.102</v>
      </c>
      <c r="T2517" t="str">
        <f t="shared" si="877"/>
        <v>06:19:18.702</v>
      </c>
      <c r="U2517" t="str">
        <f t="shared" si="866"/>
        <v>A7E2E0</v>
      </c>
      <c r="V2517">
        <v>0</v>
      </c>
      <c r="W2517">
        <v>0</v>
      </c>
      <c r="X2517">
        <v>1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0</v>
      </c>
      <c r="AI2517" t="s">
        <v>1364</v>
      </c>
      <c r="AJ2517">
        <v>38.914968999999999</v>
      </c>
      <c r="AK2517" t="s">
        <v>1250</v>
      </c>
      <c r="AL2517">
        <v>-87.611332000000004</v>
      </c>
      <c r="AM2517">
        <v>100</v>
      </c>
      <c r="AN2517">
        <v>2400</v>
      </c>
      <c r="AO2517" t="s">
        <v>118</v>
      </c>
      <c r="AP2517">
        <v>19</v>
      </c>
      <c r="AQ2517">
        <v>-146</v>
      </c>
      <c r="AR2517">
        <v>-192</v>
      </c>
      <c r="AZ2517">
        <v>4552</v>
      </c>
      <c r="BA2517">
        <v>1</v>
      </c>
      <c r="BB2517" t="str">
        <f t="shared" si="867"/>
        <v xml:space="preserve">N607SR  </v>
      </c>
      <c r="BC2517">
        <v>1</v>
      </c>
      <c r="BE2517">
        <v>0</v>
      </c>
      <c r="BF2517">
        <v>0</v>
      </c>
      <c r="BG2517">
        <v>0</v>
      </c>
      <c r="BH2517">
        <v>2250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 t="shared" si="878"/>
        <v>06:19:19.106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465</v>
      </c>
      <c r="CR2517">
        <v>0</v>
      </c>
      <c r="CW2517">
        <v>4726423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 t="shared" ref="A2518:A2523" si="879">"08/29/2020 06:19:17.016"</f>
        <v>08/29/2020 06:19:17.016</v>
      </c>
      <c r="C2518" t="str">
        <f t="shared" si="865"/>
        <v>FFDFD3C0</v>
      </c>
      <c r="D2518" t="s">
        <v>121</v>
      </c>
      <c r="E2518">
        <v>10</v>
      </c>
      <c r="F2518">
        <v>1010</v>
      </c>
      <c r="G2518" t="s">
        <v>114</v>
      </c>
      <c r="J2518" t="s">
        <v>123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ref="S2518:S2523" si="880">"06:19:20.234"</f>
        <v>06:19:20.234</v>
      </c>
      <c r="T2518" t="str">
        <f t="shared" ref="T2518:T2523" si="881">"06:19:19.734"</f>
        <v>06:19:19.734</v>
      </c>
      <c r="U2518" t="str">
        <f t="shared" si="866"/>
        <v>A7E2E0</v>
      </c>
      <c r="V2518">
        <v>0</v>
      </c>
      <c r="W2518">
        <v>0</v>
      </c>
      <c r="X2518">
        <v>1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0</v>
      </c>
      <c r="AI2518" t="s">
        <v>1365</v>
      </c>
      <c r="AJ2518">
        <v>38.914132000000002</v>
      </c>
      <c r="AK2518" t="s">
        <v>1366</v>
      </c>
      <c r="AL2518">
        <v>-87.611203000000003</v>
      </c>
      <c r="AM2518">
        <v>100</v>
      </c>
      <c r="AN2518">
        <v>2400</v>
      </c>
      <c r="AO2518" t="s">
        <v>118</v>
      </c>
      <c r="AP2518">
        <v>18</v>
      </c>
      <c r="AQ2518">
        <v>-146</v>
      </c>
      <c r="AR2518">
        <v>-256</v>
      </c>
      <c r="AZ2518">
        <v>4552</v>
      </c>
      <c r="BA2518">
        <v>1</v>
      </c>
      <c r="BB2518" t="str">
        <f t="shared" si="867"/>
        <v xml:space="preserve">N607SR  </v>
      </c>
      <c r="BC2518">
        <v>1</v>
      </c>
      <c r="BE2518">
        <v>0</v>
      </c>
      <c r="BF2518">
        <v>0</v>
      </c>
      <c r="BG2518">
        <v>0</v>
      </c>
      <c r="BH2518">
        <v>2225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 t="shared" ref="BW2518:BW2523" si="882">"06:19:20.237"</f>
        <v>06:19:20.237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6</v>
      </c>
      <c r="CP2518" t="s">
        <v>119</v>
      </c>
      <c r="CQ2518">
        <v>465</v>
      </c>
      <c r="CR2518">
        <v>0</v>
      </c>
      <c r="CW2518">
        <v>4726458</v>
      </c>
      <c r="CY2518">
        <v>1</v>
      </c>
      <c r="CZ2518">
        <v>0</v>
      </c>
      <c r="DA2518">
        <v>0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 t="shared" si="879"/>
        <v>08/29/2020 06:19:17.016</v>
      </c>
      <c r="C2519" t="str">
        <f t="shared" si="865"/>
        <v>FFDFD3C0</v>
      </c>
      <c r="D2519" t="s">
        <v>939</v>
      </c>
      <c r="E2519">
        <v>10</v>
      </c>
      <c r="H2519">
        <v>79</v>
      </c>
      <c r="I2519" t="s">
        <v>940</v>
      </c>
      <c r="J2519" t="s">
        <v>130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880"/>
        <v>06:19:20.234</v>
      </c>
      <c r="T2519" t="str">
        <f t="shared" si="881"/>
        <v>06:19:19.734</v>
      </c>
      <c r="U2519" t="str">
        <f t="shared" si="866"/>
        <v>A7E2E0</v>
      </c>
      <c r="V2519">
        <v>0</v>
      </c>
      <c r="W2519">
        <v>0</v>
      </c>
      <c r="X2519">
        <v>1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0</v>
      </c>
      <c r="AI2519" t="s">
        <v>1365</v>
      </c>
      <c r="AJ2519">
        <v>38.914132000000002</v>
      </c>
      <c r="AK2519" t="s">
        <v>1366</v>
      </c>
      <c r="AL2519">
        <v>-87.611203000000003</v>
      </c>
      <c r="AM2519">
        <v>100</v>
      </c>
      <c r="AN2519">
        <v>2400</v>
      </c>
      <c r="AO2519" t="s">
        <v>118</v>
      </c>
      <c r="AP2519">
        <v>18</v>
      </c>
      <c r="AQ2519">
        <v>-146</v>
      </c>
      <c r="AR2519">
        <v>-256</v>
      </c>
      <c r="AZ2519">
        <v>4552</v>
      </c>
      <c r="BA2519">
        <v>1</v>
      </c>
      <c r="BB2519" t="str">
        <f t="shared" si="867"/>
        <v xml:space="preserve">N607SR  </v>
      </c>
      <c r="BC2519">
        <v>1</v>
      </c>
      <c r="BE2519">
        <v>0</v>
      </c>
      <c r="BF2519">
        <v>0</v>
      </c>
      <c r="BG2519">
        <v>0</v>
      </c>
      <c r="BH2519">
        <v>2225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 t="shared" si="882"/>
        <v>06:19:20.237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6</v>
      </c>
      <c r="CP2519" t="s">
        <v>119</v>
      </c>
      <c r="CQ2519">
        <v>465</v>
      </c>
      <c r="CR2519">
        <v>0</v>
      </c>
      <c r="CW2519">
        <v>4726458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 t="shared" si="879"/>
        <v>08/29/2020 06:19:17.016</v>
      </c>
      <c r="C2520" t="str">
        <f t="shared" si="865"/>
        <v>FFDFD3C0</v>
      </c>
      <c r="D2520" t="s">
        <v>121</v>
      </c>
      <c r="E2520">
        <v>13</v>
      </c>
      <c r="F2520">
        <v>1013</v>
      </c>
      <c r="G2520" t="s">
        <v>122</v>
      </c>
      <c r="J2520" t="s">
        <v>123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880"/>
        <v>06:19:20.234</v>
      </c>
      <c r="T2520" t="str">
        <f t="shared" si="881"/>
        <v>06:19:19.734</v>
      </c>
      <c r="U2520" t="str">
        <f t="shared" si="866"/>
        <v>A7E2E0</v>
      </c>
      <c r="V2520">
        <v>0</v>
      </c>
      <c r="W2520">
        <v>0</v>
      </c>
      <c r="X2520">
        <v>1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0</v>
      </c>
      <c r="AI2520" t="s">
        <v>1365</v>
      </c>
      <c r="AJ2520">
        <v>38.914132000000002</v>
      </c>
      <c r="AK2520" t="s">
        <v>1366</v>
      </c>
      <c r="AL2520">
        <v>-87.611203000000003</v>
      </c>
      <c r="AM2520">
        <v>100</v>
      </c>
      <c r="AN2520">
        <v>2400</v>
      </c>
      <c r="AO2520" t="s">
        <v>118</v>
      </c>
      <c r="AP2520">
        <v>18</v>
      </c>
      <c r="AQ2520">
        <v>-146</v>
      </c>
      <c r="AR2520">
        <v>-256</v>
      </c>
      <c r="AZ2520">
        <v>4552</v>
      </c>
      <c r="BA2520">
        <v>1</v>
      </c>
      <c r="BB2520" t="str">
        <f t="shared" si="867"/>
        <v xml:space="preserve">N607SR  </v>
      </c>
      <c r="BC2520">
        <v>1</v>
      </c>
      <c r="BE2520">
        <v>0</v>
      </c>
      <c r="BF2520">
        <v>0</v>
      </c>
      <c r="BG2520">
        <v>0</v>
      </c>
      <c r="BH2520">
        <v>2225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 t="shared" si="882"/>
        <v>06:19:20.237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6</v>
      </c>
      <c r="CP2520" t="s">
        <v>119</v>
      </c>
      <c r="CQ2520">
        <v>465</v>
      </c>
      <c r="CR2520">
        <v>0</v>
      </c>
      <c r="CW2520">
        <v>4726458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 t="shared" si="879"/>
        <v>08/29/2020 06:19:17.016</v>
      </c>
      <c r="C2521" t="str">
        <f t="shared" si="865"/>
        <v>FFDFD3C0</v>
      </c>
      <c r="D2521" t="s">
        <v>121</v>
      </c>
      <c r="E2521">
        <v>11</v>
      </c>
      <c r="F2521">
        <v>1011</v>
      </c>
      <c r="G2521" t="s">
        <v>125</v>
      </c>
      <c r="J2521" t="s">
        <v>123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880"/>
        <v>06:19:20.234</v>
      </c>
      <c r="T2521" t="str">
        <f t="shared" si="881"/>
        <v>06:19:19.734</v>
      </c>
      <c r="U2521" t="str">
        <f t="shared" si="866"/>
        <v>A7E2E0</v>
      </c>
      <c r="V2521">
        <v>0</v>
      </c>
      <c r="W2521">
        <v>0</v>
      </c>
      <c r="X2521">
        <v>1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0</v>
      </c>
      <c r="AI2521" t="s">
        <v>1365</v>
      </c>
      <c r="AJ2521">
        <v>38.914132000000002</v>
      </c>
      <c r="AK2521" t="s">
        <v>1366</v>
      </c>
      <c r="AL2521">
        <v>-87.611203000000003</v>
      </c>
      <c r="AM2521">
        <v>100</v>
      </c>
      <c r="AN2521">
        <v>2400</v>
      </c>
      <c r="AO2521" t="s">
        <v>118</v>
      </c>
      <c r="AP2521">
        <v>18</v>
      </c>
      <c r="AQ2521">
        <v>-146</v>
      </c>
      <c r="AR2521">
        <v>-256</v>
      </c>
      <c r="AZ2521">
        <v>4552</v>
      </c>
      <c r="BA2521">
        <v>1</v>
      </c>
      <c r="BB2521" t="str">
        <f t="shared" si="867"/>
        <v xml:space="preserve">N607SR  </v>
      </c>
      <c r="BC2521">
        <v>1</v>
      </c>
      <c r="BE2521">
        <v>0</v>
      </c>
      <c r="BF2521">
        <v>0</v>
      </c>
      <c r="BG2521">
        <v>0</v>
      </c>
      <c r="BH2521">
        <v>2225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 t="shared" si="882"/>
        <v>06:19:20.237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6</v>
      </c>
      <c r="CP2521" t="s">
        <v>119</v>
      </c>
      <c r="CQ2521">
        <v>177</v>
      </c>
      <c r="CR2521">
        <v>2</v>
      </c>
      <c r="CW2521">
        <v>1674075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 t="shared" si="879"/>
        <v>08/29/2020 06:19:17.016</v>
      </c>
      <c r="C2522" t="str">
        <f t="shared" si="865"/>
        <v>FFDFD3C0</v>
      </c>
      <c r="D2522" t="s">
        <v>113</v>
      </c>
      <c r="E2522">
        <v>5</v>
      </c>
      <c r="H2522">
        <v>163</v>
      </c>
      <c r="I2522" t="s">
        <v>114</v>
      </c>
      <c r="J2522" t="s">
        <v>115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880"/>
        <v>06:19:20.234</v>
      </c>
      <c r="T2522" t="str">
        <f t="shared" si="881"/>
        <v>06:19:19.734</v>
      </c>
      <c r="U2522" t="str">
        <f t="shared" si="866"/>
        <v>A7E2E0</v>
      </c>
      <c r="V2522">
        <v>0</v>
      </c>
      <c r="W2522">
        <v>0</v>
      </c>
      <c r="X2522">
        <v>1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0</v>
      </c>
      <c r="AI2522" t="s">
        <v>1365</v>
      </c>
      <c r="AJ2522">
        <v>38.914132000000002</v>
      </c>
      <c r="AK2522" t="s">
        <v>1366</v>
      </c>
      <c r="AL2522">
        <v>-87.611203000000003</v>
      </c>
      <c r="AM2522">
        <v>100</v>
      </c>
      <c r="AN2522">
        <v>2400</v>
      </c>
      <c r="AO2522" t="s">
        <v>118</v>
      </c>
      <c r="AP2522">
        <v>18</v>
      </c>
      <c r="AQ2522">
        <v>-146</v>
      </c>
      <c r="AR2522">
        <v>-256</v>
      </c>
      <c r="AZ2522">
        <v>4552</v>
      </c>
      <c r="BA2522">
        <v>1</v>
      </c>
      <c r="BB2522" t="str">
        <f t="shared" si="867"/>
        <v xml:space="preserve">N607SR  </v>
      </c>
      <c r="BC2522">
        <v>1</v>
      </c>
      <c r="BE2522">
        <v>0</v>
      </c>
      <c r="BF2522">
        <v>0</v>
      </c>
      <c r="BG2522">
        <v>0</v>
      </c>
      <c r="BH2522">
        <v>2225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 t="shared" si="882"/>
        <v>06:19:20.237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6</v>
      </c>
      <c r="CP2522" t="s">
        <v>119</v>
      </c>
      <c r="CQ2522">
        <v>465</v>
      </c>
      <c r="CR2522">
        <v>0</v>
      </c>
      <c r="CW2522">
        <v>4726458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 t="shared" si="879"/>
        <v>08/29/2020 06:19:17.016</v>
      </c>
      <c r="C2523" t="str">
        <f t="shared" si="865"/>
        <v>FFDFD3C0</v>
      </c>
      <c r="D2523" t="s">
        <v>128</v>
      </c>
      <c r="E2523">
        <v>5</v>
      </c>
      <c r="H2523">
        <v>241</v>
      </c>
      <c r="I2523" t="s">
        <v>129</v>
      </c>
      <c r="J2523" t="s">
        <v>130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880"/>
        <v>06:19:20.234</v>
      </c>
      <c r="T2523" t="str">
        <f t="shared" si="881"/>
        <v>06:19:19.734</v>
      </c>
      <c r="U2523" t="str">
        <f t="shared" si="866"/>
        <v>A7E2E0</v>
      </c>
      <c r="V2523">
        <v>0</v>
      </c>
      <c r="W2523">
        <v>0</v>
      </c>
      <c r="X2523">
        <v>1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0</v>
      </c>
      <c r="AI2523" t="s">
        <v>1365</v>
      </c>
      <c r="AJ2523">
        <v>38.914132000000002</v>
      </c>
      <c r="AK2523" t="s">
        <v>1366</v>
      </c>
      <c r="AL2523">
        <v>-87.611203000000003</v>
      </c>
      <c r="AM2523">
        <v>100</v>
      </c>
      <c r="AN2523">
        <v>2400</v>
      </c>
      <c r="AO2523" t="s">
        <v>118</v>
      </c>
      <c r="AP2523">
        <v>18</v>
      </c>
      <c r="AQ2523">
        <v>-146</v>
      </c>
      <c r="AR2523">
        <v>-256</v>
      </c>
      <c r="AZ2523">
        <v>4552</v>
      </c>
      <c r="BA2523">
        <v>1</v>
      </c>
      <c r="BB2523" t="str">
        <f t="shared" si="867"/>
        <v xml:space="preserve">N607SR  </v>
      </c>
      <c r="BC2523">
        <v>1</v>
      </c>
      <c r="BE2523">
        <v>0</v>
      </c>
      <c r="BF2523">
        <v>0</v>
      </c>
      <c r="BG2523">
        <v>0</v>
      </c>
      <c r="BH2523">
        <v>2225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 t="shared" si="882"/>
        <v>06:19:20.237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6</v>
      </c>
      <c r="CP2523" t="s">
        <v>119</v>
      </c>
      <c r="CQ2523">
        <v>465</v>
      </c>
      <c r="CR2523">
        <v>0</v>
      </c>
      <c r="CW2523">
        <v>4726458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 t="shared" ref="A2524:A2529" si="883">"08/29/2020 06:19:18.073"</f>
        <v>08/29/2020 06:19:18.073</v>
      </c>
      <c r="C2524" t="str">
        <f t="shared" si="865"/>
        <v>FFDFD3C0</v>
      </c>
      <c r="D2524" t="s">
        <v>128</v>
      </c>
      <c r="E2524">
        <v>5</v>
      </c>
      <c r="H2524">
        <v>241</v>
      </c>
      <c r="I2524" t="s">
        <v>129</v>
      </c>
      <c r="J2524" t="s">
        <v>130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ref="S2524:S2529" si="884">"06:19:21.305"</f>
        <v>06:19:21.305</v>
      </c>
      <c r="T2524" t="str">
        <f t="shared" ref="T2524:T2529" si="885">"06:19:20.805"</f>
        <v>06:19:20.805</v>
      </c>
      <c r="U2524" t="str">
        <f t="shared" si="866"/>
        <v>A7E2E0</v>
      </c>
      <c r="V2524">
        <v>0</v>
      </c>
      <c r="W2524">
        <v>0</v>
      </c>
      <c r="X2524">
        <v>1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0</v>
      </c>
      <c r="AI2524" t="s">
        <v>1367</v>
      </c>
      <c r="AJ2524">
        <v>38.913381000000001</v>
      </c>
      <c r="AK2524" t="s">
        <v>1368</v>
      </c>
      <c r="AL2524">
        <v>-87.611074000000002</v>
      </c>
      <c r="AM2524">
        <v>100</v>
      </c>
      <c r="AN2524">
        <v>2400</v>
      </c>
      <c r="AO2524" t="s">
        <v>118</v>
      </c>
      <c r="AP2524">
        <v>17</v>
      </c>
      <c r="AQ2524">
        <v>-146</v>
      </c>
      <c r="AR2524">
        <v>-256</v>
      </c>
      <c r="AZ2524">
        <v>4552</v>
      </c>
      <c r="BA2524">
        <v>1</v>
      </c>
      <c r="BB2524" t="str">
        <f t="shared" si="867"/>
        <v xml:space="preserve">N607SR  </v>
      </c>
      <c r="BC2524">
        <v>1</v>
      </c>
      <c r="BE2524">
        <v>0</v>
      </c>
      <c r="BF2524">
        <v>0</v>
      </c>
      <c r="BG2524">
        <v>0</v>
      </c>
      <c r="BH2524">
        <v>2225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 t="shared" ref="BW2524:BW2529" si="886">"06:19:21.312"</f>
        <v>06:19:21.312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465</v>
      </c>
      <c r="CR2524">
        <v>0</v>
      </c>
      <c r="CW2524">
        <v>4726491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 t="shared" si="883"/>
        <v>08/29/2020 06:19:18.073</v>
      </c>
      <c r="C2525" t="str">
        <f t="shared" si="865"/>
        <v>FFDFD3C0</v>
      </c>
      <c r="D2525" t="s">
        <v>939</v>
      </c>
      <c r="E2525">
        <v>10</v>
      </c>
      <c r="H2525">
        <v>79</v>
      </c>
      <c r="I2525" t="s">
        <v>940</v>
      </c>
      <c r="J2525" t="s">
        <v>130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884"/>
        <v>06:19:21.305</v>
      </c>
      <c r="T2525" t="str">
        <f t="shared" si="885"/>
        <v>06:19:20.805</v>
      </c>
      <c r="U2525" t="str">
        <f t="shared" si="866"/>
        <v>A7E2E0</v>
      </c>
      <c r="V2525">
        <v>0</v>
      </c>
      <c r="W2525">
        <v>0</v>
      </c>
      <c r="X2525">
        <v>1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0</v>
      </c>
      <c r="AI2525" t="s">
        <v>1367</v>
      </c>
      <c r="AJ2525">
        <v>38.913381000000001</v>
      </c>
      <c r="AK2525" t="s">
        <v>1368</v>
      </c>
      <c r="AL2525">
        <v>-87.611074000000002</v>
      </c>
      <c r="AM2525">
        <v>100</v>
      </c>
      <c r="AN2525">
        <v>2400</v>
      </c>
      <c r="AO2525" t="s">
        <v>118</v>
      </c>
      <c r="AP2525">
        <v>17</v>
      </c>
      <c r="AQ2525">
        <v>-146</v>
      </c>
      <c r="AR2525">
        <v>-256</v>
      </c>
      <c r="AZ2525">
        <v>4552</v>
      </c>
      <c r="BA2525">
        <v>1</v>
      </c>
      <c r="BB2525" t="str">
        <f t="shared" si="867"/>
        <v xml:space="preserve">N607SR  </v>
      </c>
      <c r="BC2525">
        <v>1</v>
      </c>
      <c r="BE2525">
        <v>0</v>
      </c>
      <c r="BF2525">
        <v>0</v>
      </c>
      <c r="BG2525">
        <v>0</v>
      </c>
      <c r="BH2525">
        <v>2225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 t="shared" si="886"/>
        <v>06:19:21.312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465</v>
      </c>
      <c r="CR2525">
        <v>0</v>
      </c>
      <c r="CW2525">
        <v>4726491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 t="shared" si="883"/>
        <v>08/29/2020 06:19:18.073</v>
      </c>
      <c r="C2526" t="str">
        <f t="shared" si="865"/>
        <v>FFDFD3C0</v>
      </c>
      <c r="D2526" t="s">
        <v>121</v>
      </c>
      <c r="E2526">
        <v>10</v>
      </c>
      <c r="F2526">
        <v>1010</v>
      </c>
      <c r="G2526" t="s">
        <v>114</v>
      </c>
      <c r="J2526" t="s">
        <v>123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884"/>
        <v>06:19:21.305</v>
      </c>
      <c r="T2526" t="str">
        <f t="shared" si="885"/>
        <v>06:19:20.805</v>
      </c>
      <c r="U2526" t="str">
        <f t="shared" si="866"/>
        <v>A7E2E0</v>
      </c>
      <c r="V2526">
        <v>0</v>
      </c>
      <c r="W2526">
        <v>0</v>
      </c>
      <c r="X2526">
        <v>1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0</v>
      </c>
      <c r="AI2526" t="s">
        <v>1367</v>
      </c>
      <c r="AJ2526">
        <v>38.913381000000001</v>
      </c>
      <c r="AK2526" t="s">
        <v>1368</v>
      </c>
      <c r="AL2526">
        <v>-87.611074000000002</v>
      </c>
      <c r="AM2526">
        <v>100</v>
      </c>
      <c r="AN2526">
        <v>2400</v>
      </c>
      <c r="AO2526" t="s">
        <v>118</v>
      </c>
      <c r="AP2526">
        <v>17</v>
      </c>
      <c r="AQ2526">
        <v>-146</v>
      </c>
      <c r="AR2526">
        <v>-256</v>
      </c>
      <c r="AZ2526">
        <v>4552</v>
      </c>
      <c r="BA2526">
        <v>1</v>
      </c>
      <c r="BB2526" t="str">
        <f t="shared" si="867"/>
        <v xml:space="preserve">N607SR  </v>
      </c>
      <c r="BC2526">
        <v>1</v>
      </c>
      <c r="BE2526">
        <v>0</v>
      </c>
      <c r="BF2526">
        <v>0</v>
      </c>
      <c r="BG2526">
        <v>0</v>
      </c>
      <c r="BH2526">
        <v>2225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 t="shared" si="886"/>
        <v>06:19:21.312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465</v>
      </c>
      <c r="CR2526">
        <v>0</v>
      </c>
      <c r="CW2526">
        <v>4726491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 t="shared" si="883"/>
        <v>08/29/2020 06:19:18.073</v>
      </c>
      <c r="C2527" t="str">
        <f t="shared" si="865"/>
        <v>FFDFD3C0</v>
      </c>
      <c r="D2527" t="s">
        <v>121</v>
      </c>
      <c r="E2527">
        <v>13</v>
      </c>
      <c r="F2527">
        <v>1013</v>
      </c>
      <c r="G2527" t="s">
        <v>122</v>
      </c>
      <c r="J2527" t="s">
        <v>123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884"/>
        <v>06:19:21.305</v>
      </c>
      <c r="T2527" t="str">
        <f t="shared" si="885"/>
        <v>06:19:20.805</v>
      </c>
      <c r="U2527" t="str">
        <f t="shared" si="866"/>
        <v>A7E2E0</v>
      </c>
      <c r="V2527">
        <v>0</v>
      </c>
      <c r="W2527">
        <v>0</v>
      </c>
      <c r="X2527">
        <v>1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0</v>
      </c>
      <c r="AI2527" t="s">
        <v>1367</v>
      </c>
      <c r="AJ2527">
        <v>38.913381000000001</v>
      </c>
      <c r="AK2527" t="s">
        <v>1368</v>
      </c>
      <c r="AL2527">
        <v>-87.611074000000002</v>
      </c>
      <c r="AM2527">
        <v>100</v>
      </c>
      <c r="AN2527">
        <v>2400</v>
      </c>
      <c r="AO2527" t="s">
        <v>118</v>
      </c>
      <c r="AP2527">
        <v>17</v>
      </c>
      <c r="AQ2527">
        <v>-146</v>
      </c>
      <c r="AR2527">
        <v>-256</v>
      </c>
      <c r="AZ2527">
        <v>4552</v>
      </c>
      <c r="BA2527">
        <v>1</v>
      </c>
      <c r="BB2527" t="str">
        <f t="shared" si="867"/>
        <v xml:space="preserve">N607SR  </v>
      </c>
      <c r="BC2527">
        <v>1</v>
      </c>
      <c r="BE2527">
        <v>0</v>
      </c>
      <c r="BF2527">
        <v>0</v>
      </c>
      <c r="BG2527">
        <v>0</v>
      </c>
      <c r="BH2527">
        <v>2225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 t="shared" si="886"/>
        <v>06:19:21.312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465</v>
      </c>
      <c r="CR2527">
        <v>0</v>
      </c>
      <c r="CW2527">
        <v>4726491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 t="shared" si="883"/>
        <v>08/29/2020 06:19:18.073</v>
      </c>
      <c r="C2528" t="str">
        <f t="shared" si="865"/>
        <v>FFDFD3C0</v>
      </c>
      <c r="D2528" t="s">
        <v>121</v>
      </c>
      <c r="E2528">
        <v>11</v>
      </c>
      <c r="F2528">
        <v>1011</v>
      </c>
      <c r="G2528" t="s">
        <v>125</v>
      </c>
      <c r="J2528" t="s">
        <v>123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884"/>
        <v>06:19:21.305</v>
      </c>
      <c r="T2528" t="str">
        <f t="shared" si="885"/>
        <v>06:19:20.805</v>
      </c>
      <c r="U2528" t="str">
        <f t="shared" si="866"/>
        <v>A7E2E0</v>
      </c>
      <c r="V2528">
        <v>0</v>
      </c>
      <c r="W2528">
        <v>0</v>
      </c>
      <c r="X2528">
        <v>1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0</v>
      </c>
      <c r="AI2528" t="s">
        <v>1367</v>
      </c>
      <c r="AJ2528">
        <v>38.913381000000001</v>
      </c>
      <c r="AK2528" t="s">
        <v>1368</v>
      </c>
      <c r="AL2528">
        <v>-87.611074000000002</v>
      </c>
      <c r="AM2528">
        <v>100</v>
      </c>
      <c r="AN2528">
        <v>2400</v>
      </c>
      <c r="AO2528" t="s">
        <v>118</v>
      </c>
      <c r="AP2528">
        <v>17</v>
      </c>
      <c r="AQ2528">
        <v>-146</v>
      </c>
      <c r="AR2528">
        <v>-256</v>
      </c>
      <c r="AZ2528">
        <v>4552</v>
      </c>
      <c r="BA2528">
        <v>1</v>
      </c>
      <c r="BB2528" t="str">
        <f t="shared" si="867"/>
        <v xml:space="preserve">N607SR  </v>
      </c>
      <c r="BC2528">
        <v>1</v>
      </c>
      <c r="BE2528">
        <v>0</v>
      </c>
      <c r="BF2528">
        <v>0</v>
      </c>
      <c r="BG2528">
        <v>0</v>
      </c>
      <c r="BH2528">
        <v>2225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 t="shared" si="886"/>
        <v>06:19:21.312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6</v>
      </c>
      <c r="CP2528" t="s">
        <v>119</v>
      </c>
      <c r="CQ2528">
        <v>177</v>
      </c>
      <c r="CR2528">
        <v>2</v>
      </c>
      <c r="CW2528">
        <v>1674288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 t="shared" si="883"/>
        <v>08/29/2020 06:19:18.073</v>
      </c>
      <c r="C2529" t="str">
        <f t="shared" si="865"/>
        <v>FFDFD3C0</v>
      </c>
      <c r="D2529" t="s">
        <v>113</v>
      </c>
      <c r="E2529">
        <v>5</v>
      </c>
      <c r="H2529">
        <v>163</v>
      </c>
      <c r="I2529" t="s">
        <v>114</v>
      </c>
      <c r="J2529" t="s">
        <v>115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884"/>
        <v>06:19:21.305</v>
      </c>
      <c r="T2529" t="str">
        <f t="shared" si="885"/>
        <v>06:19:20.805</v>
      </c>
      <c r="U2529" t="str">
        <f t="shared" si="866"/>
        <v>A7E2E0</v>
      </c>
      <c r="V2529">
        <v>0</v>
      </c>
      <c r="W2529">
        <v>0</v>
      </c>
      <c r="X2529">
        <v>1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0</v>
      </c>
      <c r="AI2529" t="s">
        <v>1367</v>
      </c>
      <c r="AJ2529">
        <v>38.913381000000001</v>
      </c>
      <c r="AK2529" t="s">
        <v>1368</v>
      </c>
      <c r="AL2529">
        <v>-87.611074000000002</v>
      </c>
      <c r="AM2529">
        <v>100</v>
      </c>
      <c r="AN2529">
        <v>2400</v>
      </c>
      <c r="AO2529" t="s">
        <v>118</v>
      </c>
      <c r="AP2529">
        <v>17</v>
      </c>
      <c r="AQ2529">
        <v>-146</v>
      </c>
      <c r="AR2529">
        <v>-256</v>
      </c>
      <c r="AZ2529">
        <v>4552</v>
      </c>
      <c r="BA2529">
        <v>1</v>
      </c>
      <c r="BB2529" t="str">
        <f t="shared" si="867"/>
        <v xml:space="preserve">N607SR  </v>
      </c>
      <c r="BC2529">
        <v>1</v>
      </c>
      <c r="BE2529">
        <v>0</v>
      </c>
      <c r="BF2529">
        <v>0</v>
      </c>
      <c r="BG2529">
        <v>0</v>
      </c>
      <c r="BH2529">
        <v>2225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 t="shared" si="886"/>
        <v>06:19:21.312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465</v>
      </c>
      <c r="CR2529">
        <v>0</v>
      </c>
      <c r="CW2529">
        <v>4726491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 t="shared" ref="A2530:A2535" si="887">"08/29/2020 06:19:19.079"</f>
        <v>08/29/2020 06:19:19.079</v>
      </c>
      <c r="C2530" t="str">
        <f t="shared" si="865"/>
        <v>FFDFD3C0</v>
      </c>
      <c r="D2530" t="s">
        <v>121</v>
      </c>
      <c r="E2530">
        <v>11</v>
      </c>
      <c r="F2530">
        <v>1011</v>
      </c>
      <c r="G2530" t="s">
        <v>125</v>
      </c>
      <c r="J2530" t="s">
        <v>123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ref="S2530:S2535" si="888">"06:19:22.281"</f>
        <v>06:19:22.281</v>
      </c>
      <c r="T2530" t="str">
        <f t="shared" ref="T2530:T2535" si="889">"06:19:21.781"</f>
        <v>06:19:21.781</v>
      </c>
      <c r="U2530" t="str">
        <f t="shared" si="866"/>
        <v>A7E2E0</v>
      </c>
      <c r="V2530">
        <v>0</v>
      </c>
      <c r="W2530">
        <v>0</v>
      </c>
      <c r="X2530">
        <v>1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0</v>
      </c>
      <c r="AI2530" t="s">
        <v>1369</v>
      </c>
      <c r="AJ2530">
        <v>38.912779999999998</v>
      </c>
      <c r="AK2530" t="s">
        <v>1370</v>
      </c>
      <c r="AL2530">
        <v>-87.611031999999994</v>
      </c>
      <c r="AM2530">
        <v>100</v>
      </c>
      <c r="AN2530">
        <v>2400</v>
      </c>
      <c r="AO2530" t="s">
        <v>118</v>
      </c>
      <c r="AP2530">
        <v>15</v>
      </c>
      <c r="AQ2530">
        <v>-146</v>
      </c>
      <c r="AR2530">
        <v>-256</v>
      </c>
      <c r="AZ2530">
        <v>4552</v>
      </c>
      <c r="BA2530">
        <v>1</v>
      </c>
      <c r="BB2530" t="str">
        <f t="shared" si="867"/>
        <v xml:space="preserve">N607SR  </v>
      </c>
      <c r="BC2530">
        <v>1</v>
      </c>
      <c r="BE2530">
        <v>0</v>
      </c>
      <c r="BF2530">
        <v>0</v>
      </c>
      <c r="BG2530">
        <v>0</v>
      </c>
      <c r="BH2530">
        <v>2225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 t="shared" ref="BW2530:BW2535" si="890">"06:19:22.285"</f>
        <v>06:19:22.285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6</v>
      </c>
      <c r="CP2530" t="s">
        <v>119</v>
      </c>
      <c r="CQ2530">
        <v>177</v>
      </c>
      <c r="CR2530">
        <v>2</v>
      </c>
      <c r="CW2530">
        <v>1674457</v>
      </c>
      <c r="CY2530">
        <v>1</v>
      </c>
      <c r="CZ2530">
        <v>0</v>
      </c>
      <c r="DA2530">
        <v>0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si="887"/>
        <v>08/29/2020 06:19:19.079</v>
      </c>
      <c r="C2531" t="str">
        <f t="shared" si="865"/>
        <v>FFDFD3C0</v>
      </c>
      <c r="D2531" t="s">
        <v>939</v>
      </c>
      <c r="E2531">
        <v>10</v>
      </c>
      <c r="H2531">
        <v>79</v>
      </c>
      <c r="I2531" t="s">
        <v>940</v>
      </c>
      <c r="J2531" t="s">
        <v>130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888"/>
        <v>06:19:22.281</v>
      </c>
      <c r="T2531" t="str">
        <f t="shared" si="889"/>
        <v>06:19:21.781</v>
      </c>
      <c r="U2531" t="str">
        <f t="shared" si="866"/>
        <v>A7E2E0</v>
      </c>
      <c r="V2531">
        <v>0</v>
      </c>
      <c r="W2531">
        <v>0</v>
      </c>
      <c r="X2531">
        <v>1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0</v>
      </c>
      <c r="AI2531" t="s">
        <v>1369</v>
      </c>
      <c r="AJ2531">
        <v>38.912779999999998</v>
      </c>
      <c r="AK2531" t="s">
        <v>1370</v>
      </c>
      <c r="AL2531">
        <v>-87.611031999999994</v>
      </c>
      <c r="AM2531">
        <v>100</v>
      </c>
      <c r="AN2531">
        <v>2400</v>
      </c>
      <c r="AO2531" t="s">
        <v>118</v>
      </c>
      <c r="AP2531">
        <v>15</v>
      </c>
      <c r="AQ2531">
        <v>-146</v>
      </c>
      <c r="AR2531">
        <v>-256</v>
      </c>
      <c r="AZ2531">
        <v>4552</v>
      </c>
      <c r="BA2531">
        <v>1</v>
      </c>
      <c r="BB2531" t="str">
        <f t="shared" si="867"/>
        <v xml:space="preserve">N607SR  </v>
      </c>
      <c r="BC2531">
        <v>1</v>
      </c>
      <c r="BE2531">
        <v>0</v>
      </c>
      <c r="BF2531">
        <v>0</v>
      </c>
      <c r="BG2531">
        <v>0</v>
      </c>
      <c r="BH2531">
        <v>2225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 t="shared" si="890"/>
        <v>06:19:22.285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6</v>
      </c>
      <c r="CP2531" t="s">
        <v>119</v>
      </c>
      <c r="CQ2531">
        <v>465</v>
      </c>
      <c r="CR2531">
        <v>0</v>
      </c>
      <c r="CW2531">
        <v>4726526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887"/>
        <v>08/29/2020 06:19:19.079</v>
      </c>
      <c r="C2532" t="str">
        <f t="shared" si="865"/>
        <v>FFDFD3C0</v>
      </c>
      <c r="D2532" t="s">
        <v>113</v>
      </c>
      <c r="E2532">
        <v>5</v>
      </c>
      <c r="H2532">
        <v>163</v>
      </c>
      <c r="I2532" t="s">
        <v>114</v>
      </c>
      <c r="J2532" t="s">
        <v>115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888"/>
        <v>06:19:22.281</v>
      </c>
      <c r="T2532" t="str">
        <f t="shared" si="889"/>
        <v>06:19:21.781</v>
      </c>
      <c r="U2532" t="str">
        <f t="shared" si="866"/>
        <v>A7E2E0</v>
      </c>
      <c r="V2532">
        <v>0</v>
      </c>
      <c r="W2532">
        <v>0</v>
      </c>
      <c r="X2532">
        <v>1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0</v>
      </c>
      <c r="AI2532" t="s">
        <v>1369</v>
      </c>
      <c r="AJ2532">
        <v>38.912779999999998</v>
      </c>
      <c r="AK2532" t="s">
        <v>1370</v>
      </c>
      <c r="AL2532">
        <v>-87.611031999999994</v>
      </c>
      <c r="AM2532">
        <v>100</v>
      </c>
      <c r="AN2532">
        <v>2400</v>
      </c>
      <c r="AO2532" t="s">
        <v>118</v>
      </c>
      <c r="AP2532">
        <v>15</v>
      </c>
      <c r="AQ2532">
        <v>-146</v>
      </c>
      <c r="AR2532">
        <v>-256</v>
      </c>
      <c r="AZ2532">
        <v>4552</v>
      </c>
      <c r="BA2532">
        <v>1</v>
      </c>
      <c r="BB2532" t="str">
        <f t="shared" si="867"/>
        <v xml:space="preserve">N607SR  </v>
      </c>
      <c r="BC2532">
        <v>1</v>
      </c>
      <c r="BE2532">
        <v>0</v>
      </c>
      <c r="BF2532">
        <v>0</v>
      </c>
      <c r="BG2532">
        <v>0</v>
      </c>
      <c r="BH2532">
        <v>2225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 t="shared" si="890"/>
        <v>06:19:22.285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6</v>
      </c>
      <c r="CP2532" t="s">
        <v>119</v>
      </c>
      <c r="CQ2532">
        <v>465</v>
      </c>
      <c r="CR2532">
        <v>0</v>
      </c>
      <c r="CW2532">
        <v>4726526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si="887"/>
        <v>08/29/2020 06:19:19.079</v>
      </c>
      <c r="C2533" t="str">
        <f t="shared" si="865"/>
        <v>FFDFD3C0</v>
      </c>
      <c r="D2533" t="s">
        <v>128</v>
      </c>
      <c r="E2533">
        <v>5</v>
      </c>
      <c r="H2533">
        <v>241</v>
      </c>
      <c r="I2533" t="s">
        <v>129</v>
      </c>
      <c r="J2533" t="s">
        <v>130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888"/>
        <v>06:19:22.281</v>
      </c>
      <c r="T2533" t="str">
        <f t="shared" si="889"/>
        <v>06:19:21.781</v>
      </c>
      <c r="U2533" t="str">
        <f t="shared" si="866"/>
        <v>A7E2E0</v>
      </c>
      <c r="V2533">
        <v>0</v>
      </c>
      <c r="W2533">
        <v>0</v>
      </c>
      <c r="X2533">
        <v>1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0</v>
      </c>
      <c r="AI2533" t="s">
        <v>1369</v>
      </c>
      <c r="AJ2533">
        <v>38.912779999999998</v>
      </c>
      <c r="AK2533" t="s">
        <v>1370</v>
      </c>
      <c r="AL2533">
        <v>-87.611031999999994</v>
      </c>
      <c r="AM2533">
        <v>100</v>
      </c>
      <c r="AN2533">
        <v>2400</v>
      </c>
      <c r="AO2533" t="s">
        <v>118</v>
      </c>
      <c r="AP2533">
        <v>15</v>
      </c>
      <c r="AQ2533">
        <v>-146</v>
      </c>
      <c r="AR2533">
        <v>-256</v>
      </c>
      <c r="AZ2533">
        <v>4552</v>
      </c>
      <c r="BA2533">
        <v>1</v>
      </c>
      <c r="BB2533" t="str">
        <f t="shared" si="867"/>
        <v xml:space="preserve">N607SR  </v>
      </c>
      <c r="BC2533">
        <v>1</v>
      </c>
      <c r="BE2533">
        <v>0</v>
      </c>
      <c r="BF2533">
        <v>0</v>
      </c>
      <c r="BG2533">
        <v>0</v>
      </c>
      <c r="BH2533">
        <v>2225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 t="shared" si="890"/>
        <v>06:19:22.285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6</v>
      </c>
      <c r="CP2533" t="s">
        <v>119</v>
      </c>
      <c r="CQ2533">
        <v>465</v>
      </c>
      <c r="CR2533">
        <v>0</v>
      </c>
      <c r="CW2533">
        <v>4726526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887"/>
        <v>08/29/2020 06:19:19.079</v>
      </c>
      <c r="C2534" t="str">
        <f t="shared" si="865"/>
        <v>FFDFD3C0</v>
      </c>
      <c r="D2534" t="s">
        <v>121</v>
      </c>
      <c r="E2534">
        <v>10</v>
      </c>
      <c r="F2534">
        <v>1010</v>
      </c>
      <c r="G2534" t="s">
        <v>114</v>
      </c>
      <c r="J2534" t="s">
        <v>123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888"/>
        <v>06:19:22.281</v>
      </c>
      <c r="T2534" t="str">
        <f t="shared" si="889"/>
        <v>06:19:21.781</v>
      </c>
      <c r="U2534" t="str">
        <f t="shared" si="866"/>
        <v>A7E2E0</v>
      </c>
      <c r="V2534">
        <v>0</v>
      </c>
      <c r="W2534">
        <v>0</v>
      </c>
      <c r="X2534">
        <v>1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0</v>
      </c>
      <c r="AI2534" t="s">
        <v>1369</v>
      </c>
      <c r="AJ2534">
        <v>38.912779999999998</v>
      </c>
      <c r="AK2534" t="s">
        <v>1370</v>
      </c>
      <c r="AL2534">
        <v>-87.611031999999994</v>
      </c>
      <c r="AM2534">
        <v>100</v>
      </c>
      <c r="AN2534">
        <v>2400</v>
      </c>
      <c r="AO2534" t="s">
        <v>118</v>
      </c>
      <c r="AP2534">
        <v>15</v>
      </c>
      <c r="AQ2534">
        <v>-146</v>
      </c>
      <c r="AR2534">
        <v>-256</v>
      </c>
      <c r="AZ2534">
        <v>4552</v>
      </c>
      <c r="BA2534">
        <v>1</v>
      </c>
      <c r="BB2534" t="str">
        <f t="shared" si="867"/>
        <v xml:space="preserve">N607SR  </v>
      </c>
      <c r="BC2534">
        <v>1</v>
      </c>
      <c r="BE2534">
        <v>0</v>
      </c>
      <c r="BF2534">
        <v>0</v>
      </c>
      <c r="BG2534">
        <v>0</v>
      </c>
      <c r="BH2534">
        <v>2225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 t="shared" si="890"/>
        <v>06:19:22.285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6</v>
      </c>
      <c r="CP2534" t="s">
        <v>119</v>
      </c>
      <c r="CQ2534">
        <v>465</v>
      </c>
      <c r="CR2534">
        <v>0</v>
      </c>
      <c r="CW2534">
        <v>4726526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si="887"/>
        <v>08/29/2020 06:19:19.079</v>
      </c>
      <c r="C2535" t="str">
        <f t="shared" si="865"/>
        <v>FFDFD3C0</v>
      </c>
      <c r="D2535" t="s">
        <v>121</v>
      </c>
      <c r="E2535">
        <v>13</v>
      </c>
      <c r="F2535">
        <v>1013</v>
      </c>
      <c r="G2535" t="s">
        <v>122</v>
      </c>
      <c r="J2535" t="s">
        <v>123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888"/>
        <v>06:19:22.281</v>
      </c>
      <c r="T2535" t="str">
        <f t="shared" si="889"/>
        <v>06:19:21.781</v>
      </c>
      <c r="U2535" t="str">
        <f t="shared" si="866"/>
        <v>A7E2E0</v>
      </c>
      <c r="V2535">
        <v>0</v>
      </c>
      <c r="W2535">
        <v>0</v>
      </c>
      <c r="X2535">
        <v>1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0</v>
      </c>
      <c r="AI2535" t="s">
        <v>1369</v>
      </c>
      <c r="AJ2535">
        <v>38.912779999999998</v>
      </c>
      <c r="AK2535" t="s">
        <v>1370</v>
      </c>
      <c r="AL2535">
        <v>-87.611031999999994</v>
      </c>
      <c r="AM2535">
        <v>100</v>
      </c>
      <c r="AN2535">
        <v>2400</v>
      </c>
      <c r="AO2535" t="s">
        <v>118</v>
      </c>
      <c r="AP2535">
        <v>15</v>
      </c>
      <c r="AQ2535">
        <v>-146</v>
      </c>
      <c r="AR2535">
        <v>-256</v>
      </c>
      <c r="AZ2535">
        <v>4552</v>
      </c>
      <c r="BA2535">
        <v>1</v>
      </c>
      <c r="BB2535" t="str">
        <f t="shared" si="867"/>
        <v xml:space="preserve">N607SR  </v>
      </c>
      <c r="BC2535">
        <v>1</v>
      </c>
      <c r="BE2535">
        <v>0</v>
      </c>
      <c r="BF2535">
        <v>0</v>
      </c>
      <c r="BG2535">
        <v>0</v>
      </c>
      <c r="BH2535">
        <v>2225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 t="shared" si="890"/>
        <v>06:19:22.285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6</v>
      </c>
      <c r="CP2535" t="s">
        <v>119</v>
      </c>
      <c r="CQ2535">
        <v>465</v>
      </c>
      <c r="CR2535">
        <v>0</v>
      </c>
      <c r="CW2535">
        <v>4726526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 t="shared" ref="A2536:A2541" si="891">"08/29/2020 06:19:20.101"</f>
        <v>08/29/2020 06:19:20.101</v>
      </c>
      <c r="C2536" t="str">
        <f t="shared" si="865"/>
        <v>FFDFD3C0</v>
      </c>
      <c r="D2536" t="s">
        <v>121</v>
      </c>
      <c r="E2536">
        <v>10</v>
      </c>
      <c r="F2536">
        <v>1010</v>
      </c>
      <c r="G2536" t="s">
        <v>114</v>
      </c>
      <c r="J2536" t="s">
        <v>123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ref="S2536:S2541" si="892">"06:19:23.328"</f>
        <v>06:19:23.328</v>
      </c>
      <c r="T2536" t="str">
        <f t="shared" ref="T2536:T2541" si="893">"06:19:22.928"</f>
        <v>06:19:22.928</v>
      </c>
      <c r="U2536" t="str">
        <f t="shared" si="866"/>
        <v>A7E2E0</v>
      </c>
      <c r="V2536">
        <v>0</v>
      </c>
      <c r="W2536">
        <v>0</v>
      </c>
      <c r="X2536">
        <v>1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0</v>
      </c>
      <c r="AI2536" t="s">
        <v>1371</v>
      </c>
      <c r="AJ2536">
        <v>38.912072000000002</v>
      </c>
      <c r="AK2536" t="s">
        <v>1372</v>
      </c>
      <c r="AL2536">
        <v>-87.610945999999998</v>
      </c>
      <c r="AM2536">
        <v>100</v>
      </c>
      <c r="AN2536">
        <v>2400</v>
      </c>
      <c r="AO2536" t="s">
        <v>118</v>
      </c>
      <c r="AP2536">
        <v>12</v>
      </c>
      <c r="AQ2536">
        <v>-146</v>
      </c>
      <c r="AR2536">
        <v>-192</v>
      </c>
      <c r="AZ2536">
        <v>4552</v>
      </c>
      <c r="BA2536">
        <v>1</v>
      </c>
      <c r="BB2536" t="str">
        <f t="shared" si="867"/>
        <v xml:space="preserve">N607SR  </v>
      </c>
      <c r="BC2536">
        <v>1</v>
      </c>
      <c r="BE2536">
        <v>0</v>
      </c>
      <c r="BF2536">
        <v>0</v>
      </c>
      <c r="BG2536">
        <v>0</v>
      </c>
      <c r="BH2536">
        <v>2225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 t="shared" ref="BW2536:BW2541" si="894">"06:19:23.330"</f>
        <v>06:19:23.330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6</v>
      </c>
      <c r="CP2536" t="s">
        <v>119</v>
      </c>
      <c r="CQ2536">
        <v>177</v>
      </c>
      <c r="CR2536">
        <v>2</v>
      </c>
      <c r="CW2536">
        <v>1674627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 t="shared" si="891"/>
        <v>08/29/2020 06:19:20.101</v>
      </c>
      <c r="C2537" t="str">
        <f t="shared" si="865"/>
        <v>FFDFD3C0</v>
      </c>
      <c r="D2537" t="s">
        <v>121</v>
      </c>
      <c r="E2537">
        <v>13</v>
      </c>
      <c r="F2537">
        <v>1013</v>
      </c>
      <c r="G2537" t="s">
        <v>122</v>
      </c>
      <c r="J2537" t="s">
        <v>123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892"/>
        <v>06:19:23.328</v>
      </c>
      <c r="T2537" t="str">
        <f t="shared" si="893"/>
        <v>06:19:22.928</v>
      </c>
      <c r="U2537" t="str">
        <f t="shared" si="866"/>
        <v>A7E2E0</v>
      </c>
      <c r="V2537">
        <v>0</v>
      </c>
      <c r="W2537">
        <v>0</v>
      </c>
      <c r="X2537">
        <v>1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0</v>
      </c>
      <c r="AI2537" t="s">
        <v>1371</v>
      </c>
      <c r="AJ2537">
        <v>38.912072000000002</v>
      </c>
      <c r="AK2537" t="s">
        <v>1372</v>
      </c>
      <c r="AL2537">
        <v>-87.610945999999998</v>
      </c>
      <c r="AM2537">
        <v>100</v>
      </c>
      <c r="AN2537">
        <v>2400</v>
      </c>
      <c r="AO2537" t="s">
        <v>118</v>
      </c>
      <c r="AP2537">
        <v>12</v>
      </c>
      <c r="AQ2537">
        <v>-146</v>
      </c>
      <c r="AR2537">
        <v>-192</v>
      </c>
      <c r="AZ2537">
        <v>4552</v>
      </c>
      <c r="BA2537">
        <v>1</v>
      </c>
      <c r="BB2537" t="str">
        <f t="shared" si="867"/>
        <v xml:space="preserve">N607SR  </v>
      </c>
      <c r="BC2537">
        <v>1</v>
      </c>
      <c r="BE2537">
        <v>0</v>
      </c>
      <c r="BF2537">
        <v>0</v>
      </c>
      <c r="BG2537">
        <v>0</v>
      </c>
      <c r="BH2537">
        <v>2225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 t="shared" si="894"/>
        <v>06:19:23.330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6</v>
      </c>
      <c r="CP2537" t="s">
        <v>119</v>
      </c>
      <c r="CQ2537">
        <v>177</v>
      </c>
      <c r="CR2537">
        <v>2</v>
      </c>
      <c r="CW2537">
        <v>1674627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 t="shared" si="891"/>
        <v>08/29/2020 06:19:20.101</v>
      </c>
      <c r="C2538" t="str">
        <f t="shared" si="865"/>
        <v>FFDFD3C0</v>
      </c>
      <c r="D2538" t="s">
        <v>939</v>
      </c>
      <c r="E2538">
        <v>10</v>
      </c>
      <c r="H2538">
        <v>79</v>
      </c>
      <c r="I2538" t="s">
        <v>940</v>
      </c>
      <c r="J2538" t="s">
        <v>130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892"/>
        <v>06:19:23.328</v>
      </c>
      <c r="T2538" t="str">
        <f t="shared" si="893"/>
        <v>06:19:22.928</v>
      </c>
      <c r="U2538" t="str">
        <f t="shared" si="866"/>
        <v>A7E2E0</v>
      </c>
      <c r="V2538">
        <v>0</v>
      </c>
      <c r="W2538">
        <v>0</v>
      </c>
      <c r="X2538">
        <v>1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0</v>
      </c>
      <c r="AI2538" t="s">
        <v>1371</v>
      </c>
      <c r="AJ2538">
        <v>38.912072000000002</v>
      </c>
      <c r="AK2538" t="s">
        <v>1372</v>
      </c>
      <c r="AL2538">
        <v>-87.610945999999998</v>
      </c>
      <c r="AM2538">
        <v>100</v>
      </c>
      <c r="AN2538">
        <v>2400</v>
      </c>
      <c r="AO2538" t="s">
        <v>118</v>
      </c>
      <c r="AP2538">
        <v>12</v>
      </c>
      <c r="AQ2538">
        <v>-146</v>
      </c>
      <c r="AR2538">
        <v>-192</v>
      </c>
      <c r="AZ2538">
        <v>4552</v>
      </c>
      <c r="BA2538">
        <v>1</v>
      </c>
      <c r="BB2538" t="str">
        <f t="shared" si="867"/>
        <v xml:space="preserve">N607SR  </v>
      </c>
      <c r="BC2538">
        <v>1</v>
      </c>
      <c r="BE2538">
        <v>0</v>
      </c>
      <c r="BF2538">
        <v>0</v>
      </c>
      <c r="BG2538">
        <v>0</v>
      </c>
      <c r="BH2538">
        <v>2225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 t="shared" si="894"/>
        <v>06:19:23.330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6</v>
      </c>
      <c r="CP2538" t="s">
        <v>119</v>
      </c>
      <c r="CQ2538">
        <v>465</v>
      </c>
      <c r="CR2538">
        <v>0</v>
      </c>
      <c r="CW2538">
        <v>4726557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 t="shared" si="891"/>
        <v>08/29/2020 06:19:20.101</v>
      </c>
      <c r="C2539" t="str">
        <f t="shared" si="865"/>
        <v>FFDFD3C0</v>
      </c>
      <c r="D2539" t="s">
        <v>121</v>
      </c>
      <c r="E2539">
        <v>11</v>
      </c>
      <c r="F2539">
        <v>1011</v>
      </c>
      <c r="G2539" t="s">
        <v>125</v>
      </c>
      <c r="J2539" t="s">
        <v>123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892"/>
        <v>06:19:23.328</v>
      </c>
      <c r="T2539" t="str">
        <f t="shared" si="893"/>
        <v>06:19:22.928</v>
      </c>
      <c r="U2539" t="str">
        <f t="shared" si="866"/>
        <v>A7E2E0</v>
      </c>
      <c r="V2539">
        <v>0</v>
      </c>
      <c r="W2539">
        <v>0</v>
      </c>
      <c r="X2539">
        <v>1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0</v>
      </c>
      <c r="AI2539" t="s">
        <v>1371</v>
      </c>
      <c r="AJ2539">
        <v>38.912072000000002</v>
      </c>
      <c r="AK2539" t="s">
        <v>1372</v>
      </c>
      <c r="AL2539">
        <v>-87.610945999999998</v>
      </c>
      <c r="AM2539">
        <v>100</v>
      </c>
      <c r="AN2539">
        <v>2400</v>
      </c>
      <c r="AO2539" t="s">
        <v>118</v>
      </c>
      <c r="AP2539">
        <v>12</v>
      </c>
      <c r="AQ2539">
        <v>-146</v>
      </c>
      <c r="AR2539">
        <v>-192</v>
      </c>
      <c r="AZ2539">
        <v>4552</v>
      </c>
      <c r="BA2539">
        <v>1</v>
      </c>
      <c r="BB2539" t="str">
        <f t="shared" si="867"/>
        <v xml:space="preserve">N607SR  </v>
      </c>
      <c r="BC2539">
        <v>1</v>
      </c>
      <c r="BE2539">
        <v>0</v>
      </c>
      <c r="BF2539">
        <v>0</v>
      </c>
      <c r="BG2539">
        <v>0</v>
      </c>
      <c r="BH2539">
        <v>2225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 t="shared" si="894"/>
        <v>06:19:23.330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6</v>
      </c>
      <c r="CP2539" t="s">
        <v>119</v>
      </c>
      <c r="CQ2539">
        <v>177</v>
      </c>
      <c r="CR2539">
        <v>2</v>
      </c>
      <c r="CW2539">
        <v>1674627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 t="shared" si="891"/>
        <v>08/29/2020 06:19:20.101</v>
      </c>
      <c r="C2540" t="str">
        <f t="shared" si="865"/>
        <v>FFDFD3C0</v>
      </c>
      <c r="D2540" t="s">
        <v>113</v>
      </c>
      <c r="E2540">
        <v>5</v>
      </c>
      <c r="H2540">
        <v>163</v>
      </c>
      <c r="I2540" t="s">
        <v>114</v>
      </c>
      <c r="J2540" t="s">
        <v>115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892"/>
        <v>06:19:23.328</v>
      </c>
      <c r="T2540" t="str">
        <f t="shared" si="893"/>
        <v>06:19:22.928</v>
      </c>
      <c r="U2540" t="str">
        <f t="shared" si="866"/>
        <v>A7E2E0</v>
      </c>
      <c r="V2540">
        <v>0</v>
      </c>
      <c r="W2540">
        <v>0</v>
      </c>
      <c r="X2540">
        <v>1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0</v>
      </c>
      <c r="AI2540" t="s">
        <v>1371</v>
      </c>
      <c r="AJ2540">
        <v>38.912072000000002</v>
      </c>
      <c r="AK2540" t="s">
        <v>1372</v>
      </c>
      <c r="AL2540">
        <v>-87.610945999999998</v>
      </c>
      <c r="AM2540">
        <v>100</v>
      </c>
      <c r="AN2540">
        <v>2400</v>
      </c>
      <c r="AO2540" t="s">
        <v>118</v>
      </c>
      <c r="AP2540">
        <v>12</v>
      </c>
      <c r="AQ2540">
        <v>-146</v>
      </c>
      <c r="AR2540">
        <v>-192</v>
      </c>
      <c r="AZ2540">
        <v>4552</v>
      </c>
      <c r="BA2540">
        <v>1</v>
      </c>
      <c r="BB2540" t="str">
        <f t="shared" si="867"/>
        <v xml:space="preserve">N607SR  </v>
      </c>
      <c r="BC2540">
        <v>1</v>
      </c>
      <c r="BE2540">
        <v>0</v>
      </c>
      <c r="BF2540">
        <v>0</v>
      </c>
      <c r="BG2540">
        <v>0</v>
      </c>
      <c r="BH2540">
        <v>2225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 t="shared" si="894"/>
        <v>06:19:23.330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6</v>
      </c>
      <c r="CP2540" t="s">
        <v>119</v>
      </c>
      <c r="CQ2540">
        <v>177</v>
      </c>
      <c r="CR2540">
        <v>2</v>
      </c>
      <c r="CW2540">
        <v>1674627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 t="shared" si="891"/>
        <v>08/29/2020 06:19:20.101</v>
      </c>
      <c r="C2541" t="str">
        <f t="shared" si="865"/>
        <v>FFDFD3C0</v>
      </c>
      <c r="D2541" t="s">
        <v>128</v>
      </c>
      <c r="E2541">
        <v>5</v>
      </c>
      <c r="H2541">
        <v>241</v>
      </c>
      <c r="I2541" t="s">
        <v>129</v>
      </c>
      <c r="J2541" t="s">
        <v>130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892"/>
        <v>06:19:23.328</v>
      </c>
      <c r="T2541" t="str">
        <f t="shared" si="893"/>
        <v>06:19:22.928</v>
      </c>
      <c r="U2541" t="str">
        <f t="shared" si="866"/>
        <v>A7E2E0</v>
      </c>
      <c r="V2541">
        <v>0</v>
      </c>
      <c r="W2541">
        <v>0</v>
      </c>
      <c r="X2541">
        <v>1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0</v>
      </c>
      <c r="AI2541" t="s">
        <v>1371</v>
      </c>
      <c r="AJ2541">
        <v>38.912072000000002</v>
      </c>
      <c r="AK2541" t="s">
        <v>1372</v>
      </c>
      <c r="AL2541">
        <v>-87.610945999999998</v>
      </c>
      <c r="AM2541">
        <v>100</v>
      </c>
      <c r="AN2541">
        <v>2400</v>
      </c>
      <c r="AO2541" t="s">
        <v>118</v>
      </c>
      <c r="AP2541">
        <v>12</v>
      </c>
      <c r="AQ2541">
        <v>-146</v>
      </c>
      <c r="AR2541">
        <v>-192</v>
      </c>
      <c r="AZ2541">
        <v>4552</v>
      </c>
      <c r="BA2541">
        <v>1</v>
      </c>
      <c r="BB2541" t="str">
        <f t="shared" si="867"/>
        <v xml:space="preserve">N607SR  </v>
      </c>
      <c r="BC2541">
        <v>1</v>
      </c>
      <c r="BE2541">
        <v>0</v>
      </c>
      <c r="BF2541">
        <v>0</v>
      </c>
      <c r="BG2541">
        <v>0</v>
      </c>
      <c r="BH2541">
        <v>2225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 t="shared" si="894"/>
        <v>06:19:23.330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6</v>
      </c>
      <c r="CP2541" t="s">
        <v>119</v>
      </c>
      <c r="CQ2541">
        <v>177</v>
      </c>
      <c r="CR2541">
        <v>2</v>
      </c>
      <c r="CW2541">
        <v>1674627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ref="A2542:A2547" si="895">"08/29/2020 06:19:21.085"</f>
        <v>08/29/2020 06:19:21.085</v>
      </c>
      <c r="C2542" t="str">
        <f t="shared" si="865"/>
        <v>FFDFD3C0</v>
      </c>
      <c r="D2542" t="s">
        <v>121</v>
      </c>
      <c r="E2542">
        <v>13</v>
      </c>
      <c r="F2542">
        <v>1013</v>
      </c>
      <c r="G2542" t="s">
        <v>122</v>
      </c>
      <c r="J2542" t="s">
        <v>123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ref="S2542:S2547" si="896">"06:19:24.305"</f>
        <v>06:19:24.305</v>
      </c>
      <c r="T2542" t="str">
        <f t="shared" ref="T2542:T2547" si="897">"06:19:23.805"</f>
        <v>06:19:23.805</v>
      </c>
      <c r="U2542" t="str">
        <f t="shared" si="866"/>
        <v>A7E2E0</v>
      </c>
      <c r="V2542">
        <v>0</v>
      </c>
      <c r="W2542">
        <v>0</v>
      </c>
      <c r="X2542">
        <v>1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0</v>
      </c>
      <c r="AI2542" t="s">
        <v>1373</v>
      </c>
      <c r="AJ2542">
        <v>38.911428000000001</v>
      </c>
      <c r="AK2542" t="s">
        <v>1374</v>
      </c>
      <c r="AL2542">
        <v>-87.610902999999993</v>
      </c>
      <c r="AM2542">
        <v>100</v>
      </c>
      <c r="AN2542">
        <v>2400</v>
      </c>
      <c r="AO2542" t="s">
        <v>118</v>
      </c>
      <c r="AP2542">
        <v>11</v>
      </c>
      <c r="AQ2542">
        <v>-146</v>
      </c>
      <c r="AR2542">
        <v>-192</v>
      </c>
      <c r="AZ2542">
        <v>4552</v>
      </c>
      <c r="BA2542">
        <v>1</v>
      </c>
      <c r="BB2542" t="str">
        <f t="shared" si="867"/>
        <v xml:space="preserve">N607SR  </v>
      </c>
      <c r="BC2542">
        <v>1</v>
      </c>
      <c r="BE2542">
        <v>0</v>
      </c>
      <c r="BF2542">
        <v>0</v>
      </c>
      <c r="BG2542">
        <v>0</v>
      </c>
      <c r="BH2542">
        <v>2225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 t="shared" ref="BW2542:BW2547" si="898">"06:19:24.307"</f>
        <v>06:19:24.307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6</v>
      </c>
      <c r="CP2542" t="s">
        <v>119</v>
      </c>
      <c r="CQ2542">
        <v>465</v>
      </c>
      <c r="CR2542">
        <v>0</v>
      </c>
      <c r="CW2542">
        <v>4726589</v>
      </c>
      <c r="CY2542">
        <v>1</v>
      </c>
      <c r="CZ2542">
        <v>0</v>
      </c>
      <c r="DA2542">
        <v>0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 t="shared" si="895"/>
        <v>08/29/2020 06:19:21.085</v>
      </c>
      <c r="C2543" t="str">
        <f t="shared" si="865"/>
        <v>FFDFD3C0</v>
      </c>
      <c r="D2543" t="s">
        <v>939</v>
      </c>
      <c r="E2543">
        <v>10</v>
      </c>
      <c r="H2543">
        <v>79</v>
      </c>
      <c r="I2543" t="s">
        <v>940</v>
      </c>
      <c r="J2543" t="s">
        <v>130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896"/>
        <v>06:19:24.305</v>
      </c>
      <c r="T2543" t="str">
        <f t="shared" si="897"/>
        <v>06:19:23.805</v>
      </c>
      <c r="U2543" t="str">
        <f t="shared" si="866"/>
        <v>A7E2E0</v>
      </c>
      <c r="V2543">
        <v>0</v>
      </c>
      <c r="W2543">
        <v>0</v>
      </c>
      <c r="X2543">
        <v>1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0</v>
      </c>
      <c r="AI2543" t="s">
        <v>1373</v>
      </c>
      <c r="AJ2543">
        <v>38.911428000000001</v>
      </c>
      <c r="AK2543" t="s">
        <v>1374</v>
      </c>
      <c r="AL2543">
        <v>-87.610902999999993</v>
      </c>
      <c r="AM2543">
        <v>100</v>
      </c>
      <c r="AN2543">
        <v>2400</v>
      </c>
      <c r="AO2543" t="s">
        <v>118</v>
      </c>
      <c r="AP2543">
        <v>11</v>
      </c>
      <c r="AQ2543">
        <v>-146</v>
      </c>
      <c r="AR2543">
        <v>-192</v>
      </c>
      <c r="AZ2543">
        <v>4552</v>
      </c>
      <c r="BA2543">
        <v>1</v>
      </c>
      <c r="BB2543" t="str">
        <f t="shared" si="867"/>
        <v xml:space="preserve">N607SR  </v>
      </c>
      <c r="BC2543">
        <v>1</v>
      </c>
      <c r="BE2543">
        <v>0</v>
      </c>
      <c r="BF2543">
        <v>0</v>
      </c>
      <c r="BG2543">
        <v>0</v>
      </c>
      <c r="BH2543">
        <v>2225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 t="shared" si="898"/>
        <v>06:19:24.307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6</v>
      </c>
      <c r="CP2543" t="s">
        <v>119</v>
      </c>
      <c r="CQ2543">
        <v>465</v>
      </c>
      <c r="CR2543">
        <v>0</v>
      </c>
      <c r="CW2543">
        <v>4726589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 t="shared" si="895"/>
        <v>08/29/2020 06:19:21.085</v>
      </c>
      <c r="C2544" t="str">
        <f t="shared" si="865"/>
        <v>FFDFD3C0</v>
      </c>
      <c r="D2544" t="s">
        <v>121</v>
      </c>
      <c r="E2544">
        <v>11</v>
      </c>
      <c r="F2544">
        <v>1011</v>
      </c>
      <c r="G2544" t="s">
        <v>125</v>
      </c>
      <c r="J2544" t="s">
        <v>123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896"/>
        <v>06:19:24.305</v>
      </c>
      <c r="T2544" t="str">
        <f t="shared" si="897"/>
        <v>06:19:23.805</v>
      </c>
      <c r="U2544" t="str">
        <f t="shared" si="866"/>
        <v>A7E2E0</v>
      </c>
      <c r="V2544">
        <v>0</v>
      </c>
      <c r="W2544">
        <v>0</v>
      </c>
      <c r="X2544">
        <v>1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0</v>
      </c>
      <c r="AI2544" t="s">
        <v>1373</v>
      </c>
      <c r="AJ2544">
        <v>38.911428000000001</v>
      </c>
      <c r="AK2544" t="s">
        <v>1374</v>
      </c>
      <c r="AL2544">
        <v>-87.610902999999993</v>
      </c>
      <c r="AM2544">
        <v>100</v>
      </c>
      <c r="AN2544">
        <v>2400</v>
      </c>
      <c r="AO2544" t="s">
        <v>118</v>
      </c>
      <c r="AP2544">
        <v>11</v>
      </c>
      <c r="AQ2544">
        <v>-146</v>
      </c>
      <c r="AR2544">
        <v>-192</v>
      </c>
      <c r="AZ2544">
        <v>4552</v>
      </c>
      <c r="BA2544">
        <v>1</v>
      </c>
      <c r="BB2544" t="str">
        <f t="shared" si="867"/>
        <v xml:space="preserve">N607SR  </v>
      </c>
      <c r="BC2544">
        <v>1</v>
      </c>
      <c r="BE2544">
        <v>0</v>
      </c>
      <c r="BF2544">
        <v>0</v>
      </c>
      <c r="BG2544">
        <v>0</v>
      </c>
      <c r="BH2544">
        <v>2225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 t="shared" si="898"/>
        <v>06:19:24.307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6</v>
      </c>
      <c r="CP2544" t="s">
        <v>119</v>
      </c>
      <c r="CQ2544">
        <v>177</v>
      </c>
      <c r="CR2544">
        <v>2</v>
      </c>
      <c r="CW2544">
        <v>1674790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 t="shared" si="895"/>
        <v>08/29/2020 06:19:21.085</v>
      </c>
      <c r="C2545" t="str">
        <f t="shared" si="865"/>
        <v>FFDFD3C0</v>
      </c>
      <c r="D2545" t="s">
        <v>128</v>
      </c>
      <c r="E2545">
        <v>5</v>
      </c>
      <c r="H2545">
        <v>241</v>
      </c>
      <c r="I2545" t="s">
        <v>129</v>
      </c>
      <c r="J2545" t="s">
        <v>130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896"/>
        <v>06:19:24.305</v>
      </c>
      <c r="T2545" t="str">
        <f t="shared" si="897"/>
        <v>06:19:23.805</v>
      </c>
      <c r="U2545" t="str">
        <f t="shared" si="866"/>
        <v>A7E2E0</v>
      </c>
      <c r="V2545">
        <v>0</v>
      </c>
      <c r="W2545">
        <v>0</v>
      </c>
      <c r="X2545">
        <v>1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0</v>
      </c>
      <c r="AI2545" t="s">
        <v>1373</v>
      </c>
      <c r="AJ2545">
        <v>38.911428000000001</v>
      </c>
      <c r="AK2545" t="s">
        <v>1374</v>
      </c>
      <c r="AL2545">
        <v>-87.610902999999993</v>
      </c>
      <c r="AM2545">
        <v>100</v>
      </c>
      <c r="AN2545">
        <v>2400</v>
      </c>
      <c r="AO2545" t="s">
        <v>118</v>
      </c>
      <c r="AP2545">
        <v>11</v>
      </c>
      <c r="AQ2545">
        <v>-146</v>
      </c>
      <c r="AR2545">
        <v>-192</v>
      </c>
      <c r="AZ2545">
        <v>4552</v>
      </c>
      <c r="BA2545">
        <v>1</v>
      </c>
      <c r="BB2545" t="str">
        <f t="shared" si="867"/>
        <v xml:space="preserve">N607SR  </v>
      </c>
      <c r="BC2545">
        <v>1</v>
      </c>
      <c r="BE2545">
        <v>0</v>
      </c>
      <c r="BF2545">
        <v>0</v>
      </c>
      <c r="BG2545">
        <v>0</v>
      </c>
      <c r="BH2545">
        <v>2225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 t="shared" si="898"/>
        <v>06:19:24.307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6</v>
      </c>
      <c r="CP2545" t="s">
        <v>119</v>
      </c>
      <c r="CQ2545">
        <v>465</v>
      </c>
      <c r="CR2545">
        <v>0</v>
      </c>
      <c r="CW2545">
        <v>4726589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 t="shared" si="895"/>
        <v>08/29/2020 06:19:21.085</v>
      </c>
      <c r="C2546" t="str">
        <f t="shared" si="865"/>
        <v>FFDFD3C0</v>
      </c>
      <c r="D2546" t="s">
        <v>121</v>
      </c>
      <c r="E2546">
        <v>10</v>
      </c>
      <c r="F2546">
        <v>1010</v>
      </c>
      <c r="G2546" t="s">
        <v>114</v>
      </c>
      <c r="J2546" t="s">
        <v>123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896"/>
        <v>06:19:24.305</v>
      </c>
      <c r="T2546" t="str">
        <f t="shared" si="897"/>
        <v>06:19:23.805</v>
      </c>
      <c r="U2546" t="str">
        <f t="shared" si="866"/>
        <v>A7E2E0</v>
      </c>
      <c r="V2546">
        <v>0</v>
      </c>
      <c r="W2546">
        <v>0</v>
      </c>
      <c r="X2546">
        <v>1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0</v>
      </c>
      <c r="AI2546" t="s">
        <v>1373</v>
      </c>
      <c r="AJ2546">
        <v>38.911428000000001</v>
      </c>
      <c r="AK2546" t="s">
        <v>1374</v>
      </c>
      <c r="AL2546">
        <v>-87.610902999999993</v>
      </c>
      <c r="AM2546">
        <v>100</v>
      </c>
      <c r="AN2546">
        <v>2400</v>
      </c>
      <c r="AO2546" t="s">
        <v>118</v>
      </c>
      <c r="AP2546">
        <v>11</v>
      </c>
      <c r="AQ2546">
        <v>-146</v>
      </c>
      <c r="AR2546">
        <v>-192</v>
      </c>
      <c r="AZ2546">
        <v>4552</v>
      </c>
      <c r="BA2546">
        <v>1</v>
      </c>
      <c r="BB2546" t="str">
        <f t="shared" si="867"/>
        <v xml:space="preserve">N607SR  </v>
      </c>
      <c r="BC2546">
        <v>1</v>
      </c>
      <c r="BE2546">
        <v>0</v>
      </c>
      <c r="BF2546">
        <v>0</v>
      </c>
      <c r="BG2546">
        <v>0</v>
      </c>
      <c r="BH2546">
        <v>2225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 t="shared" si="898"/>
        <v>06:19:24.307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6</v>
      </c>
      <c r="CP2546" t="s">
        <v>119</v>
      </c>
      <c r="CQ2546">
        <v>465</v>
      </c>
      <c r="CR2546">
        <v>0</v>
      </c>
      <c r="CW2546">
        <v>4726589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 t="shared" si="895"/>
        <v>08/29/2020 06:19:21.085</v>
      </c>
      <c r="C2547" t="str">
        <f t="shared" si="865"/>
        <v>FFDFD3C0</v>
      </c>
      <c r="D2547" t="s">
        <v>113</v>
      </c>
      <c r="E2547">
        <v>5</v>
      </c>
      <c r="H2547">
        <v>163</v>
      </c>
      <c r="I2547" t="s">
        <v>114</v>
      </c>
      <c r="J2547" t="s">
        <v>115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896"/>
        <v>06:19:24.305</v>
      </c>
      <c r="T2547" t="str">
        <f t="shared" si="897"/>
        <v>06:19:23.805</v>
      </c>
      <c r="U2547" t="str">
        <f t="shared" si="866"/>
        <v>A7E2E0</v>
      </c>
      <c r="V2547">
        <v>0</v>
      </c>
      <c r="W2547">
        <v>0</v>
      </c>
      <c r="X2547">
        <v>1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0</v>
      </c>
      <c r="AI2547" t="s">
        <v>1373</v>
      </c>
      <c r="AJ2547">
        <v>38.911428000000001</v>
      </c>
      <c r="AK2547" t="s">
        <v>1374</v>
      </c>
      <c r="AL2547">
        <v>-87.610902999999993</v>
      </c>
      <c r="AM2547">
        <v>100</v>
      </c>
      <c r="AN2547">
        <v>2400</v>
      </c>
      <c r="AO2547" t="s">
        <v>118</v>
      </c>
      <c r="AP2547">
        <v>11</v>
      </c>
      <c r="AQ2547">
        <v>-146</v>
      </c>
      <c r="AR2547">
        <v>-192</v>
      </c>
      <c r="AZ2547">
        <v>4552</v>
      </c>
      <c r="BA2547">
        <v>1</v>
      </c>
      <c r="BB2547" t="str">
        <f t="shared" si="867"/>
        <v xml:space="preserve">N607SR  </v>
      </c>
      <c r="BC2547">
        <v>1</v>
      </c>
      <c r="BE2547">
        <v>0</v>
      </c>
      <c r="BF2547">
        <v>0</v>
      </c>
      <c r="BG2547">
        <v>0</v>
      </c>
      <c r="BH2547">
        <v>2225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 t="shared" si="898"/>
        <v>06:19:24.307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6</v>
      </c>
      <c r="CP2547" t="s">
        <v>119</v>
      </c>
      <c r="CQ2547">
        <v>465</v>
      </c>
      <c r="CR2547">
        <v>0</v>
      </c>
      <c r="CW2547">
        <v>4726589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"08/29/2020 06:19:21.996"</f>
        <v>08/29/2020 06:19:21.996</v>
      </c>
      <c r="C2548" t="str">
        <f t="shared" si="865"/>
        <v>FFDFD3C0</v>
      </c>
      <c r="D2548" t="s">
        <v>121</v>
      </c>
      <c r="E2548">
        <v>13</v>
      </c>
      <c r="F2548">
        <v>1013</v>
      </c>
      <c r="G2548" t="s">
        <v>122</v>
      </c>
      <c r="J2548" t="s">
        <v>123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"06:19:25.195"</f>
        <v>06:19:25.195</v>
      </c>
      <c r="T2548" t="str">
        <f>"06:19:24.795"</f>
        <v>06:19:24.795</v>
      </c>
      <c r="U2548" t="str">
        <f t="shared" si="866"/>
        <v>A7E2E0</v>
      </c>
      <c r="V2548">
        <v>0</v>
      </c>
      <c r="W2548">
        <v>0</v>
      </c>
      <c r="X2548">
        <v>1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0</v>
      </c>
      <c r="AI2548" t="s">
        <v>1375</v>
      </c>
      <c r="AJ2548">
        <v>38.910828000000002</v>
      </c>
      <c r="AK2548" t="s">
        <v>1376</v>
      </c>
      <c r="AL2548">
        <v>-87.610838000000001</v>
      </c>
      <c r="AM2548">
        <v>100</v>
      </c>
      <c r="AN2548">
        <v>2400</v>
      </c>
      <c r="AO2548" t="s">
        <v>118</v>
      </c>
      <c r="AP2548">
        <v>9</v>
      </c>
      <c r="AQ2548">
        <v>-145</v>
      </c>
      <c r="AR2548">
        <v>-192</v>
      </c>
      <c r="AZ2548">
        <v>4552</v>
      </c>
      <c r="BA2548">
        <v>1</v>
      </c>
      <c r="BB2548" t="str">
        <f t="shared" si="867"/>
        <v xml:space="preserve">N607SR  </v>
      </c>
      <c r="BC2548">
        <v>1</v>
      </c>
      <c r="BE2548">
        <v>0</v>
      </c>
      <c r="BF2548">
        <v>0</v>
      </c>
      <c r="BG2548">
        <v>0</v>
      </c>
      <c r="BH2548">
        <v>2200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>"06:19:25.198"</f>
        <v>06:19:25.198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6</v>
      </c>
      <c r="CP2548" t="s">
        <v>119</v>
      </c>
      <c r="CQ2548">
        <v>177</v>
      </c>
      <c r="CR2548">
        <v>2</v>
      </c>
      <c r="CW2548">
        <v>1674957</v>
      </c>
      <c r="CY2548">
        <v>1</v>
      </c>
      <c r="CZ2548">
        <v>0</v>
      </c>
      <c r="DA2548">
        <v>0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"08/29/2020 06:19:21.996"</f>
        <v>08/29/2020 06:19:21.996</v>
      </c>
      <c r="C2549" t="str">
        <f t="shared" si="865"/>
        <v>FFDFD3C0</v>
      </c>
      <c r="D2549" t="s">
        <v>121</v>
      </c>
      <c r="E2549">
        <v>10</v>
      </c>
      <c r="F2549">
        <v>1010</v>
      </c>
      <c r="G2549" t="s">
        <v>114</v>
      </c>
      <c r="J2549" t="s">
        <v>123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"06:19:25.195"</f>
        <v>06:19:25.195</v>
      </c>
      <c r="T2549" t="str">
        <f>"06:19:24.795"</f>
        <v>06:19:24.795</v>
      </c>
      <c r="U2549" t="str">
        <f t="shared" si="866"/>
        <v>A7E2E0</v>
      </c>
      <c r="V2549">
        <v>0</v>
      </c>
      <c r="W2549">
        <v>0</v>
      </c>
      <c r="X2549">
        <v>1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0</v>
      </c>
      <c r="AI2549" t="s">
        <v>1375</v>
      </c>
      <c r="AJ2549">
        <v>38.910828000000002</v>
      </c>
      <c r="AK2549" t="s">
        <v>1376</v>
      </c>
      <c r="AL2549">
        <v>-87.610838000000001</v>
      </c>
      <c r="AM2549">
        <v>100</v>
      </c>
      <c r="AN2549">
        <v>2400</v>
      </c>
      <c r="AO2549" t="s">
        <v>118</v>
      </c>
      <c r="AP2549">
        <v>9</v>
      </c>
      <c r="AQ2549">
        <v>-145</v>
      </c>
      <c r="AR2549">
        <v>-192</v>
      </c>
      <c r="AZ2549">
        <v>4552</v>
      </c>
      <c r="BA2549">
        <v>1</v>
      </c>
      <c r="BB2549" t="str">
        <f t="shared" si="867"/>
        <v xml:space="preserve">N607SR  </v>
      </c>
      <c r="BC2549">
        <v>1</v>
      </c>
      <c r="BE2549">
        <v>0</v>
      </c>
      <c r="BF2549">
        <v>0</v>
      </c>
      <c r="BG2549">
        <v>0</v>
      </c>
      <c r="BH2549">
        <v>2200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>"06:19:25.198"</f>
        <v>06:19:25.198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6</v>
      </c>
      <c r="CP2549" t="s">
        <v>119</v>
      </c>
      <c r="CQ2549">
        <v>177</v>
      </c>
      <c r="CR2549">
        <v>2</v>
      </c>
      <c r="CW2549">
        <v>1674957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"08/29/2020 06:19:21.996"</f>
        <v>08/29/2020 06:19:21.996</v>
      </c>
      <c r="C2550" t="str">
        <f t="shared" si="865"/>
        <v>FFDFD3C0</v>
      </c>
      <c r="D2550" t="s">
        <v>128</v>
      </c>
      <c r="E2550">
        <v>5</v>
      </c>
      <c r="H2550">
        <v>241</v>
      </c>
      <c r="I2550" t="s">
        <v>129</v>
      </c>
      <c r="J2550" t="s">
        <v>130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"06:19:25.195"</f>
        <v>06:19:25.195</v>
      </c>
      <c r="T2550" t="str">
        <f>"06:19:24.795"</f>
        <v>06:19:24.795</v>
      </c>
      <c r="U2550" t="str">
        <f t="shared" si="866"/>
        <v>A7E2E0</v>
      </c>
      <c r="V2550">
        <v>0</v>
      </c>
      <c r="W2550">
        <v>0</v>
      </c>
      <c r="X2550">
        <v>1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0</v>
      </c>
      <c r="AI2550" t="s">
        <v>1375</v>
      </c>
      <c r="AJ2550">
        <v>38.910828000000002</v>
      </c>
      <c r="AK2550" t="s">
        <v>1376</v>
      </c>
      <c r="AL2550">
        <v>-87.610838000000001</v>
      </c>
      <c r="AM2550">
        <v>100</v>
      </c>
      <c r="AN2550">
        <v>2400</v>
      </c>
      <c r="AO2550" t="s">
        <v>118</v>
      </c>
      <c r="AP2550">
        <v>9</v>
      </c>
      <c r="AQ2550">
        <v>-145</v>
      </c>
      <c r="AR2550">
        <v>-192</v>
      </c>
      <c r="AZ2550">
        <v>4552</v>
      </c>
      <c r="BA2550">
        <v>1</v>
      </c>
      <c r="BB2550" t="str">
        <f t="shared" si="867"/>
        <v xml:space="preserve">N607SR  </v>
      </c>
      <c r="BC2550">
        <v>1</v>
      </c>
      <c r="BE2550">
        <v>0</v>
      </c>
      <c r="BF2550">
        <v>0</v>
      </c>
      <c r="BG2550">
        <v>0</v>
      </c>
      <c r="BH2550">
        <v>2200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>"06:19:25.198"</f>
        <v>06:19:25.198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6</v>
      </c>
      <c r="CP2550" t="s">
        <v>119</v>
      </c>
      <c r="CQ2550">
        <v>177</v>
      </c>
      <c r="CR2550">
        <v>2</v>
      </c>
      <c r="CW2550">
        <v>1674957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"08/29/2020 06:19:21.996"</f>
        <v>08/29/2020 06:19:21.996</v>
      </c>
      <c r="C2551" t="str">
        <f t="shared" si="865"/>
        <v>FFDFD3C0</v>
      </c>
      <c r="D2551" t="s">
        <v>121</v>
      </c>
      <c r="E2551">
        <v>11</v>
      </c>
      <c r="F2551">
        <v>1011</v>
      </c>
      <c r="G2551" t="s">
        <v>125</v>
      </c>
      <c r="J2551" t="s">
        <v>123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"06:19:25.195"</f>
        <v>06:19:25.195</v>
      </c>
      <c r="T2551" t="str">
        <f>"06:19:24.795"</f>
        <v>06:19:24.795</v>
      </c>
      <c r="U2551" t="str">
        <f t="shared" si="866"/>
        <v>A7E2E0</v>
      </c>
      <c r="V2551">
        <v>0</v>
      </c>
      <c r="W2551">
        <v>0</v>
      </c>
      <c r="X2551">
        <v>1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0</v>
      </c>
      <c r="AI2551" t="s">
        <v>1375</v>
      </c>
      <c r="AJ2551">
        <v>38.910828000000002</v>
      </c>
      <c r="AK2551" t="s">
        <v>1376</v>
      </c>
      <c r="AL2551">
        <v>-87.610838000000001</v>
      </c>
      <c r="AM2551">
        <v>100</v>
      </c>
      <c r="AN2551">
        <v>2400</v>
      </c>
      <c r="AO2551" t="s">
        <v>118</v>
      </c>
      <c r="AP2551">
        <v>9</v>
      </c>
      <c r="AQ2551">
        <v>-145</v>
      </c>
      <c r="AR2551">
        <v>-192</v>
      </c>
      <c r="AZ2551">
        <v>4552</v>
      </c>
      <c r="BA2551">
        <v>1</v>
      </c>
      <c r="BB2551" t="str">
        <f t="shared" si="867"/>
        <v xml:space="preserve">N607SR  </v>
      </c>
      <c r="BC2551">
        <v>1</v>
      </c>
      <c r="BE2551">
        <v>0</v>
      </c>
      <c r="BF2551">
        <v>0</v>
      </c>
      <c r="BG2551">
        <v>0</v>
      </c>
      <c r="BH2551">
        <v>2200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>"06:19:25.198"</f>
        <v>06:19:25.198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6</v>
      </c>
      <c r="CP2551" t="s">
        <v>119</v>
      </c>
      <c r="CQ2551">
        <v>177</v>
      </c>
      <c r="CR2551">
        <v>2</v>
      </c>
      <c r="CW2551">
        <v>1674957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"08/29/2020 06:19:21.996"</f>
        <v>08/29/2020 06:19:21.996</v>
      </c>
      <c r="C2552" t="str">
        <f t="shared" si="865"/>
        <v>FFDFD3C0</v>
      </c>
      <c r="D2552" t="s">
        <v>113</v>
      </c>
      <c r="E2552">
        <v>5</v>
      </c>
      <c r="H2552">
        <v>163</v>
      </c>
      <c r="I2552" t="s">
        <v>114</v>
      </c>
      <c r="J2552" t="s">
        <v>115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"06:19:25.195"</f>
        <v>06:19:25.195</v>
      </c>
      <c r="T2552" t="str">
        <f>"06:19:24.795"</f>
        <v>06:19:24.795</v>
      </c>
      <c r="U2552" t="str">
        <f t="shared" si="866"/>
        <v>A7E2E0</v>
      </c>
      <c r="V2552">
        <v>0</v>
      </c>
      <c r="W2552">
        <v>0</v>
      </c>
      <c r="X2552">
        <v>1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0</v>
      </c>
      <c r="AI2552" t="s">
        <v>1375</v>
      </c>
      <c r="AJ2552">
        <v>38.910828000000002</v>
      </c>
      <c r="AK2552" t="s">
        <v>1376</v>
      </c>
      <c r="AL2552">
        <v>-87.610838000000001</v>
      </c>
      <c r="AM2552">
        <v>100</v>
      </c>
      <c r="AN2552">
        <v>2400</v>
      </c>
      <c r="AO2552" t="s">
        <v>118</v>
      </c>
      <c r="AP2552">
        <v>9</v>
      </c>
      <c r="AQ2552">
        <v>-145</v>
      </c>
      <c r="AR2552">
        <v>-192</v>
      </c>
      <c r="AZ2552">
        <v>4552</v>
      </c>
      <c r="BA2552">
        <v>1</v>
      </c>
      <c r="BB2552" t="str">
        <f t="shared" si="867"/>
        <v xml:space="preserve">N607SR  </v>
      </c>
      <c r="BC2552">
        <v>1</v>
      </c>
      <c r="BE2552">
        <v>0</v>
      </c>
      <c r="BF2552">
        <v>0</v>
      </c>
      <c r="BG2552">
        <v>0</v>
      </c>
      <c r="BH2552">
        <v>2200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>"06:19:25.198"</f>
        <v>06:19:25.198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6</v>
      </c>
      <c r="CP2552" t="s">
        <v>119</v>
      </c>
      <c r="CQ2552">
        <v>177</v>
      </c>
      <c r="CR2552">
        <v>2</v>
      </c>
      <c r="CW2552">
        <v>1674957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 t="shared" ref="A2553:A2558" si="899">"08/29/2020 06:19:23.139"</f>
        <v>08/29/2020 06:19:23.139</v>
      </c>
      <c r="C2553" t="str">
        <f t="shared" si="865"/>
        <v>FFDFD3C0</v>
      </c>
      <c r="D2553" t="s">
        <v>113</v>
      </c>
      <c r="E2553">
        <v>5</v>
      </c>
      <c r="H2553">
        <v>163</v>
      </c>
      <c r="I2553" t="s">
        <v>114</v>
      </c>
      <c r="J2553" t="s">
        <v>115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ref="S2553:S2558" si="900">"06:19:26.367"</f>
        <v>06:19:26.367</v>
      </c>
      <c r="T2553" t="str">
        <f t="shared" ref="T2553:T2558" si="901">"06:19:25.867"</f>
        <v>06:19:25.867</v>
      </c>
      <c r="U2553" t="str">
        <f t="shared" si="866"/>
        <v>A7E2E0</v>
      </c>
      <c r="V2553">
        <v>0</v>
      </c>
      <c r="W2553">
        <v>0</v>
      </c>
      <c r="X2553">
        <v>1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0</v>
      </c>
      <c r="AI2553" t="s">
        <v>1377</v>
      </c>
      <c r="AJ2553">
        <v>38.910012000000002</v>
      </c>
      <c r="AK2553" t="s">
        <v>1376</v>
      </c>
      <c r="AL2553">
        <v>-87.610838000000001</v>
      </c>
      <c r="AM2553">
        <v>100</v>
      </c>
      <c r="AN2553">
        <v>2400</v>
      </c>
      <c r="AO2553" t="s">
        <v>118</v>
      </c>
      <c r="AP2553">
        <v>6</v>
      </c>
      <c r="AQ2553">
        <v>-145</v>
      </c>
      <c r="AR2553">
        <v>-192</v>
      </c>
      <c r="AZ2553">
        <v>4552</v>
      </c>
      <c r="BA2553">
        <v>1</v>
      </c>
      <c r="BB2553" t="str">
        <f t="shared" si="867"/>
        <v xml:space="preserve">N607SR  </v>
      </c>
      <c r="BC2553">
        <v>1</v>
      </c>
      <c r="BE2553">
        <v>0</v>
      </c>
      <c r="BF2553">
        <v>0</v>
      </c>
      <c r="BG2553">
        <v>0</v>
      </c>
      <c r="BH2553">
        <v>2200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 t="shared" ref="BW2553:BW2558" si="902">"06:19:26.370"</f>
        <v>06:19:26.370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6</v>
      </c>
      <c r="CP2553" t="s">
        <v>119</v>
      </c>
      <c r="CQ2553">
        <v>465</v>
      </c>
      <c r="CR2553">
        <v>0</v>
      </c>
      <c r="CW2553">
        <v>4726644</v>
      </c>
      <c r="CY2553">
        <v>1</v>
      </c>
      <c r="CZ2553">
        <v>0</v>
      </c>
      <c r="DA2553">
        <v>0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 t="shared" si="899"/>
        <v>08/29/2020 06:19:23.139</v>
      </c>
      <c r="C2554" t="str">
        <f t="shared" si="865"/>
        <v>FFDFD3C0</v>
      </c>
      <c r="D2554" t="s">
        <v>128</v>
      </c>
      <c r="E2554">
        <v>5</v>
      </c>
      <c r="H2554">
        <v>241</v>
      </c>
      <c r="I2554" t="s">
        <v>129</v>
      </c>
      <c r="J2554" t="s">
        <v>130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900"/>
        <v>06:19:26.367</v>
      </c>
      <c r="T2554" t="str">
        <f t="shared" si="901"/>
        <v>06:19:25.867</v>
      </c>
      <c r="U2554" t="str">
        <f t="shared" si="866"/>
        <v>A7E2E0</v>
      </c>
      <c r="V2554">
        <v>0</v>
      </c>
      <c r="W2554">
        <v>0</v>
      </c>
      <c r="X2554">
        <v>1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0</v>
      </c>
      <c r="AI2554" t="s">
        <v>1377</v>
      </c>
      <c r="AJ2554">
        <v>38.910012000000002</v>
      </c>
      <c r="AK2554" t="s">
        <v>1376</v>
      </c>
      <c r="AL2554">
        <v>-87.610838000000001</v>
      </c>
      <c r="AM2554">
        <v>100</v>
      </c>
      <c r="AN2554">
        <v>2400</v>
      </c>
      <c r="AO2554" t="s">
        <v>118</v>
      </c>
      <c r="AP2554">
        <v>6</v>
      </c>
      <c r="AQ2554">
        <v>-145</v>
      </c>
      <c r="AR2554">
        <v>-192</v>
      </c>
      <c r="AZ2554">
        <v>4552</v>
      </c>
      <c r="BA2554">
        <v>1</v>
      </c>
      <c r="BB2554" t="str">
        <f t="shared" si="867"/>
        <v xml:space="preserve">N607SR  </v>
      </c>
      <c r="BC2554">
        <v>1</v>
      </c>
      <c r="BE2554">
        <v>0</v>
      </c>
      <c r="BF2554">
        <v>0</v>
      </c>
      <c r="BG2554">
        <v>0</v>
      </c>
      <c r="BH2554">
        <v>2200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 t="shared" si="902"/>
        <v>06:19:26.370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6</v>
      </c>
      <c r="CP2554" t="s">
        <v>119</v>
      </c>
      <c r="CQ2554">
        <v>465</v>
      </c>
      <c r="CR2554">
        <v>0</v>
      </c>
      <c r="CW2554">
        <v>4726644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 t="shared" si="899"/>
        <v>08/29/2020 06:19:23.139</v>
      </c>
      <c r="C2555" t="str">
        <f t="shared" si="865"/>
        <v>FFDFD3C0</v>
      </c>
      <c r="D2555" t="s">
        <v>121</v>
      </c>
      <c r="E2555">
        <v>11</v>
      </c>
      <c r="F2555">
        <v>1011</v>
      </c>
      <c r="G2555" t="s">
        <v>125</v>
      </c>
      <c r="J2555" t="s">
        <v>123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900"/>
        <v>06:19:26.367</v>
      </c>
      <c r="T2555" t="str">
        <f t="shared" si="901"/>
        <v>06:19:25.867</v>
      </c>
      <c r="U2555" t="str">
        <f t="shared" si="866"/>
        <v>A7E2E0</v>
      </c>
      <c r="V2555">
        <v>0</v>
      </c>
      <c r="W2555">
        <v>0</v>
      </c>
      <c r="X2555">
        <v>1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0</v>
      </c>
      <c r="AI2555" t="s">
        <v>1377</v>
      </c>
      <c r="AJ2555">
        <v>38.910012000000002</v>
      </c>
      <c r="AK2555" t="s">
        <v>1376</v>
      </c>
      <c r="AL2555">
        <v>-87.610838000000001</v>
      </c>
      <c r="AM2555">
        <v>100</v>
      </c>
      <c r="AN2555">
        <v>2400</v>
      </c>
      <c r="AO2555" t="s">
        <v>118</v>
      </c>
      <c r="AP2555">
        <v>6</v>
      </c>
      <c r="AQ2555">
        <v>-145</v>
      </c>
      <c r="AR2555">
        <v>-192</v>
      </c>
      <c r="AZ2555">
        <v>4552</v>
      </c>
      <c r="BA2555">
        <v>1</v>
      </c>
      <c r="BB2555" t="str">
        <f t="shared" si="867"/>
        <v xml:space="preserve">N607SR  </v>
      </c>
      <c r="BC2555">
        <v>1</v>
      </c>
      <c r="BE2555">
        <v>0</v>
      </c>
      <c r="BF2555">
        <v>0</v>
      </c>
      <c r="BG2555">
        <v>0</v>
      </c>
      <c r="BH2555">
        <v>2200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 t="shared" si="902"/>
        <v>06:19:26.370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6</v>
      </c>
      <c r="CP2555" t="s">
        <v>119</v>
      </c>
      <c r="CQ2555">
        <v>177</v>
      </c>
      <c r="CR2555">
        <v>2</v>
      </c>
      <c r="CW2555">
        <v>1675167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 t="shared" si="899"/>
        <v>08/29/2020 06:19:23.139</v>
      </c>
      <c r="C2556" t="str">
        <f t="shared" si="865"/>
        <v>FFDFD3C0</v>
      </c>
      <c r="D2556" t="s">
        <v>939</v>
      </c>
      <c r="E2556">
        <v>10</v>
      </c>
      <c r="H2556">
        <v>79</v>
      </c>
      <c r="I2556" t="s">
        <v>940</v>
      </c>
      <c r="J2556" t="s">
        <v>130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900"/>
        <v>06:19:26.367</v>
      </c>
      <c r="T2556" t="str">
        <f t="shared" si="901"/>
        <v>06:19:25.867</v>
      </c>
      <c r="U2556" t="str">
        <f t="shared" si="866"/>
        <v>A7E2E0</v>
      </c>
      <c r="V2556">
        <v>0</v>
      </c>
      <c r="W2556">
        <v>0</v>
      </c>
      <c r="X2556">
        <v>1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0</v>
      </c>
      <c r="AI2556" t="s">
        <v>1377</v>
      </c>
      <c r="AJ2556">
        <v>38.910012000000002</v>
      </c>
      <c r="AK2556" t="s">
        <v>1376</v>
      </c>
      <c r="AL2556">
        <v>-87.610838000000001</v>
      </c>
      <c r="AM2556">
        <v>100</v>
      </c>
      <c r="AN2556">
        <v>2400</v>
      </c>
      <c r="AO2556" t="s">
        <v>118</v>
      </c>
      <c r="AP2556">
        <v>6</v>
      </c>
      <c r="AQ2556">
        <v>-145</v>
      </c>
      <c r="AR2556">
        <v>-192</v>
      </c>
      <c r="AZ2556">
        <v>4552</v>
      </c>
      <c r="BA2556">
        <v>1</v>
      </c>
      <c r="BB2556" t="str">
        <f t="shared" si="867"/>
        <v xml:space="preserve">N607SR  </v>
      </c>
      <c r="BC2556">
        <v>1</v>
      </c>
      <c r="BE2556">
        <v>0</v>
      </c>
      <c r="BF2556">
        <v>0</v>
      </c>
      <c r="BG2556">
        <v>0</v>
      </c>
      <c r="BH2556">
        <v>2200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 t="shared" si="902"/>
        <v>06:19:26.370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6</v>
      </c>
      <c r="CP2556" t="s">
        <v>119</v>
      </c>
      <c r="CQ2556">
        <v>465</v>
      </c>
      <c r="CR2556">
        <v>0</v>
      </c>
      <c r="CW2556">
        <v>4726644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 t="shared" si="899"/>
        <v>08/29/2020 06:19:23.139</v>
      </c>
      <c r="C2557" t="str">
        <f t="shared" si="865"/>
        <v>FFDFD3C0</v>
      </c>
      <c r="D2557" t="s">
        <v>121</v>
      </c>
      <c r="E2557">
        <v>13</v>
      </c>
      <c r="F2557">
        <v>1013</v>
      </c>
      <c r="G2557" t="s">
        <v>122</v>
      </c>
      <c r="J2557" t="s">
        <v>123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900"/>
        <v>06:19:26.367</v>
      </c>
      <c r="T2557" t="str">
        <f t="shared" si="901"/>
        <v>06:19:25.867</v>
      </c>
      <c r="U2557" t="str">
        <f t="shared" si="866"/>
        <v>A7E2E0</v>
      </c>
      <c r="V2557">
        <v>0</v>
      </c>
      <c r="W2557">
        <v>0</v>
      </c>
      <c r="X2557">
        <v>1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0</v>
      </c>
      <c r="AI2557" t="s">
        <v>1377</v>
      </c>
      <c r="AJ2557">
        <v>38.910012000000002</v>
      </c>
      <c r="AK2557" t="s">
        <v>1376</v>
      </c>
      <c r="AL2557">
        <v>-87.610838000000001</v>
      </c>
      <c r="AM2557">
        <v>100</v>
      </c>
      <c r="AN2557">
        <v>2400</v>
      </c>
      <c r="AO2557" t="s">
        <v>118</v>
      </c>
      <c r="AP2557">
        <v>6</v>
      </c>
      <c r="AQ2557">
        <v>-145</v>
      </c>
      <c r="AR2557">
        <v>-192</v>
      </c>
      <c r="AZ2557">
        <v>4552</v>
      </c>
      <c r="BA2557">
        <v>1</v>
      </c>
      <c r="BB2557" t="str">
        <f t="shared" si="867"/>
        <v xml:space="preserve">N607SR  </v>
      </c>
      <c r="BC2557">
        <v>1</v>
      </c>
      <c r="BE2557">
        <v>0</v>
      </c>
      <c r="BF2557">
        <v>0</v>
      </c>
      <c r="BG2557">
        <v>0</v>
      </c>
      <c r="BH2557">
        <v>2200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 t="shared" si="902"/>
        <v>06:19:26.370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6</v>
      </c>
      <c r="CP2557" t="s">
        <v>119</v>
      </c>
      <c r="CQ2557">
        <v>465</v>
      </c>
      <c r="CR2557">
        <v>0</v>
      </c>
      <c r="CW2557">
        <v>4726644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 t="shared" si="899"/>
        <v>08/29/2020 06:19:23.139</v>
      </c>
      <c r="C2558" t="str">
        <f t="shared" si="865"/>
        <v>FFDFD3C0</v>
      </c>
      <c r="D2558" t="s">
        <v>121</v>
      </c>
      <c r="E2558">
        <v>10</v>
      </c>
      <c r="F2558">
        <v>1010</v>
      </c>
      <c r="G2558" t="s">
        <v>114</v>
      </c>
      <c r="J2558" t="s">
        <v>123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900"/>
        <v>06:19:26.367</v>
      </c>
      <c r="T2558" t="str">
        <f t="shared" si="901"/>
        <v>06:19:25.867</v>
      </c>
      <c r="U2558" t="str">
        <f t="shared" si="866"/>
        <v>A7E2E0</v>
      </c>
      <c r="V2558">
        <v>0</v>
      </c>
      <c r="W2558">
        <v>0</v>
      </c>
      <c r="X2558">
        <v>1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0</v>
      </c>
      <c r="AI2558" t="s">
        <v>1377</v>
      </c>
      <c r="AJ2558">
        <v>38.910012000000002</v>
      </c>
      <c r="AK2558" t="s">
        <v>1376</v>
      </c>
      <c r="AL2558">
        <v>-87.610838000000001</v>
      </c>
      <c r="AM2558">
        <v>100</v>
      </c>
      <c r="AN2558">
        <v>2400</v>
      </c>
      <c r="AO2558" t="s">
        <v>118</v>
      </c>
      <c r="AP2558">
        <v>6</v>
      </c>
      <c r="AQ2558">
        <v>-145</v>
      </c>
      <c r="AR2558">
        <v>-192</v>
      </c>
      <c r="AZ2558">
        <v>4552</v>
      </c>
      <c r="BA2558">
        <v>1</v>
      </c>
      <c r="BB2558" t="str">
        <f t="shared" si="867"/>
        <v xml:space="preserve">N607SR  </v>
      </c>
      <c r="BC2558">
        <v>1</v>
      </c>
      <c r="BE2558">
        <v>0</v>
      </c>
      <c r="BF2558">
        <v>0</v>
      </c>
      <c r="BG2558">
        <v>0</v>
      </c>
      <c r="BH2558">
        <v>2200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 t="shared" si="902"/>
        <v>06:19:26.370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6</v>
      </c>
      <c r="CP2558" t="s">
        <v>119</v>
      </c>
      <c r="CQ2558">
        <v>465</v>
      </c>
      <c r="CR2558">
        <v>0</v>
      </c>
      <c r="CW2558">
        <v>4726644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 t="shared" ref="A2559:A2564" si="903">"08/29/2020 06:19:24.071"</f>
        <v>08/29/2020 06:19:24.071</v>
      </c>
      <c r="C2559" t="str">
        <f t="shared" si="865"/>
        <v>FFDFD3C0</v>
      </c>
      <c r="D2559" t="s">
        <v>121</v>
      </c>
      <c r="E2559">
        <v>13</v>
      </c>
      <c r="F2559">
        <v>1013</v>
      </c>
      <c r="G2559" t="s">
        <v>122</v>
      </c>
      <c r="J2559" t="s">
        <v>123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ref="S2559:S2564" si="904">"06:19:27.289"</f>
        <v>06:19:27.289</v>
      </c>
      <c r="T2559" t="str">
        <f t="shared" ref="T2559:T2564" si="905">"06:19:26.889"</f>
        <v>06:19:26.889</v>
      </c>
      <c r="U2559" t="str">
        <f t="shared" si="866"/>
        <v>A7E2E0</v>
      </c>
      <c r="V2559">
        <v>0</v>
      </c>
      <c r="W2559">
        <v>0</v>
      </c>
      <c r="X2559">
        <v>1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0</v>
      </c>
      <c r="AI2559" t="s">
        <v>1378</v>
      </c>
      <c r="AJ2559">
        <v>38.909433</v>
      </c>
      <c r="AK2559" t="s">
        <v>1379</v>
      </c>
      <c r="AL2559">
        <v>-87.610774000000006</v>
      </c>
      <c r="AM2559">
        <v>100</v>
      </c>
      <c r="AN2559">
        <v>2400</v>
      </c>
      <c r="AO2559" t="s">
        <v>118</v>
      </c>
      <c r="AP2559">
        <v>4</v>
      </c>
      <c r="AQ2559">
        <v>-145</v>
      </c>
      <c r="AR2559">
        <v>-192</v>
      </c>
      <c r="AZ2559">
        <v>4552</v>
      </c>
      <c r="BA2559">
        <v>1</v>
      </c>
      <c r="BB2559" t="str">
        <f t="shared" si="867"/>
        <v xml:space="preserve">N607SR  </v>
      </c>
      <c r="BC2559">
        <v>1</v>
      </c>
      <c r="BE2559">
        <v>0</v>
      </c>
      <c r="BF2559">
        <v>0</v>
      </c>
      <c r="BG2559">
        <v>0</v>
      </c>
      <c r="BH2559">
        <v>2200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 t="shared" ref="BW2559:BW2564" si="906">"06:19:27.295"</f>
        <v>06:19:27.295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6</v>
      </c>
      <c r="CP2559" t="s">
        <v>119</v>
      </c>
      <c r="CQ2559">
        <v>465</v>
      </c>
      <c r="CR2559">
        <v>0</v>
      </c>
      <c r="CW2559">
        <v>4726674</v>
      </c>
      <c r="CY2559">
        <v>1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 t="shared" si="903"/>
        <v>08/29/2020 06:19:24.071</v>
      </c>
      <c r="C2560" t="str">
        <f t="shared" si="865"/>
        <v>FFDFD3C0</v>
      </c>
      <c r="D2560" t="s">
        <v>121</v>
      </c>
      <c r="E2560">
        <v>10</v>
      </c>
      <c r="F2560">
        <v>1010</v>
      </c>
      <c r="G2560" t="s">
        <v>114</v>
      </c>
      <c r="J2560" t="s">
        <v>123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904"/>
        <v>06:19:27.289</v>
      </c>
      <c r="T2560" t="str">
        <f t="shared" si="905"/>
        <v>06:19:26.889</v>
      </c>
      <c r="U2560" t="str">
        <f t="shared" si="866"/>
        <v>A7E2E0</v>
      </c>
      <c r="V2560">
        <v>0</v>
      </c>
      <c r="W2560">
        <v>0</v>
      </c>
      <c r="X2560">
        <v>1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0</v>
      </c>
      <c r="AI2560" t="s">
        <v>1378</v>
      </c>
      <c r="AJ2560">
        <v>38.909433</v>
      </c>
      <c r="AK2560" t="s">
        <v>1379</v>
      </c>
      <c r="AL2560">
        <v>-87.610774000000006</v>
      </c>
      <c r="AM2560">
        <v>100</v>
      </c>
      <c r="AN2560">
        <v>2400</v>
      </c>
      <c r="AO2560" t="s">
        <v>118</v>
      </c>
      <c r="AP2560">
        <v>4</v>
      </c>
      <c r="AQ2560">
        <v>-145</v>
      </c>
      <c r="AR2560">
        <v>-192</v>
      </c>
      <c r="AZ2560">
        <v>4552</v>
      </c>
      <c r="BA2560">
        <v>1</v>
      </c>
      <c r="BB2560" t="str">
        <f t="shared" si="867"/>
        <v xml:space="preserve">N607SR  </v>
      </c>
      <c r="BC2560">
        <v>1</v>
      </c>
      <c r="BE2560">
        <v>0</v>
      </c>
      <c r="BF2560">
        <v>0</v>
      </c>
      <c r="BG2560">
        <v>0</v>
      </c>
      <c r="BH2560">
        <v>2200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 t="shared" si="906"/>
        <v>06:19:27.295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6</v>
      </c>
      <c r="CP2560" t="s">
        <v>119</v>
      </c>
      <c r="CQ2560">
        <v>465</v>
      </c>
      <c r="CR2560">
        <v>0</v>
      </c>
      <c r="CW2560">
        <v>4726674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 t="shared" si="903"/>
        <v>08/29/2020 06:19:24.071</v>
      </c>
      <c r="C2561" t="str">
        <f t="shared" si="865"/>
        <v>FFDFD3C0</v>
      </c>
      <c r="D2561" t="s">
        <v>113</v>
      </c>
      <c r="E2561">
        <v>5</v>
      </c>
      <c r="H2561">
        <v>163</v>
      </c>
      <c r="I2561" t="s">
        <v>114</v>
      </c>
      <c r="J2561" t="s">
        <v>115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904"/>
        <v>06:19:27.289</v>
      </c>
      <c r="T2561" t="str">
        <f t="shared" si="905"/>
        <v>06:19:26.889</v>
      </c>
      <c r="U2561" t="str">
        <f t="shared" si="866"/>
        <v>A7E2E0</v>
      </c>
      <c r="V2561">
        <v>0</v>
      </c>
      <c r="W2561">
        <v>0</v>
      </c>
      <c r="X2561">
        <v>1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0</v>
      </c>
      <c r="AI2561" t="s">
        <v>1378</v>
      </c>
      <c r="AJ2561">
        <v>38.909433</v>
      </c>
      <c r="AK2561" t="s">
        <v>1379</v>
      </c>
      <c r="AL2561">
        <v>-87.610774000000006</v>
      </c>
      <c r="AM2561">
        <v>100</v>
      </c>
      <c r="AN2561">
        <v>2400</v>
      </c>
      <c r="AO2561" t="s">
        <v>118</v>
      </c>
      <c r="AP2561">
        <v>4</v>
      </c>
      <c r="AQ2561">
        <v>-145</v>
      </c>
      <c r="AR2561">
        <v>-192</v>
      </c>
      <c r="AZ2561">
        <v>4552</v>
      </c>
      <c r="BA2561">
        <v>1</v>
      </c>
      <c r="BB2561" t="str">
        <f t="shared" si="867"/>
        <v xml:space="preserve">N607SR  </v>
      </c>
      <c r="BC2561">
        <v>1</v>
      </c>
      <c r="BE2561">
        <v>0</v>
      </c>
      <c r="BF2561">
        <v>0</v>
      </c>
      <c r="BG2561">
        <v>0</v>
      </c>
      <c r="BH2561">
        <v>2200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 t="shared" si="906"/>
        <v>06:19:27.295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6</v>
      </c>
      <c r="CP2561" t="s">
        <v>119</v>
      </c>
      <c r="CQ2561">
        <v>465</v>
      </c>
      <c r="CR2561">
        <v>0</v>
      </c>
      <c r="CW2561">
        <v>4726674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 t="shared" si="903"/>
        <v>08/29/2020 06:19:24.071</v>
      </c>
      <c r="C2562" t="str">
        <f t="shared" ref="C2562:C2625" si="907">"FFDFD3C0"</f>
        <v>FFDFD3C0</v>
      </c>
      <c r="D2562" t="s">
        <v>128</v>
      </c>
      <c r="E2562">
        <v>5</v>
      </c>
      <c r="H2562">
        <v>241</v>
      </c>
      <c r="I2562" t="s">
        <v>129</v>
      </c>
      <c r="J2562" t="s">
        <v>130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904"/>
        <v>06:19:27.289</v>
      </c>
      <c r="T2562" t="str">
        <f t="shared" si="905"/>
        <v>06:19:26.889</v>
      </c>
      <c r="U2562" t="str">
        <f t="shared" ref="U2562:U2625" si="908">"A7E2E0"</f>
        <v>A7E2E0</v>
      </c>
      <c r="V2562">
        <v>0</v>
      </c>
      <c r="W2562">
        <v>0</v>
      </c>
      <c r="X2562">
        <v>1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0</v>
      </c>
      <c r="AI2562" t="s">
        <v>1378</v>
      </c>
      <c r="AJ2562">
        <v>38.909433</v>
      </c>
      <c r="AK2562" t="s">
        <v>1379</v>
      </c>
      <c r="AL2562">
        <v>-87.610774000000006</v>
      </c>
      <c r="AM2562">
        <v>100</v>
      </c>
      <c r="AN2562">
        <v>2400</v>
      </c>
      <c r="AO2562" t="s">
        <v>118</v>
      </c>
      <c r="AP2562">
        <v>4</v>
      </c>
      <c r="AQ2562">
        <v>-145</v>
      </c>
      <c r="AR2562">
        <v>-192</v>
      </c>
      <c r="AZ2562">
        <v>4552</v>
      </c>
      <c r="BA2562">
        <v>1</v>
      </c>
      <c r="BB2562" t="str">
        <f t="shared" ref="BB2562:BB2625" si="909">"N607SR  "</f>
        <v xml:space="preserve">N607SR  </v>
      </c>
      <c r="BC2562">
        <v>1</v>
      </c>
      <c r="BE2562">
        <v>0</v>
      </c>
      <c r="BF2562">
        <v>0</v>
      </c>
      <c r="BG2562">
        <v>0</v>
      </c>
      <c r="BH2562">
        <v>2200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 t="shared" si="906"/>
        <v>06:19:27.295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6</v>
      </c>
      <c r="CP2562" t="s">
        <v>119</v>
      </c>
      <c r="CQ2562">
        <v>465</v>
      </c>
      <c r="CR2562">
        <v>0</v>
      </c>
      <c r="CW2562">
        <v>4726674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 t="shared" si="903"/>
        <v>08/29/2020 06:19:24.071</v>
      </c>
      <c r="C2563" t="str">
        <f t="shared" si="907"/>
        <v>FFDFD3C0</v>
      </c>
      <c r="D2563" t="s">
        <v>939</v>
      </c>
      <c r="E2563">
        <v>10</v>
      </c>
      <c r="H2563">
        <v>79</v>
      </c>
      <c r="I2563" t="s">
        <v>940</v>
      </c>
      <c r="J2563" t="s">
        <v>130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904"/>
        <v>06:19:27.289</v>
      </c>
      <c r="T2563" t="str">
        <f t="shared" si="905"/>
        <v>06:19:26.889</v>
      </c>
      <c r="U2563" t="str">
        <f t="shared" si="908"/>
        <v>A7E2E0</v>
      </c>
      <c r="V2563">
        <v>0</v>
      </c>
      <c r="W2563">
        <v>0</v>
      </c>
      <c r="X2563">
        <v>1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0</v>
      </c>
      <c r="AI2563" t="s">
        <v>1378</v>
      </c>
      <c r="AJ2563">
        <v>38.909433</v>
      </c>
      <c r="AK2563" t="s">
        <v>1379</v>
      </c>
      <c r="AL2563">
        <v>-87.610774000000006</v>
      </c>
      <c r="AM2563">
        <v>100</v>
      </c>
      <c r="AN2563">
        <v>2400</v>
      </c>
      <c r="AO2563" t="s">
        <v>118</v>
      </c>
      <c r="AP2563">
        <v>4</v>
      </c>
      <c r="AQ2563">
        <v>-145</v>
      </c>
      <c r="AR2563">
        <v>-192</v>
      </c>
      <c r="AZ2563">
        <v>4552</v>
      </c>
      <c r="BA2563">
        <v>1</v>
      </c>
      <c r="BB2563" t="str">
        <f t="shared" si="909"/>
        <v xml:space="preserve">N607SR  </v>
      </c>
      <c r="BC2563">
        <v>1</v>
      </c>
      <c r="BE2563">
        <v>0</v>
      </c>
      <c r="BF2563">
        <v>0</v>
      </c>
      <c r="BG2563">
        <v>0</v>
      </c>
      <c r="BH2563">
        <v>2200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 t="shared" si="906"/>
        <v>06:19:27.295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6</v>
      </c>
      <c r="CP2563" t="s">
        <v>119</v>
      </c>
      <c r="CQ2563">
        <v>465</v>
      </c>
      <c r="CR2563">
        <v>0</v>
      </c>
      <c r="CW2563">
        <v>4726674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 t="shared" si="903"/>
        <v>08/29/2020 06:19:24.071</v>
      </c>
      <c r="C2564" t="str">
        <f t="shared" si="907"/>
        <v>FFDFD3C0</v>
      </c>
      <c r="D2564" t="s">
        <v>121</v>
      </c>
      <c r="E2564">
        <v>11</v>
      </c>
      <c r="F2564">
        <v>1011</v>
      </c>
      <c r="G2564" t="s">
        <v>125</v>
      </c>
      <c r="J2564" t="s">
        <v>123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904"/>
        <v>06:19:27.289</v>
      </c>
      <c r="T2564" t="str">
        <f t="shared" si="905"/>
        <v>06:19:26.889</v>
      </c>
      <c r="U2564" t="str">
        <f t="shared" si="908"/>
        <v>A7E2E0</v>
      </c>
      <c r="V2564">
        <v>0</v>
      </c>
      <c r="W2564">
        <v>0</v>
      </c>
      <c r="X2564">
        <v>1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0</v>
      </c>
      <c r="AI2564" t="s">
        <v>1378</v>
      </c>
      <c r="AJ2564">
        <v>38.909433</v>
      </c>
      <c r="AK2564" t="s">
        <v>1379</v>
      </c>
      <c r="AL2564">
        <v>-87.610774000000006</v>
      </c>
      <c r="AM2564">
        <v>100</v>
      </c>
      <c r="AN2564">
        <v>2400</v>
      </c>
      <c r="AO2564" t="s">
        <v>118</v>
      </c>
      <c r="AP2564">
        <v>4</v>
      </c>
      <c r="AQ2564">
        <v>-145</v>
      </c>
      <c r="AR2564">
        <v>-192</v>
      </c>
      <c r="AZ2564">
        <v>4552</v>
      </c>
      <c r="BA2564">
        <v>1</v>
      </c>
      <c r="BB2564" t="str">
        <f t="shared" si="909"/>
        <v xml:space="preserve">N607SR  </v>
      </c>
      <c r="BC2564">
        <v>1</v>
      </c>
      <c r="BE2564">
        <v>0</v>
      </c>
      <c r="BF2564">
        <v>0</v>
      </c>
      <c r="BG2564">
        <v>0</v>
      </c>
      <c r="BH2564">
        <v>2200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 t="shared" si="906"/>
        <v>06:19:27.295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5</v>
      </c>
      <c r="CP2564" t="s">
        <v>119</v>
      </c>
      <c r="CQ2564">
        <v>177</v>
      </c>
      <c r="CR2564">
        <v>2</v>
      </c>
      <c r="CW2564">
        <v>1675340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 t="shared" ref="A2565:A2570" si="910">"08/29/2020 06:19:24.903"</f>
        <v>08/29/2020 06:19:24.903</v>
      </c>
      <c r="C2565" t="str">
        <f t="shared" si="907"/>
        <v>FFDFD3C0</v>
      </c>
      <c r="D2565" t="s">
        <v>121</v>
      </c>
      <c r="E2565">
        <v>10</v>
      </c>
      <c r="F2565">
        <v>1010</v>
      </c>
      <c r="G2565" t="s">
        <v>114</v>
      </c>
      <c r="J2565" t="s">
        <v>123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ref="S2565:S2570" si="911">"06:19:28.141"</f>
        <v>06:19:28.141</v>
      </c>
      <c r="T2565" t="str">
        <f t="shared" ref="T2565:T2570" si="912">"06:19:27.741"</f>
        <v>06:19:27.741</v>
      </c>
      <c r="U2565" t="str">
        <f t="shared" si="908"/>
        <v>A7E2E0</v>
      </c>
      <c r="V2565">
        <v>0</v>
      </c>
      <c r="W2565">
        <v>0</v>
      </c>
      <c r="X2565">
        <v>1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0</v>
      </c>
      <c r="AI2565" t="s">
        <v>1380</v>
      </c>
      <c r="AJ2565">
        <v>38.908811</v>
      </c>
      <c r="AK2565" t="s">
        <v>1379</v>
      </c>
      <c r="AL2565">
        <v>-87.610774000000006</v>
      </c>
      <c r="AM2565">
        <v>100</v>
      </c>
      <c r="AN2565">
        <v>2400</v>
      </c>
      <c r="AO2565" t="s">
        <v>118</v>
      </c>
      <c r="AP2565">
        <v>3</v>
      </c>
      <c r="AQ2565">
        <v>-145</v>
      </c>
      <c r="AR2565">
        <v>-128</v>
      </c>
      <c r="AZ2565">
        <v>4552</v>
      </c>
      <c r="BA2565">
        <v>1</v>
      </c>
      <c r="BB2565" t="str">
        <f t="shared" si="909"/>
        <v xml:space="preserve">N607SR  </v>
      </c>
      <c r="BC2565">
        <v>1</v>
      </c>
      <c r="BE2565">
        <v>0</v>
      </c>
      <c r="BF2565">
        <v>0</v>
      </c>
      <c r="BG2565">
        <v>0</v>
      </c>
      <c r="BH2565">
        <v>2200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 t="shared" ref="BW2565:BW2570" si="913">"06:19:28.144"</f>
        <v>06:19:28.144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6</v>
      </c>
      <c r="CP2565" t="s">
        <v>119</v>
      </c>
      <c r="CQ2565">
        <v>465</v>
      </c>
      <c r="CR2565">
        <v>0</v>
      </c>
      <c r="CW2565">
        <v>4726704</v>
      </c>
      <c r="CY2565">
        <v>1</v>
      </c>
      <c r="CZ2565">
        <v>0</v>
      </c>
      <c r="DA2565">
        <v>0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 t="shared" si="910"/>
        <v>08/29/2020 06:19:24.903</v>
      </c>
      <c r="C2566" t="str">
        <f t="shared" si="907"/>
        <v>FFDFD3C0</v>
      </c>
      <c r="D2566" t="s">
        <v>939</v>
      </c>
      <c r="E2566">
        <v>10</v>
      </c>
      <c r="H2566">
        <v>79</v>
      </c>
      <c r="I2566" t="s">
        <v>940</v>
      </c>
      <c r="J2566" t="s">
        <v>130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911"/>
        <v>06:19:28.141</v>
      </c>
      <c r="T2566" t="str">
        <f t="shared" si="912"/>
        <v>06:19:27.741</v>
      </c>
      <c r="U2566" t="str">
        <f t="shared" si="908"/>
        <v>A7E2E0</v>
      </c>
      <c r="V2566">
        <v>0</v>
      </c>
      <c r="W2566">
        <v>0</v>
      </c>
      <c r="X2566">
        <v>1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0</v>
      </c>
      <c r="AI2566" t="s">
        <v>1380</v>
      </c>
      <c r="AJ2566">
        <v>38.908811</v>
      </c>
      <c r="AK2566" t="s">
        <v>1379</v>
      </c>
      <c r="AL2566">
        <v>-87.610774000000006</v>
      </c>
      <c r="AM2566">
        <v>100</v>
      </c>
      <c r="AN2566">
        <v>2400</v>
      </c>
      <c r="AO2566" t="s">
        <v>118</v>
      </c>
      <c r="AP2566">
        <v>3</v>
      </c>
      <c r="AQ2566">
        <v>-145</v>
      </c>
      <c r="AR2566">
        <v>-128</v>
      </c>
      <c r="AZ2566">
        <v>4552</v>
      </c>
      <c r="BA2566">
        <v>1</v>
      </c>
      <c r="BB2566" t="str">
        <f t="shared" si="909"/>
        <v xml:space="preserve">N607SR  </v>
      </c>
      <c r="BC2566">
        <v>1</v>
      </c>
      <c r="BE2566">
        <v>0</v>
      </c>
      <c r="BF2566">
        <v>0</v>
      </c>
      <c r="BG2566">
        <v>0</v>
      </c>
      <c r="BH2566">
        <v>2200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 t="shared" si="913"/>
        <v>06:19:28.144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6</v>
      </c>
      <c r="CP2566" t="s">
        <v>119</v>
      </c>
      <c r="CQ2566">
        <v>465</v>
      </c>
      <c r="CR2566">
        <v>0</v>
      </c>
      <c r="CW2566">
        <v>4726704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 t="shared" si="910"/>
        <v>08/29/2020 06:19:24.903</v>
      </c>
      <c r="C2567" t="str">
        <f t="shared" si="907"/>
        <v>FFDFD3C0</v>
      </c>
      <c r="D2567" t="s">
        <v>113</v>
      </c>
      <c r="E2567">
        <v>5</v>
      </c>
      <c r="H2567">
        <v>163</v>
      </c>
      <c r="I2567" t="s">
        <v>114</v>
      </c>
      <c r="J2567" t="s">
        <v>115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911"/>
        <v>06:19:28.141</v>
      </c>
      <c r="T2567" t="str">
        <f t="shared" si="912"/>
        <v>06:19:27.741</v>
      </c>
      <c r="U2567" t="str">
        <f t="shared" si="908"/>
        <v>A7E2E0</v>
      </c>
      <c r="V2567">
        <v>0</v>
      </c>
      <c r="W2567">
        <v>0</v>
      </c>
      <c r="X2567">
        <v>1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0</v>
      </c>
      <c r="AI2567" t="s">
        <v>1380</v>
      </c>
      <c r="AJ2567">
        <v>38.908811</v>
      </c>
      <c r="AK2567" t="s">
        <v>1379</v>
      </c>
      <c r="AL2567">
        <v>-87.610774000000006</v>
      </c>
      <c r="AM2567">
        <v>100</v>
      </c>
      <c r="AN2567">
        <v>2400</v>
      </c>
      <c r="AO2567" t="s">
        <v>118</v>
      </c>
      <c r="AP2567">
        <v>3</v>
      </c>
      <c r="AQ2567">
        <v>-145</v>
      </c>
      <c r="AR2567">
        <v>-128</v>
      </c>
      <c r="AZ2567">
        <v>4552</v>
      </c>
      <c r="BA2567">
        <v>1</v>
      </c>
      <c r="BB2567" t="str">
        <f t="shared" si="909"/>
        <v xml:space="preserve">N607SR  </v>
      </c>
      <c r="BC2567">
        <v>1</v>
      </c>
      <c r="BE2567">
        <v>0</v>
      </c>
      <c r="BF2567">
        <v>0</v>
      </c>
      <c r="BG2567">
        <v>0</v>
      </c>
      <c r="BH2567">
        <v>2200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 t="shared" si="913"/>
        <v>06:19:28.144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6</v>
      </c>
      <c r="CP2567" t="s">
        <v>119</v>
      </c>
      <c r="CQ2567">
        <v>465</v>
      </c>
      <c r="CR2567">
        <v>0</v>
      </c>
      <c r="CW2567">
        <v>4726704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 t="shared" si="910"/>
        <v>08/29/2020 06:19:24.903</v>
      </c>
      <c r="C2568" t="str">
        <f t="shared" si="907"/>
        <v>FFDFD3C0</v>
      </c>
      <c r="D2568" t="s">
        <v>128</v>
      </c>
      <c r="E2568">
        <v>5</v>
      </c>
      <c r="H2568">
        <v>241</v>
      </c>
      <c r="I2568" t="s">
        <v>129</v>
      </c>
      <c r="J2568" t="s">
        <v>130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911"/>
        <v>06:19:28.141</v>
      </c>
      <c r="T2568" t="str">
        <f t="shared" si="912"/>
        <v>06:19:27.741</v>
      </c>
      <c r="U2568" t="str">
        <f t="shared" si="908"/>
        <v>A7E2E0</v>
      </c>
      <c r="V2568">
        <v>0</v>
      </c>
      <c r="W2568">
        <v>0</v>
      </c>
      <c r="X2568">
        <v>1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0</v>
      </c>
      <c r="AI2568" t="s">
        <v>1380</v>
      </c>
      <c r="AJ2568">
        <v>38.908811</v>
      </c>
      <c r="AK2568" t="s">
        <v>1379</v>
      </c>
      <c r="AL2568">
        <v>-87.610774000000006</v>
      </c>
      <c r="AM2568">
        <v>100</v>
      </c>
      <c r="AN2568">
        <v>2400</v>
      </c>
      <c r="AO2568" t="s">
        <v>118</v>
      </c>
      <c r="AP2568">
        <v>3</v>
      </c>
      <c r="AQ2568">
        <v>-145</v>
      </c>
      <c r="AR2568">
        <v>-128</v>
      </c>
      <c r="AZ2568">
        <v>4552</v>
      </c>
      <c r="BA2568">
        <v>1</v>
      </c>
      <c r="BB2568" t="str">
        <f t="shared" si="909"/>
        <v xml:space="preserve">N607SR  </v>
      </c>
      <c r="BC2568">
        <v>1</v>
      </c>
      <c r="BE2568">
        <v>0</v>
      </c>
      <c r="BF2568">
        <v>0</v>
      </c>
      <c r="BG2568">
        <v>0</v>
      </c>
      <c r="BH2568">
        <v>2200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 t="shared" si="913"/>
        <v>06:19:28.144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6</v>
      </c>
      <c r="CP2568" t="s">
        <v>119</v>
      </c>
      <c r="CQ2568">
        <v>465</v>
      </c>
      <c r="CR2568">
        <v>0</v>
      </c>
      <c r="CW2568">
        <v>4726704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 t="shared" si="910"/>
        <v>08/29/2020 06:19:24.903</v>
      </c>
      <c r="C2569" t="str">
        <f t="shared" si="907"/>
        <v>FFDFD3C0</v>
      </c>
      <c r="D2569" t="s">
        <v>121</v>
      </c>
      <c r="E2569">
        <v>11</v>
      </c>
      <c r="F2569">
        <v>1011</v>
      </c>
      <c r="G2569" t="s">
        <v>125</v>
      </c>
      <c r="J2569" t="s">
        <v>123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911"/>
        <v>06:19:28.141</v>
      </c>
      <c r="T2569" t="str">
        <f t="shared" si="912"/>
        <v>06:19:27.741</v>
      </c>
      <c r="U2569" t="str">
        <f t="shared" si="908"/>
        <v>A7E2E0</v>
      </c>
      <c r="V2569">
        <v>0</v>
      </c>
      <c r="W2569">
        <v>0</v>
      </c>
      <c r="X2569">
        <v>1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0</v>
      </c>
      <c r="AI2569" t="s">
        <v>1380</v>
      </c>
      <c r="AJ2569">
        <v>38.908811</v>
      </c>
      <c r="AK2569" t="s">
        <v>1379</v>
      </c>
      <c r="AL2569">
        <v>-87.610774000000006</v>
      </c>
      <c r="AM2569">
        <v>100</v>
      </c>
      <c r="AN2569">
        <v>2400</v>
      </c>
      <c r="AO2569" t="s">
        <v>118</v>
      </c>
      <c r="AP2569">
        <v>3</v>
      </c>
      <c r="AQ2569">
        <v>-145</v>
      </c>
      <c r="AR2569">
        <v>-128</v>
      </c>
      <c r="AZ2569">
        <v>4552</v>
      </c>
      <c r="BA2569">
        <v>1</v>
      </c>
      <c r="BB2569" t="str">
        <f t="shared" si="909"/>
        <v xml:space="preserve">N607SR  </v>
      </c>
      <c r="BC2569">
        <v>1</v>
      </c>
      <c r="BE2569">
        <v>0</v>
      </c>
      <c r="BF2569">
        <v>0</v>
      </c>
      <c r="BG2569">
        <v>0</v>
      </c>
      <c r="BH2569">
        <v>2200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 t="shared" si="913"/>
        <v>06:19:28.144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6</v>
      </c>
      <c r="CP2569" t="s">
        <v>119</v>
      </c>
      <c r="CQ2569">
        <v>177</v>
      </c>
      <c r="CR2569">
        <v>2</v>
      </c>
      <c r="CW2569">
        <v>1675459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 t="shared" si="910"/>
        <v>08/29/2020 06:19:24.903</v>
      </c>
      <c r="C2570" t="str">
        <f t="shared" si="907"/>
        <v>FFDFD3C0</v>
      </c>
      <c r="D2570" t="s">
        <v>121</v>
      </c>
      <c r="E2570">
        <v>13</v>
      </c>
      <c r="F2570">
        <v>1013</v>
      </c>
      <c r="G2570" t="s">
        <v>122</v>
      </c>
      <c r="J2570" t="s">
        <v>123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911"/>
        <v>06:19:28.141</v>
      </c>
      <c r="T2570" t="str">
        <f t="shared" si="912"/>
        <v>06:19:27.741</v>
      </c>
      <c r="U2570" t="str">
        <f t="shared" si="908"/>
        <v>A7E2E0</v>
      </c>
      <c r="V2570">
        <v>0</v>
      </c>
      <c r="W2570">
        <v>0</v>
      </c>
      <c r="X2570">
        <v>1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0</v>
      </c>
      <c r="AI2570" t="s">
        <v>1380</v>
      </c>
      <c r="AJ2570">
        <v>38.908811</v>
      </c>
      <c r="AK2570" t="s">
        <v>1379</v>
      </c>
      <c r="AL2570">
        <v>-87.610774000000006</v>
      </c>
      <c r="AM2570">
        <v>100</v>
      </c>
      <c r="AN2570">
        <v>2400</v>
      </c>
      <c r="AO2570" t="s">
        <v>118</v>
      </c>
      <c r="AP2570">
        <v>3</v>
      </c>
      <c r="AQ2570">
        <v>-145</v>
      </c>
      <c r="AR2570">
        <v>-128</v>
      </c>
      <c r="AZ2570">
        <v>4552</v>
      </c>
      <c r="BA2570">
        <v>1</v>
      </c>
      <c r="BB2570" t="str">
        <f t="shared" si="909"/>
        <v xml:space="preserve">N607SR  </v>
      </c>
      <c r="BC2570">
        <v>1</v>
      </c>
      <c r="BE2570">
        <v>0</v>
      </c>
      <c r="BF2570">
        <v>0</v>
      </c>
      <c r="BG2570">
        <v>0</v>
      </c>
      <c r="BH2570">
        <v>2200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 t="shared" si="913"/>
        <v>06:19:28.144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6</v>
      </c>
      <c r="CP2570" t="s">
        <v>119</v>
      </c>
      <c r="CQ2570">
        <v>465</v>
      </c>
      <c r="CR2570">
        <v>0</v>
      </c>
      <c r="CW2570">
        <v>4726704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 t="shared" ref="A2571:A2576" si="914">"08/29/2020 06:19:25.915"</f>
        <v>08/29/2020 06:19:25.915</v>
      </c>
      <c r="C2571" t="str">
        <f t="shared" si="907"/>
        <v>FFDFD3C0</v>
      </c>
      <c r="D2571" t="s">
        <v>121</v>
      </c>
      <c r="E2571">
        <v>10</v>
      </c>
      <c r="F2571">
        <v>1010</v>
      </c>
      <c r="G2571" t="s">
        <v>114</v>
      </c>
      <c r="J2571" t="s">
        <v>123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ref="S2571:S2576" si="915">"06:19:29.117"</f>
        <v>06:19:29.117</v>
      </c>
      <c r="T2571" t="str">
        <f t="shared" ref="T2571:T2576" si="916">"06:19:28.617"</f>
        <v>06:19:28.617</v>
      </c>
      <c r="U2571" t="str">
        <f t="shared" si="908"/>
        <v>A7E2E0</v>
      </c>
      <c r="V2571">
        <v>0</v>
      </c>
      <c r="W2571">
        <v>0</v>
      </c>
      <c r="X2571">
        <v>1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0</v>
      </c>
      <c r="AI2571" t="s">
        <v>1381</v>
      </c>
      <c r="AJ2571">
        <v>38.908124000000001</v>
      </c>
      <c r="AK2571" t="s">
        <v>1379</v>
      </c>
      <c r="AL2571">
        <v>-87.610774000000006</v>
      </c>
      <c r="AM2571">
        <v>100</v>
      </c>
      <c r="AN2571">
        <v>2400</v>
      </c>
      <c r="AO2571" t="s">
        <v>118</v>
      </c>
      <c r="AP2571">
        <v>2</v>
      </c>
      <c r="AQ2571">
        <v>-144</v>
      </c>
      <c r="AR2571">
        <v>-128</v>
      </c>
      <c r="AZ2571">
        <v>4552</v>
      </c>
      <c r="BA2571">
        <v>1</v>
      </c>
      <c r="BB2571" t="str">
        <f t="shared" si="909"/>
        <v xml:space="preserve">N607SR  </v>
      </c>
      <c r="BC2571">
        <v>1</v>
      </c>
      <c r="BE2571">
        <v>0</v>
      </c>
      <c r="BF2571">
        <v>0</v>
      </c>
      <c r="BG2571">
        <v>0</v>
      </c>
      <c r="BH2571">
        <v>2200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 t="shared" ref="BW2571:BW2576" si="917">"06:19:29.121"</f>
        <v>06:19:29.121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6</v>
      </c>
      <c r="CP2571" t="s">
        <v>119</v>
      </c>
      <c r="CQ2571">
        <v>465</v>
      </c>
      <c r="CR2571">
        <v>0</v>
      </c>
      <c r="CW2571">
        <v>4726734</v>
      </c>
      <c r="CY2571">
        <v>1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 t="shared" si="914"/>
        <v>08/29/2020 06:19:25.915</v>
      </c>
      <c r="C2572" t="str">
        <f t="shared" si="907"/>
        <v>FFDFD3C0</v>
      </c>
      <c r="D2572" t="s">
        <v>939</v>
      </c>
      <c r="E2572">
        <v>10</v>
      </c>
      <c r="H2572">
        <v>79</v>
      </c>
      <c r="I2572" t="s">
        <v>940</v>
      </c>
      <c r="J2572" t="s">
        <v>130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915"/>
        <v>06:19:29.117</v>
      </c>
      <c r="T2572" t="str">
        <f t="shared" si="916"/>
        <v>06:19:28.617</v>
      </c>
      <c r="U2572" t="str">
        <f t="shared" si="908"/>
        <v>A7E2E0</v>
      </c>
      <c r="V2572">
        <v>0</v>
      </c>
      <c r="W2572">
        <v>0</v>
      </c>
      <c r="X2572">
        <v>1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0</v>
      </c>
      <c r="AI2572" t="s">
        <v>1381</v>
      </c>
      <c r="AJ2572">
        <v>38.908124000000001</v>
      </c>
      <c r="AK2572" t="s">
        <v>1379</v>
      </c>
      <c r="AL2572">
        <v>-87.610774000000006</v>
      </c>
      <c r="AM2572">
        <v>100</v>
      </c>
      <c r="AN2572">
        <v>2400</v>
      </c>
      <c r="AO2572" t="s">
        <v>118</v>
      </c>
      <c r="AP2572">
        <v>2</v>
      </c>
      <c r="AQ2572">
        <v>-144</v>
      </c>
      <c r="AR2572">
        <v>-128</v>
      </c>
      <c r="AZ2572">
        <v>4552</v>
      </c>
      <c r="BA2572">
        <v>1</v>
      </c>
      <c r="BB2572" t="str">
        <f t="shared" si="909"/>
        <v xml:space="preserve">N607SR  </v>
      </c>
      <c r="BC2572">
        <v>1</v>
      </c>
      <c r="BE2572">
        <v>0</v>
      </c>
      <c r="BF2572">
        <v>0</v>
      </c>
      <c r="BG2572">
        <v>0</v>
      </c>
      <c r="BH2572">
        <v>2200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 t="shared" si="917"/>
        <v>06:19:29.121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6</v>
      </c>
      <c r="CP2572" t="s">
        <v>119</v>
      </c>
      <c r="CQ2572">
        <v>465</v>
      </c>
      <c r="CR2572">
        <v>0</v>
      </c>
      <c r="CW2572">
        <v>4726734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 t="shared" si="914"/>
        <v>08/29/2020 06:19:25.915</v>
      </c>
      <c r="C2573" t="str">
        <f t="shared" si="907"/>
        <v>FFDFD3C0</v>
      </c>
      <c r="D2573" t="s">
        <v>113</v>
      </c>
      <c r="E2573">
        <v>5</v>
      </c>
      <c r="H2573">
        <v>163</v>
      </c>
      <c r="I2573" t="s">
        <v>114</v>
      </c>
      <c r="J2573" t="s">
        <v>115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915"/>
        <v>06:19:29.117</v>
      </c>
      <c r="T2573" t="str">
        <f t="shared" si="916"/>
        <v>06:19:28.617</v>
      </c>
      <c r="U2573" t="str">
        <f t="shared" si="908"/>
        <v>A7E2E0</v>
      </c>
      <c r="V2573">
        <v>0</v>
      </c>
      <c r="W2573">
        <v>0</v>
      </c>
      <c r="X2573">
        <v>1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0</v>
      </c>
      <c r="AI2573" t="s">
        <v>1381</v>
      </c>
      <c r="AJ2573">
        <v>38.908124000000001</v>
      </c>
      <c r="AK2573" t="s">
        <v>1379</v>
      </c>
      <c r="AL2573">
        <v>-87.610774000000006</v>
      </c>
      <c r="AM2573">
        <v>100</v>
      </c>
      <c r="AN2573">
        <v>2400</v>
      </c>
      <c r="AO2573" t="s">
        <v>118</v>
      </c>
      <c r="AP2573">
        <v>2</v>
      </c>
      <c r="AQ2573">
        <v>-144</v>
      </c>
      <c r="AR2573">
        <v>-128</v>
      </c>
      <c r="AZ2573">
        <v>4552</v>
      </c>
      <c r="BA2573">
        <v>1</v>
      </c>
      <c r="BB2573" t="str">
        <f t="shared" si="909"/>
        <v xml:space="preserve">N607SR  </v>
      </c>
      <c r="BC2573">
        <v>1</v>
      </c>
      <c r="BE2573">
        <v>0</v>
      </c>
      <c r="BF2573">
        <v>0</v>
      </c>
      <c r="BG2573">
        <v>0</v>
      </c>
      <c r="BH2573">
        <v>2200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 t="shared" si="917"/>
        <v>06:19:29.121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6</v>
      </c>
      <c r="CP2573" t="s">
        <v>119</v>
      </c>
      <c r="CQ2573">
        <v>465</v>
      </c>
      <c r="CR2573">
        <v>0</v>
      </c>
      <c r="CW2573">
        <v>4726734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 t="shared" si="914"/>
        <v>08/29/2020 06:19:25.915</v>
      </c>
      <c r="C2574" t="str">
        <f t="shared" si="907"/>
        <v>FFDFD3C0</v>
      </c>
      <c r="D2574" t="s">
        <v>128</v>
      </c>
      <c r="E2574">
        <v>5</v>
      </c>
      <c r="H2574">
        <v>241</v>
      </c>
      <c r="I2574" t="s">
        <v>129</v>
      </c>
      <c r="J2574" t="s">
        <v>130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915"/>
        <v>06:19:29.117</v>
      </c>
      <c r="T2574" t="str">
        <f t="shared" si="916"/>
        <v>06:19:28.617</v>
      </c>
      <c r="U2574" t="str">
        <f t="shared" si="908"/>
        <v>A7E2E0</v>
      </c>
      <c r="V2574">
        <v>0</v>
      </c>
      <c r="W2574">
        <v>0</v>
      </c>
      <c r="X2574">
        <v>1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0</v>
      </c>
      <c r="AI2574" t="s">
        <v>1381</v>
      </c>
      <c r="AJ2574">
        <v>38.908124000000001</v>
      </c>
      <c r="AK2574" t="s">
        <v>1379</v>
      </c>
      <c r="AL2574">
        <v>-87.610774000000006</v>
      </c>
      <c r="AM2574">
        <v>100</v>
      </c>
      <c r="AN2574">
        <v>2400</v>
      </c>
      <c r="AO2574" t="s">
        <v>118</v>
      </c>
      <c r="AP2574">
        <v>2</v>
      </c>
      <c r="AQ2574">
        <v>-144</v>
      </c>
      <c r="AR2574">
        <v>-128</v>
      </c>
      <c r="AZ2574">
        <v>4552</v>
      </c>
      <c r="BA2574">
        <v>1</v>
      </c>
      <c r="BB2574" t="str">
        <f t="shared" si="909"/>
        <v xml:space="preserve">N607SR  </v>
      </c>
      <c r="BC2574">
        <v>1</v>
      </c>
      <c r="BE2574">
        <v>0</v>
      </c>
      <c r="BF2574">
        <v>0</v>
      </c>
      <c r="BG2574">
        <v>0</v>
      </c>
      <c r="BH2574">
        <v>2200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 t="shared" si="917"/>
        <v>06:19:29.121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6</v>
      </c>
      <c r="CP2574" t="s">
        <v>119</v>
      </c>
      <c r="CQ2574">
        <v>465</v>
      </c>
      <c r="CR2574">
        <v>0</v>
      </c>
      <c r="CW2574">
        <v>4726734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 t="shared" si="914"/>
        <v>08/29/2020 06:19:25.915</v>
      </c>
      <c r="C2575" t="str">
        <f t="shared" si="907"/>
        <v>FFDFD3C0</v>
      </c>
      <c r="D2575" t="s">
        <v>121</v>
      </c>
      <c r="E2575">
        <v>11</v>
      </c>
      <c r="F2575">
        <v>1011</v>
      </c>
      <c r="G2575" t="s">
        <v>125</v>
      </c>
      <c r="J2575" t="s">
        <v>123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915"/>
        <v>06:19:29.117</v>
      </c>
      <c r="T2575" t="str">
        <f t="shared" si="916"/>
        <v>06:19:28.617</v>
      </c>
      <c r="U2575" t="str">
        <f t="shared" si="908"/>
        <v>A7E2E0</v>
      </c>
      <c r="V2575">
        <v>0</v>
      </c>
      <c r="W2575">
        <v>0</v>
      </c>
      <c r="X2575">
        <v>1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0</v>
      </c>
      <c r="AI2575" t="s">
        <v>1381</v>
      </c>
      <c r="AJ2575">
        <v>38.908124000000001</v>
      </c>
      <c r="AK2575" t="s">
        <v>1379</v>
      </c>
      <c r="AL2575">
        <v>-87.610774000000006</v>
      </c>
      <c r="AM2575">
        <v>100</v>
      </c>
      <c r="AN2575">
        <v>2400</v>
      </c>
      <c r="AO2575" t="s">
        <v>118</v>
      </c>
      <c r="AP2575">
        <v>2</v>
      </c>
      <c r="AQ2575">
        <v>-144</v>
      </c>
      <c r="AR2575">
        <v>-128</v>
      </c>
      <c r="AZ2575">
        <v>4552</v>
      </c>
      <c r="BA2575">
        <v>1</v>
      </c>
      <c r="BB2575" t="str">
        <f t="shared" si="909"/>
        <v xml:space="preserve">N607SR  </v>
      </c>
      <c r="BC2575">
        <v>1</v>
      </c>
      <c r="BE2575">
        <v>0</v>
      </c>
      <c r="BF2575">
        <v>0</v>
      </c>
      <c r="BG2575">
        <v>0</v>
      </c>
      <c r="BH2575">
        <v>2200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 t="shared" si="917"/>
        <v>06:19:29.121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6</v>
      </c>
      <c r="CP2575" t="s">
        <v>119</v>
      </c>
      <c r="CQ2575">
        <v>177</v>
      </c>
      <c r="CR2575">
        <v>2</v>
      </c>
      <c r="CW2575">
        <v>1675615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 t="shared" si="914"/>
        <v>08/29/2020 06:19:25.915</v>
      </c>
      <c r="C2576" t="str">
        <f t="shared" si="907"/>
        <v>FFDFD3C0</v>
      </c>
      <c r="D2576" t="s">
        <v>121</v>
      </c>
      <c r="E2576">
        <v>13</v>
      </c>
      <c r="F2576">
        <v>1013</v>
      </c>
      <c r="G2576" t="s">
        <v>122</v>
      </c>
      <c r="J2576" t="s">
        <v>123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915"/>
        <v>06:19:29.117</v>
      </c>
      <c r="T2576" t="str">
        <f t="shared" si="916"/>
        <v>06:19:28.617</v>
      </c>
      <c r="U2576" t="str">
        <f t="shared" si="908"/>
        <v>A7E2E0</v>
      </c>
      <c r="V2576">
        <v>0</v>
      </c>
      <c r="W2576">
        <v>0</v>
      </c>
      <c r="X2576">
        <v>1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0</v>
      </c>
      <c r="AI2576" t="s">
        <v>1381</v>
      </c>
      <c r="AJ2576">
        <v>38.908124000000001</v>
      </c>
      <c r="AK2576" t="s">
        <v>1379</v>
      </c>
      <c r="AL2576">
        <v>-87.610774000000006</v>
      </c>
      <c r="AM2576">
        <v>100</v>
      </c>
      <c r="AN2576">
        <v>2400</v>
      </c>
      <c r="AO2576" t="s">
        <v>118</v>
      </c>
      <c r="AP2576">
        <v>2</v>
      </c>
      <c r="AQ2576">
        <v>-144</v>
      </c>
      <c r="AR2576">
        <v>-128</v>
      </c>
      <c r="AZ2576">
        <v>4552</v>
      </c>
      <c r="BA2576">
        <v>1</v>
      </c>
      <c r="BB2576" t="str">
        <f t="shared" si="909"/>
        <v xml:space="preserve">N607SR  </v>
      </c>
      <c r="BC2576">
        <v>1</v>
      </c>
      <c r="BE2576">
        <v>0</v>
      </c>
      <c r="BF2576">
        <v>0</v>
      </c>
      <c r="BG2576">
        <v>0</v>
      </c>
      <c r="BH2576">
        <v>2200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 t="shared" si="917"/>
        <v>06:19:29.121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6</v>
      </c>
      <c r="CP2576" t="s">
        <v>119</v>
      </c>
      <c r="CQ2576">
        <v>465</v>
      </c>
      <c r="CR2576">
        <v>0</v>
      </c>
      <c r="CW2576">
        <v>4726734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 t="shared" ref="A2577:A2582" si="918">"08/29/2020 06:19:26.923"</f>
        <v>08/29/2020 06:19:26.923</v>
      </c>
      <c r="C2577" t="str">
        <f t="shared" si="907"/>
        <v>FFDFD3C0</v>
      </c>
      <c r="D2577" t="s">
        <v>939</v>
      </c>
      <c r="E2577">
        <v>10</v>
      </c>
      <c r="H2577">
        <v>79</v>
      </c>
      <c r="I2577" t="s">
        <v>940</v>
      </c>
      <c r="J2577" t="s">
        <v>130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ref="S2577:S2582" si="919">"06:19:30.180"</f>
        <v>06:19:30.180</v>
      </c>
      <c r="T2577" t="str">
        <f t="shared" ref="T2577:T2582" si="920">"06:19:29.680"</f>
        <v>06:19:29.680</v>
      </c>
      <c r="U2577" t="str">
        <f t="shared" si="908"/>
        <v>A7E2E0</v>
      </c>
      <c r="V2577">
        <v>0</v>
      </c>
      <c r="W2577">
        <v>0</v>
      </c>
      <c r="X2577">
        <v>1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0</v>
      </c>
      <c r="AI2577" t="s">
        <v>1382</v>
      </c>
      <c r="AJ2577">
        <v>38.90748</v>
      </c>
      <c r="AK2577" t="s">
        <v>1379</v>
      </c>
      <c r="AL2577">
        <v>-87.610774000000006</v>
      </c>
      <c r="AM2577">
        <v>100</v>
      </c>
      <c r="AN2577">
        <v>2400</v>
      </c>
      <c r="AO2577" t="s">
        <v>118</v>
      </c>
      <c r="AP2577">
        <v>0</v>
      </c>
      <c r="AQ2577">
        <v>-144</v>
      </c>
      <c r="AR2577">
        <v>-128</v>
      </c>
      <c r="AZ2577">
        <v>4552</v>
      </c>
      <c r="BA2577">
        <v>1</v>
      </c>
      <c r="BB2577" t="str">
        <f t="shared" si="909"/>
        <v xml:space="preserve">N607SR  </v>
      </c>
      <c r="BC2577">
        <v>1</v>
      </c>
      <c r="BE2577">
        <v>0</v>
      </c>
      <c r="BF2577">
        <v>0</v>
      </c>
      <c r="BG2577">
        <v>0</v>
      </c>
      <c r="BH2577">
        <v>2200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 t="shared" ref="BW2577:BW2582" si="921">"06:19:30.182"</f>
        <v>06:19:30.182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6</v>
      </c>
      <c r="CP2577" t="s">
        <v>119</v>
      </c>
      <c r="CQ2577">
        <v>465</v>
      </c>
      <c r="CR2577">
        <v>0</v>
      </c>
      <c r="CW2577">
        <v>4726763</v>
      </c>
      <c r="CY2577">
        <v>1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 t="shared" si="918"/>
        <v>08/29/2020 06:19:26.923</v>
      </c>
      <c r="C2578" t="str">
        <f t="shared" si="907"/>
        <v>FFDFD3C0</v>
      </c>
      <c r="D2578" t="s">
        <v>121</v>
      </c>
      <c r="E2578">
        <v>10</v>
      </c>
      <c r="F2578">
        <v>1010</v>
      </c>
      <c r="G2578" t="s">
        <v>114</v>
      </c>
      <c r="J2578" t="s">
        <v>123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919"/>
        <v>06:19:30.180</v>
      </c>
      <c r="T2578" t="str">
        <f t="shared" si="920"/>
        <v>06:19:29.680</v>
      </c>
      <c r="U2578" t="str">
        <f t="shared" si="908"/>
        <v>A7E2E0</v>
      </c>
      <c r="V2578">
        <v>0</v>
      </c>
      <c r="W2578">
        <v>0</v>
      </c>
      <c r="X2578">
        <v>1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0</v>
      </c>
      <c r="AI2578" t="s">
        <v>1382</v>
      </c>
      <c r="AJ2578">
        <v>38.90748</v>
      </c>
      <c r="AK2578" t="s">
        <v>1379</v>
      </c>
      <c r="AL2578">
        <v>-87.610774000000006</v>
      </c>
      <c r="AM2578">
        <v>100</v>
      </c>
      <c r="AN2578">
        <v>2400</v>
      </c>
      <c r="AO2578" t="s">
        <v>118</v>
      </c>
      <c r="AP2578">
        <v>0</v>
      </c>
      <c r="AQ2578">
        <v>-144</v>
      </c>
      <c r="AR2578">
        <v>-128</v>
      </c>
      <c r="AZ2578">
        <v>4552</v>
      </c>
      <c r="BA2578">
        <v>1</v>
      </c>
      <c r="BB2578" t="str">
        <f t="shared" si="909"/>
        <v xml:space="preserve">N607SR  </v>
      </c>
      <c r="BC2578">
        <v>1</v>
      </c>
      <c r="BE2578">
        <v>0</v>
      </c>
      <c r="BF2578">
        <v>0</v>
      </c>
      <c r="BG2578">
        <v>0</v>
      </c>
      <c r="BH2578">
        <v>2200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 t="shared" si="921"/>
        <v>06:19:30.182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6</v>
      </c>
      <c r="CP2578" t="s">
        <v>119</v>
      </c>
      <c r="CQ2578">
        <v>465</v>
      </c>
      <c r="CR2578">
        <v>0</v>
      </c>
      <c r="CW2578">
        <v>4726763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 t="shared" si="918"/>
        <v>08/29/2020 06:19:26.923</v>
      </c>
      <c r="C2579" t="str">
        <f t="shared" si="907"/>
        <v>FFDFD3C0</v>
      </c>
      <c r="D2579" t="s">
        <v>113</v>
      </c>
      <c r="E2579">
        <v>5</v>
      </c>
      <c r="H2579">
        <v>163</v>
      </c>
      <c r="I2579" t="s">
        <v>114</v>
      </c>
      <c r="J2579" t="s">
        <v>115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919"/>
        <v>06:19:30.180</v>
      </c>
      <c r="T2579" t="str">
        <f t="shared" si="920"/>
        <v>06:19:29.680</v>
      </c>
      <c r="U2579" t="str">
        <f t="shared" si="908"/>
        <v>A7E2E0</v>
      </c>
      <c r="V2579">
        <v>0</v>
      </c>
      <c r="W2579">
        <v>0</v>
      </c>
      <c r="X2579">
        <v>1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0</v>
      </c>
      <c r="AI2579" t="s">
        <v>1382</v>
      </c>
      <c r="AJ2579">
        <v>38.90748</v>
      </c>
      <c r="AK2579" t="s">
        <v>1379</v>
      </c>
      <c r="AL2579">
        <v>-87.610774000000006</v>
      </c>
      <c r="AM2579">
        <v>100</v>
      </c>
      <c r="AN2579">
        <v>2400</v>
      </c>
      <c r="AO2579" t="s">
        <v>118</v>
      </c>
      <c r="AP2579">
        <v>0</v>
      </c>
      <c r="AQ2579">
        <v>-144</v>
      </c>
      <c r="AR2579">
        <v>-128</v>
      </c>
      <c r="AZ2579">
        <v>4552</v>
      </c>
      <c r="BA2579">
        <v>1</v>
      </c>
      <c r="BB2579" t="str">
        <f t="shared" si="909"/>
        <v xml:space="preserve">N607SR  </v>
      </c>
      <c r="BC2579">
        <v>1</v>
      </c>
      <c r="BE2579">
        <v>0</v>
      </c>
      <c r="BF2579">
        <v>0</v>
      </c>
      <c r="BG2579">
        <v>0</v>
      </c>
      <c r="BH2579">
        <v>2200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 t="shared" si="921"/>
        <v>06:19:30.182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6</v>
      </c>
      <c r="CP2579" t="s">
        <v>119</v>
      </c>
      <c r="CQ2579">
        <v>465</v>
      </c>
      <c r="CR2579">
        <v>0</v>
      </c>
      <c r="CW2579">
        <v>4726763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 t="shared" si="918"/>
        <v>08/29/2020 06:19:26.923</v>
      </c>
      <c r="C2580" t="str">
        <f t="shared" si="907"/>
        <v>FFDFD3C0</v>
      </c>
      <c r="D2580" t="s">
        <v>128</v>
      </c>
      <c r="E2580">
        <v>5</v>
      </c>
      <c r="H2580">
        <v>241</v>
      </c>
      <c r="I2580" t="s">
        <v>129</v>
      </c>
      <c r="J2580" t="s">
        <v>130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919"/>
        <v>06:19:30.180</v>
      </c>
      <c r="T2580" t="str">
        <f t="shared" si="920"/>
        <v>06:19:29.680</v>
      </c>
      <c r="U2580" t="str">
        <f t="shared" si="908"/>
        <v>A7E2E0</v>
      </c>
      <c r="V2580">
        <v>0</v>
      </c>
      <c r="W2580">
        <v>0</v>
      </c>
      <c r="X2580">
        <v>1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0</v>
      </c>
      <c r="AI2580" t="s">
        <v>1382</v>
      </c>
      <c r="AJ2580">
        <v>38.90748</v>
      </c>
      <c r="AK2580" t="s">
        <v>1379</v>
      </c>
      <c r="AL2580">
        <v>-87.610774000000006</v>
      </c>
      <c r="AM2580">
        <v>100</v>
      </c>
      <c r="AN2580">
        <v>2400</v>
      </c>
      <c r="AO2580" t="s">
        <v>118</v>
      </c>
      <c r="AP2580">
        <v>0</v>
      </c>
      <c r="AQ2580">
        <v>-144</v>
      </c>
      <c r="AR2580">
        <v>-128</v>
      </c>
      <c r="AZ2580">
        <v>4552</v>
      </c>
      <c r="BA2580">
        <v>1</v>
      </c>
      <c r="BB2580" t="str">
        <f t="shared" si="909"/>
        <v xml:space="preserve">N607SR  </v>
      </c>
      <c r="BC2580">
        <v>1</v>
      </c>
      <c r="BE2580">
        <v>0</v>
      </c>
      <c r="BF2580">
        <v>0</v>
      </c>
      <c r="BG2580">
        <v>0</v>
      </c>
      <c r="BH2580">
        <v>2200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 t="shared" si="921"/>
        <v>06:19:30.182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6</v>
      </c>
      <c r="CP2580" t="s">
        <v>119</v>
      </c>
      <c r="CQ2580">
        <v>465</v>
      </c>
      <c r="CR2580">
        <v>0</v>
      </c>
      <c r="CW2580">
        <v>4726763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 t="shared" si="918"/>
        <v>08/29/2020 06:19:26.923</v>
      </c>
      <c r="C2581" t="str">
        <f t="shared" si="907"/>
        <v>FFDFD3C0</v>
      </c>
      <c r="D2581" t="s">
        <v>121</v>
      </c>
      <c r="E2581">
        <v>11</v>
      </c>
      <c r="F2581">
        <v>1011</v>
      </c>
      <c r="G2581" t="s">
        <v>125</v>
      </c>
      <c r="J2581" t="s">
        <v>123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919"/>
        <v>06:19:30.180</v>
      </c>
      <c r="T2581" t="str">
        <f t="shared" si="920"/>
        <v>06:19:29.680</v>
      </c>
      <c r="U2581" t="str">
        <f t="shared" si="908"/>
        <v>A7E2E0</v>
      </c>
      <c r="V2581">
        <v>0</v>
      </c>
      <c r="W2581">
        <v>0</v>
      </c>
      <c r="X2581">
        <v>1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0</v>
      </c>
      <c r="AI2581" t="s">
        <v>1382</v>
      </c>
      <c r="AJ2581">
        <v>38.90748</v>
      </c>
      <c r="AK2581" t="s">
        <v>1379</v>
      </c>
      <c r="AL2581">
        <v>-87.610774000000006</v>
      </c>
      <c r="AM2581">
        <v>100</v>
      </c>
      <c r="AN2581">
        <v>2400</v>
      </c>
      <c r="AO2581" t="s">
        <v>118</v>
      </c>
      <c r="AP2581">
        <v>0</v>
      </c>
      <c r="AQ2581">
        <v>-144</v>
      </c>
      <c r="AR2581">
        <v>-128</v>
      </c>
      <c r="AZ2581">
        <v>4552</v>
      </c>
      <c r="BA2581">
        <v>1</v>
      </c>
      <c r="BB2581" t="str">
        <f t="shared" si="909"/>
        <v xml:space="preserve">N607SR  </v>
      </c>
      <c r="BC2581">
        <v>1</v>
      </c>
      <c r="BE2581">
        <v>0</v>
      </c>
      <c r="BF2581">
        <v>0</v>
      </c>
      <c r="BG2581">
        <v>0</v>
      </c>
      <c r="BH2581">
        <v>2200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 t="shared" si="921"/>
        <v>06:19:30.182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6</v>
      </c>
      <c r="CP2581" t="s">
        <v>119</v>
      </c>
      <c r="CQ2581">
        <v>177</v>
      </c>
      <c r="CR2581">
        <v>2</v>
      </c>
      <c r="CW2581">
        <v>1675806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 t="shared" si="918"/>
        <v>08/29/2020 06:19:26.923</v>
      </c>
      <c r="C2582" t="str">
        <f t="shared" si="907"/>
        <v>FFDFD3C0</v>
      </c>
      <c r="D2582" t="s">
        <v>121</v>
      </c>
      <c r="E2582">
        <v>13</v>
      </c>
      <c r="F2582">
        <v>1013</v>
      </c>
      <c r="G2582" t="s">
        <v>122</v>
      </c>
      <c r="J2582" t="s">
        <v>123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919"/>
        <v>06:19:30.180</v>
      </c>
      <c r="T2582" t="str">
        <f t="shared" si="920"/>
        <v>06:19:29.680</v>
      </c>
      <c r="U2582" t="str">
        <f t="shared" si="908"/>
        <v>A7E2E0</v>
      </c>
      <c r="V2582">
        <v>0</v>
      </c>
      <c r="W2582">
        <v>0</v>
      </c>
      <c r="X2582">
        <v>1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0</v>
      </c>
      <c r="AI2582" t="s">
        <v>1382</v>
      </c>
      <c r="AJ2582">
        <v>38.90748</v>
      </c>
      <c r="AK2582" t="s">
        <v>1379</v>
      </c>
      <c r="AL2582">
        <v>-87.610774000000006</v>
      </c>
      <c r="AM2582">
        <v>100</v>
      </c>
      <c r="AN2582">
        <v>2400</v>
      </c>
      <c r="AO2582" t="s">
        <v>118</v>
      </c>
      <c r="AP2582">
        <v>0</v>
      </c>
      <c r="AQ2582">
        <v>-144</v>
      </c>
      <c r="AR2582">
        <v>-128</v>
      </c>
      <c r="AZ2582">
        <v>4552</v>
      </c>
      <c r="BA2582">
        <v>1</v>
      </c>
      <c r="BB2582" t="str">
        <f t="shared" si="909"/>
        <v xml:space="preserve">N607SR  </v>
      </c>
      <c r="BC2582">
        <v>1</v>
      </c>
      <c r="BE2582">
        <v>0</v>
      </c>
      <c r="BF2582">
        <v>0</v>
      </c>
      <c r="BG2582">
        <v>0</v>
      </c>
      <c r="BH2582">
        <v>2200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 t="shared" si="921"/>
        <v>06:19:30.182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6</v>
      </c>
      <c r="CP2582" t="s">
        <v>119</v>
      </c>
      <c r="CQ2582">
        <v>465</v>
      </c>
      <c r="CR2582">
        <v>0</v>
      </c>
      <c r="CW2582">
        <v>4726763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 t="shared" ref="A2583:A2588" si="922">"08/29/2020 06:19:27.820"</f>
        <v>08/29/2020 06:19:27.820</v>
      </c>
      <c r="C2583" t="str">
        <f t="shared" si="907"/>
        <v>FFDFD3C0</v>
      </c>
      <c r="D2583" t="s">
        <v>121</v>
      </c>
      <c r="E2583">
        <v>13</v>
      </c>
      <c r="F2583">
        <v>1013</v>
      </c>
      <c r="G2583" t="s">
        <v>122</v>
      </c>
      <c r="J2583" t="s">
        <v>123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ref="S2583:S2588" si="923">"06:19:31.039"</f>
        <v>06:19:31.039</v>
      </c>
      <c r="U2583" t="str">
        <f t="shared" si="908"/>
        <v>A7E2E0</v>
      </c>
      <c r="V2583">
        <v>0</v>
      </c>
      <c r="W2583">
        <v>0</v>
      </c>
      <c r="X2583">
        <v>1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0</v>
      </c>
      <c r="AI2583" t="s">
        <v>1383</v>
      </c>
      <c r="AJ2583">
        <v>38.906879000000004</v>
      </c>
      <c r="AK2583" t="s">
        <v>1379</v>
      </c>
      <c r="AL2583">
        <v>-87.610774000000006</v>
      </c>
      <c r="AM2583">
        <v>100</v>
      </c>
      <c r="AN2583">
        <v>2400</v>
      </c>
      <c r="AO2583" t="s">
        <v>118</v>
      </c>
      <c r="AP2583">
        <v>-1</v>
      </c>
      <c r="AQ2583">
        <v>-143</v>
      </c>
      <c r="AR2583">
        <v>-128</v>
      </c>
      <c r="AZ2583">
        <v>4552</v>
      </c>
      <c r="BA2583">
        <v>1</v>
      </c>
      <c r="BB2583" t="str">
        <f t="shared" si="909"/>
        <v xml:space="preserve">N607SR  </v>
      </c>
      <c r="BC2583">
        <v>1</v>
      </c>
      <c r="BE2583">
        <v>0</v>
      </c>
      <c r="BF2583">
        <v>0</v>
      </c>
      <c r="BG2583">
        <v>0</v>
      </c>
      <c r="BH2583">
        <v>2200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 t="shared" ref="BW2583:BW2588" si="924">"06:19:31.046"</f>
        <v>06:19:31.046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6</v>
      </c>
      <c r="CP2583" t="s">
        <v>119</v>
      </c>
      <c r="CQ2583">
        <v>465</v>
      </c>
      <c r="CR2583">
        <v>0</v>
      </c>
      <c r="CW2583">
        <v>4726785</v>
      </c>
      <c r="CY2583">
        <v>1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 t="shared" si="922"/>
        <v>08/29/2020 06:19:27.820</v>
      </c>
      <c r="C2584" t="str">
        <f t="shared" si="907"/>
        <v>FFDFD3C0</v>
      </c>
      <c r="D2584" t="s">
        <v>121</v>
      </c>
      <c r="E2584">
        <v>11</v>
      </c>
      <c r="F2584">
        <v>1011</v>
      </c>
      <c r="G2584" t="s">
        <v>125</v>
      </c>
      <c r="J2584" t="s">
        <v>123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923"/>
        <v>06:19:31.039</v>
      </c>
      <c r="T2584" t="str">
        <f>"06:19:30.639"</f>
        <v>06:19:30.639</v>
      </c>
      <c r="U2584" t="str">
        <f t="shared" si="908"/>
        <v>A7E2E0</v>
      </c>
      <c r="V2584">
        <v>0</v>
      </c>
      <c r="W2584">
        <v>0</v>
      </c>
      <c r="X2584">
        <v>1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0</v>
      </c>
      <c r="AI2584" t="s">
        <v>1383</v>
      </c>
      <c r="AJ2584">
        <v>38.906879000000004</v>
      </c>
      <c r="AK2584" t="s">
        <v>1379</v>
      </c>
      <c r="AL2584">
        <v>-87.610774000000006</v>
      </c>
      <c r="AM2584">
        <v>100</v>
      </c>
      <c r="AN2584">
        <v>2400</v>
      </c>
      <c r="AO2584" t="s">
        <v>118</v>
      </c>
      <c r="AP2584">
        <v>-1</v>
      </c>
      <c r="AQ2584">
        <v>-144</v>
      </c>
      <c r="AR2584">
        <v>-128</v>
      </c>
      <c r="AZ2584">
        <v>4552</v>
      </c>
      <c r="BA2584">
        <v>1</v>
      </c>
      <c r="BB2584" t="str">
        <f t="shared" si="909"/>
        <v xml:space="preserve">N607SR  </v>
      </c>
      <c r="BC2584">
        <v>1</v>
      </c>
      <c r="BE2584">
        <v>0</v>
      </c>
      <c r="BF2584">
        <v>0</v>
      </c>
      <c r="BG2584">
        <v>0</v>
      </c>
      <c r="BH2584">
        <v>2200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 t="shared" si="924"/>
        <v>06:19:31.046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5</v>
      </c>
      <c r="CP2584" t="s">
        <v>119</v>
      </c>
      <c r="CQ2584">
        <v>177</v>
      </c>
      <c r="CR2584">
        <v>2</v>
      </c>
      <c r="CW2584">
        <v>1675941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 t="shared" si="922"/>
        <v>08/29/2020 06:19:27.820</v>
      </c>
      <c r="C2585" t="str">
        <f t="shared" si="907"/>
        <v>FFDFD3C0</v>
      </c>
      <c r="D2585" t="s">
        <v>939</v>
      </c>
      <c r="E2585">
        <v>10</v>
      </c>
      <c r="H2585">
        <v>79</v>
      </c>
      <c r="I2585" t="s">
        <v>940</v>
      </c>
      <c r="J2585" t="s">
        <v>130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923"/>
        <v>06:19:31.039</v>
      </c>
      <c r="U2585" t="str">
        <f t="shared" si="908"/>
        <v>A7E2E0</v>
      </c>
      <c r="V2585">
        <v>0</v>
      </c>
      <c r="W2585">
        <v>0</v>
      </c>
      <c r="X2585">
        <v>1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0</v>
      </c>
      <c r="AI2585" t="s">
        <v>1383</v>
      </c>
      <c r="AJ2585">
        <v>38.906879000000004</v>
      </c>
      <c r="AK2585" t="s">
        <v>1379</v>
      </c>
      <c r="AL2585">
        <v>-87.610774000000006</v>
      </c>
      <c r="AM2585">
        <v>100</v>
      </c>
      <c r="AN2585">
        <v>2400</v>
      </c>
      <c r="AO2585" t="s">
        <v>118</v>
      </c>
      <c r="AP2585">
        <v>-1</v>
      </c>
      <c r="AQ2585">
        <v>-143</v>
      </c>
      <c r="AR2585">
        <v>-128</v>
      </c>
      <c r="AZ2585">
        <v>4552</v>
      </c>
      <c r="BA2585">
        <v>1</v>
      </c>
      <c r="BB2585" t="str">
        <f t="shared" si="909"/>
        <v xml:space="preserve">N607SR  </v>
      </c>
      <c r="BC2585">
        <v>1</v>
      </c>
      <c r="BE2585">
        <v>0</v>
      </c>
      <c r="BF2585">
        <v>0</v>
      </c>
      <c r="BG2585">
        <v>0</v>
      </c>
      <c r="BH2585">
        <v>2200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 t="shared" si="924"/>
        <v>06:19:31.046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6</v>
      </c>
      <c r="CP2585" t="s">
        <v>119</v>
      </c>
      <c r="CQ2585">
        <v>465</v>
      </c>
      <c r="CR2585">
        <v>0</v>
      </c>
      <c r="CW2585">
        <v>4726785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 t="shared" si="922"/>
        <v>08/29/2020 06:19:27.820</v>
      </c>
      <c r="C2586" t="str">
        <f t="shared" si="907"/>
        <v>FFDFD3C0</v>
      </c>
      <c r="D2586" t="s">
        <v>121</v>
      </c>
      <c r="E2586">
        <v>10</v>
      </c>
      <c r="F2586">
        <v>1010</v>
      </c>
      <c r="G2586" t="s">
        <v>114</v>
      </c>
      <c r="J2586" t="s">
        <v>123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923"/>
        <v>06:19:31.039</v>
      </c>
      <c r="U2586" t="str">
        <f t="shared" si="908"/>
        <v>A7E2E0</v>
      </c>
      <c r="V2586">
        <v>0</v>
      </c>
      <c r="W2586">
        <v>0</v>
      </c>
      <c r="X2586">
        <v>1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0</v>
      </c>
      <c r="AI2586" t="s">
        <v>1383</v>
      </c>
      <c r="AJ2586">
        <v>38.906879000000004</v>
      </c>
      <c r="AK2586" t="s">
        <v>1379</v>
      </c>
      <c r="AL2586">
        <v>-87.610774000000006</v>
      </c>
      <c r="AM2586">
        <v>100</v>
      </c>
      <c r="AN2586">
        <v>2400</v>
      </c>
      <c r="AO2586" t="s">
        <v>118</v>
      </c>
      <c r="AP2586">
        <v>-1</v>
      </c>
      <c r="AQ2586">
        <v>-143</v>
      </c>
      <c r="AR2586">
        <v>-128</v>
      </c>
      <c r="AZ2586">
        <v>4552</v>
      </c>
      <c r="BA2586">
        <v>1</v>
      </c>
      <c r="BB2586" t="str">
        <f t="shared" si="909"/>
        <v xml:space="preserve">N607SR  </v>
      </c>
      <c r="BC2586">
        <v>1</v>
      </c>
      <c r="BE2586">
        <v>0</v>
      </c>
      <c r="BF2586">
        <v>0</v>
      </c>
      <c r="BG2586">
        <v>0</v>
      </c>
      <c r="BH2586">
        <v>2200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 t="shared" si="924"/>
        <v>06:19:31.046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6</v>
      </c>
      <c r="CP2586" t="s">
        <v>119</v>
      </c>
      <c r="CQ2586">
        <v>465</v>
      </c>
      <c r="CR2586">
        <v>0</v>
      </c>
      <c r="CW2586">
        <v>4726785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 t="shared" si="922"/>
        <v>08/29/2020 06:19:27.820</v>
      </c>
      <c r="C2587" t="str">
        <f t="shared" si="907"/>
        <v>FFDFD3C0</v>
      </c>
      <c r="D2587" t="s">
        <v>113</v>
      </c>
      <c r="E2587">
        <v>5</v>
      </c>
      <c r="H2587">
        <v>163</v>
      </c>
      <c r="I2587" t="s">
        <v>114</v>
      </c>
      <c r="J2587" t="s">
        <v>115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923"/>
        <v>06:19:31.039</v>
      </c>
      <c r="U2587" t="str">
        <f t="shared" si="908"/>
        <v>A7E2E0</v>
      </c>
      <c r="V2587">
        <v>0</v>
      </c>
      <c r="W2587">
        <v>0</v>
      </c>
      <c r="X2587">
        <v>1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0</v>
      </c>
      <c r="AI2587" t="s">
        <v>1383</v>
      </c>
      <c r="AJ2587">
        <v>38.906879000000004</v>
      </c>
      <c r="AK2587" t="s">
        <v>1379</v>
      </c>
      <c r="AL2587">
        <v>-87.610774000000006</v>
      </c>
      <c r="AM2587">
        <v>100</v>
      </c>
      <c r="AN2587">
        <v>2400</v>
      </c>
      <c r="AO2587" t="s">
        <v>118</v>
      </c>
      <c r="AP2587">
        <v>-1</v>
      </c>
      <c r="AQ2587">
        <v>-143</v>
      </c>
      <c r="AR2587">
        <v>-128</v>
      </c>
      <c r="AZ2587">
        <v>4552</v>
      </c>
      <c r="BA2587">
        <v>1</v>
      </c>
      <c r="BB2587" t="str">
        <f t="shared" si="909"/>
        <v xml:space="preserve">N607SR  </v>
      </c>
      <c r="BC2587">
        <v>1</v>
      </c>
      <c r="BE2587">
        <v>0</v>
      </c>
      <c r="BF2587">
        <v>0</v>
      </c>
      <c r="BG2587">
        <v>0</v>
      </c>
      <c r="BH2587">
        <v>2200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 t="shared" si="924"/>
        <v>06:19:31.046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6</v>
      </c>
      <c r="CP2587" t="s">
        <v>119</v>
      </c>
      <c r="CQ2587">
        <v>465</v>
      </c>
      <c r="CR2587">
        <v>0</v>
      </c>
      <c r="CW2587">
        <v>4726785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 t="shared" si="922"/>
        <v>08/29/2020 06:19:27.820</v>
      </c>
      <c r="C2588" t="str">
        <f t="shared" si="907"/>
        <v>FFDFD3C0</v>
      </c>
      <c r="D2588" t="s">
        <v>128</v>
      </c>
      <c r="E2588">
        <v>5</v>
      </c>
      <c r="H2588">
        <v>241</v>
      </c>
      <c r="I2588" t="s">
        <v>129</v>
      </c>
      <c r="J2588" t="s">
        <v>130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923"/>
        <v>06:19:31.039</v>
      </c>
      <c r="U2588" t="str">
        <f t="shared" si="908"/>
        <v>A7E2E0</v>
      </c>
      <c r="V2588">
        <v>0</v>
      </c>
      <c r="W2588">
        <v>0</v>
      </c>
      <c r="X2588">
        <v>1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0</v>
      </c>
      <c r="AI2588" t="s">
        <v>1383</v>
      </c>
      <c r="AJ2588">
        <v>38.906879000000004</v>
      </c>
      <c r="AK2588" t="s">
        <v>1379</v>
      </c>
      <c r="AL2588">
        <v>-87.610774000000006</v>
      </c>
      <c r="AM2588">
        <v>100</v>
      </c>
      <c r="AN2588">
        <v>2400</v>
      </c>
      <c r="AO2588" t="s">
        <v>118</v>
      </c>
      <c r="AP2588">
        <v>-1</v>
      </c>
      <c r="AQ2588">
        <v>-143</v>
      </c>
      <c r="AR2588">
        <v>-128</v>
      </c>
      <c r="AZ2588">
        <v>4552</v>
      </c>
      <c r="BA2588">
        <v>1</v>
      </c>
      <c r="BB2588" t="str">
        <f t="shared" si="909"/>
        <v xml:space="preserve">N607SR  </v>
      </c>
      <c r="BC2588">
        <v>1</v>
      </c>
      <c r="BE2588">
        <v>0</v>
      </c>
      <c r="BF2588">
        <v>0</v>
      </c>
      <c r="BG2588">
        <v>0</v>
      </c>
      <c r="BH2588">
        <v>2200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 t="shared" si="924"/>
        <v>06:19:31.046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6</v>
      </c>
      <c r="CP2588" t="s">
        <v>119</v>
      </c>
      <c r="CQ2588">
        <v>465</v>
      </c>
      <c r="CR2588">
        <v>0</v>
      </c>
      <c r="CW2588">
        <v>4726785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 t="shared" ref="A2589:A2594" si="925">"08/29/2020 06:19:28.851"</f>
        <v>08/29/2020 06:19:28.851</v>
      </c>
      <c r="C2589" t="str">
        <f t="shared" si="907"/>
        <v>FFDFD3C0</v>
      </c>
      <c r="D2589" t="s">
        <v>121</v>
      </c>
      <c r="E2589">
        <v>10</v>
      </c>
      <c r="F2589">
        <v>1010</v>
      </c>
      <c r="G2589" t="s">
        <v>114</v>
      </c>
      <c r="J2589" t="s">
        <v>123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ref="S2589:S2594" si="926">"06:19:32.070"</f>
        <v>06:19:32.070</v>
      </c>
      <c r="U2589" t="str">
        <f t="shared" si="908"/>
        <v>A7E2E0</v>
      </c>
      <c r="V2589">
        <v>0</v>
      </c>
      <c r="W2589">
        <v>0</v>
      </c>
      <c r="X2589">
        <v>1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0</v>
      </c>
      <c r="AI2589" t="s">
        <v>1384</v>
      </c>
      <c r="AJ2589">
        <v>38.906213999999999</v>
      </c>
      <c r="AK2589" t="s">
        <v>1379</v>
      </c>
      <c r="AL2589">
        <v>-87.610774000000006</v>
      </c>
      <c r="AM2589">
        <v>100</v>
      </c>
      <c r="AN2589">
        <v>2400</v>
      </c>
      <c r="AO2589" t="s">
        <v>118</v>
      </c>
      <c r="AP2589">
        <v>-2</v>
      </c>
      <c r="AQ2589">
        <v>-143</v>
      </c>
      <c r="AR2589">
        <v>-64</v>
      </c>
      <c r="AZ2589">
        <v>4552</v>
      </c>
      <c r="BA2589">
        <v>1</v>
      </c>
      <c r="BB2589" t="str">
        <f t="shared" si="909"/>
        <v xml:space="preserve">N607SR  </v>
      </c>
      <c r="BC2589">
        <v>1</v>
      </c>
      <c r="BE2589">
        <v>0</v>
      </c>
      <c r="BF2589">
        <v>0</v>
      </c>
      <c r="BG2589">
        <v>0</v>
      </c>
      <c r="BH2589">
        <v>2200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 t="shared" ref="BW2589:BW2594" si="927">"06:19:32.078"</f>
        <v>06:19:32.078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6</v>
      </c>
      <c r="CP2589" t="s">
        <v>119</v>
      </c>
      <c r="CQ2589">
        <v>465</v>
      </c>
      <c r="CR2589">
        <v>0</v>
      </c>
      <c r="CW2589">
        <v>4726814</v>
      </c>
      <c r="CY2589">
        <v>1</v>
      </c>
      <c r="CZ2589">
        <v>0</v>
      </c>
      <c r="DA2589">
        <v>0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 t="shared" si="925"/>
        <v>08/29/2020 06:19:28.851</v>
      </c>
      <c r="C2590" t="str">
        <f t="shared" si="907"/>
        <v>FFDFD3C0</v>
      </c>
      <c r="D2590" t="s">
        <v>113</v>
      </c>
      <c r="E2590">
        <v>5</v>
      </c>
      <c r="H2590">
        <v>163</v>
      </c>
      <c r="I2590" t="s">
        <v>114</v>
      </c>
      <c r="J2590" t="s">
        <v>115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926"/>
        <v>06:19:32.070</v>
      </c>
      <c r="U2590" t="str">
        <f t="shared" si="908"/>
        <v>A7E2E0</v>
      </c>
      <c r="V2590">
        <v>0</v>
      </c>
      <c r="W2590">
        <v>0</v>
      </c>
      <c r="X2590">
        <v>1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0</v>
      </c>
      <c r="AI2590" t="s">
        <v>1384</v>
      </c>
      <c r="AJ2590">
        <v>38.906213999999999</v>
      </c>
      <c r="AK2590" t="s">
        <v>1379</v>
      </c>
      <c r="AL2590">
        <v>-87.610774000000006</v>
      </c>
      <c r="AM2590">
        <v>100</v>
      </c>
      <c r="AN2590">
        <v>2400</v>
      </c>
      <c r="AO2590" t="s">
        <v>118</v>
      </c>
      <c r="AP2590">
        <v>-2</v>
      </c>
      <c r="AQ2590">
        <v>-143</v>
      </c>
      <c r="AR2590">
        <v>-64</v>
      </c>
      <c r="AZ2590">
        <v>4552</v>
      </c>
      <c r="BA2590">
        <v>1</v>
      </c>
      <c r="BB2590" t="str">
        <f t="shared" si="909"/>
        <v xml:space="preserve">N607SR  </v>
      </c>
      <c r="BC2590">
        <v>1</v>
      </c>
      <c r="BE2590">
        <v>0</v>
      </c>
      <c r="BF2590">
        <v>0</v>
      </c>
      <c r="BG2590">
        <v>0</v>
      </c>
      <c r="BH2590">
        <v>2200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 t="shared" si="927"/>
        <v>06:19:32.078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6</v>
      </c>
      <c r="CP2590" t="s">
        <v>119</v>
      </c>
      <c r="CQ2590">
        <v>465</v>
      </c>
      <c r="CR2590">
        <v>0</v>
      </c>
      <c r="CW2590">
        <v>4726814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 t="shared" si="925"/>
        <v>08/29/2020 06:19:28.851</v>
      </c>
      <c r="C2591" t="str">
        <f t="shared" si="907"/>
        <v>FFDFD3C0</v>
      </c>
      <c r="D2591" t="s">
        <v>128</v>
      </c>
      <c r="E2591">
        <v>5</v>
      </c>
      <c r="H2591">
        <v>241</v>
      </c>
      <c r="I2591" t="s">
        <v>129</v>
      </c>
      <c r="J2591" t="s">
        <v>130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926"/>
        <v>06:19:32.070</v>
      </c>
      <c r="U2591" t="str">
        <f t="shared" si="908"/>
        <v>A7E2E0</v>
      </c>
      <c r="V2591">
        <v>0</v>
      </c>
      <c r="W2591">
        <v>0</v>
      </c>
      <c r="X2591">
        <v>1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0</v>
      </c>
      <c r="AI2591" t="s">
        <v>1384</v>
      </c>
      <c r="AJ2591">
        <v>38.906213999999999</v>
      </c>
      <c r="AK2591" t="s">
        <v>1379</v>
      </c>
      <c r="AL2591">
        <v>-87.610774000000006</v>
      </c>
      <c r="AM2591">
        <v>100</v>
      </c>
      <c r="AN2591">
        <v>2400</v>
      </c>
      <c r="AO2591" t="s">
        <v>118</v>
      </c>
      <c r="AP2591">
        <v>-2</v>
      </c>
      <c r="AQ2591">
        <v>-143</v>
      </c>
      <c r="AR2591">
        <v>-64</v>
      </c>
      <c r="AZ2591">
        <v>4552</v>
      </c>
      <c r="BA2591">
        <v>1</v>
      </c>
      <c r="BB2591" t="str">
        <f t="shared" si="909"/>
        <v xml:space="preserve">N607SR  </v>
      </c>
      <c r="BC2591">
        <v>1</v>
      </c>
      <c r="BE2591">
        <v>0</v>
      </c>
      <c r="BF2591">
        <v>0</v>
      </c>
      <c r="BG2591">
        <v>0</v>
      </c>
      <c r="BH2591">
        <v>2200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 t="shared" si="927"/>
        <v>06:19:32.078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6</v>
      </c>
      <c r="CP2591" t="s">
        <v>119</v>
      </c>
      <c r="CQ2591">
        <v>465</v>
      </c>
      <c r="CR2591">
        <v>0</v>
      </c>
      <c r="CW2591">
        <v>4726814</v>
      </c>
      <c r="CY2591">
        <v>1</v>
      </c>
      <c r="CZ2591">
        <v>0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 t="shared" si="925"/>
        <v>08/29/2020 06:19:28.851</v>
      </c>
      <c r="C2592" t="str">
        <f t="shared" si="907"/>
        <v>FFDFD3C0</v>
      </c>
      <c r="D2592" t="s">
        <v>121</v>
      </c>
      <c r="E2592">
        <v>11</v>
      </c>
      <c r="F2592">
        <v>1011</v>
      </c>
      <c r="G2592" t="s">
        <v>125</v>
      </c>
      <c r="J2592" t="s">
        <v>123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926"/>
        <v>06:19:32.070</v>
      </c>
      <c r="T2592" t="str">
        <f>"06:19:31.670"</f>
        <v>06:19:31.670</v>
      </c>
      <c r="U2592" t="str">
        <f t="shared" si="908"/>
        <v>A7E2E0</v>
      </c>
      <c r="V2592">
        <v>0</v>
      </c>
      <c r="W2592">
        <v>0</v>
      </c>
      <c r="X2592">
        <v>1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0</v>
      </c>
      <c r="AI2592" t="s">
        <v>1384</v>
      </c>
      <c r="AJ2592">
        <v>38.906213999999999</v>
      </c>
      <c r="AK2592" t="s">
        <v>1379</v>
      </c>
      <c r="AL2592">
        <v>-87.610774000000006</v>
      </c>
      <c r="AM2592">
        <v>100</v>
      </c>
      <c r="AN2592">
        <v>2400</v>
      </c>
      <c r="AO2592" t="s">
        <v>118</v>
      </c>
      <c r="AP2592">
        <v>-1</v>
      </c>
      <c r="AQ2592">
        <v>-143</v>
      </c>
      <c r="AR2592">
        <v>-128</v>
      </c>
      <c r="AZ2592">
        <v>4552</v>
      </c>
      <c r="BA2592">
        <v>1</v>
      </c>
      <c r="BB2592" t="str">
        <f t="shared" si="909"/>
        <v xml:space="preserve">N607SR  </v>
      </c>
      <c r="BC2592">
        <v>1</v>
      </c>
      <c r="BE2592">
        <v>0</v>
      </c>
      <c r="BF2592">
        <v>0</v>
      </c>
      <c r="BG2592">
        <v>0</v>
      </c>
      <c r="BH2592">
        <v>2200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 t="shared" si="927"/>
        <v>06:19:32.078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5</v>
      </c>
      <c r="CP2592" t="s">
        <v>119</v>
      </c>
      <c r="CQ2592">
        <v>177</v>
      </c>
      <c r="CR2592">
        <v>2</v>
      </c>
      <c r="CW2592">
        <v>1676105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 t="shared" si="925"/>
        <v>08/29/2020 06:19:28.851</v>
      </c>
      <c r="C2593" t="str">
        <f t="shared" si="907"/>
        <v>FFDFD3C0</v>
      </c>
      <c r="D2593" t="s">
        <v>121</v>
      </c>
      <c r="E2593">
        <v>13</v>
      </c>
      <c r="F2593">
        <v>1013</v>
      </c>
      <c r="G2593" t="s">
        <v>122</v>
      </c>
      <c r="J2593" t="s">
        <v>123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926"/>
        <v>06:19:32.070</v>
      </c>
      <c r="U2593" t="str">
        <f t="shared" si="908"/>
        <v>A7E2E0</v>
      </c>
      <c r="V2593">
        <v>0</v>
      </c>
      <c r="W2593">
        <v>0</v>
      </c>
      <c r="X2593">
        <v>1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0</v>
      </c>
      <c r="AI2593" t="s">
        <v>1384</v>
      </c>
      <c r="AJ2593">
        <v>38.906213999999999</v>
      </c>
      <c r="AK2593" t="s">
        <v>1379</v>
      </c>
      <c r="AL2593">
        <v>-87.610774000000006</v>
      </c>
      <c r="AM2593">
        <v>100</v>
      </c>
      <c r="AN2593">
        <v>2400</v>
      </c>
      <c r="AO2593" t="s">
        <v>118</v>
      </c>
      <c r="AP2593">
        <v>-2</v>
      </c>
      <c r="AQ2593">
        <v>-143</v>
      </c>
      <c r="AR2593">
        <v>-64</v>
      </c>
      <c r="AZ2593">
        <v>4552</v>
      </c>
      <c r="BA2593">
        <v>1</v>
      </c>
      <c r="BB2593" t="str">
        <f t="shared" si="909"/>
        <v xml:space="preserve">N607SR  </v>
      </c>
      <c r="BC2593">
        <v>1</v>
      </c>
      <c r="BE2593">
        <v>0</v>
      </c>
      <c r="BF2593">
        <v>0</v>
      </c>
      <c r="BG2593">
        <v>0</v>
      </c>
      <c r="BH2593">
        <v>2200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 t="shared" si="927"/>
        <v>06:19:32.078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6</v>
      </c>
      <c r="CP2593" t="s">
        <v>119</v>
      </c>
      <c r="CQ2593">
        <v>465</v>
      </c>
      <c r="CR2593">
        <v>0</v>
      </c>
      <c r="CW2593">
        <v>4726814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 t="shared" si="925"/>
        <v>08/29/2020 06:19:28.851</v>
      </c>
      <c r="C2594" t="str">
        <f t="shared" si="907"/>
        <v>FFDFD3C0</v>
      </c>
      <c r="D2594" t="s">
        <v>939</v>
      </c>
      <c r="E2594">
        <v>10</v>
      </c>
      <c r="H2594">
        <v>79</v>
      </c>
      <c r="I2594" t="s">
        <v>940</v>
      </c>
      <c r="J2594" t="s">
        <v>130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926"/>
        <v>06:19:32.070</v>
      </c>
      <c r="U2594" t="str">
        <f t="shared" si="908"/>
        <v>A7E2E0</v>
      </c>
      <c r="V2594">
        <v>0</v>
      </c>
      <c r="W2594">
        <v>0</v>
      </c>
      <c r="X2594">
        <v>1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0</v>
      </c>
      <c r="AI2594" t="s">
        <v>1384</v>
      </c>
      <c r="AJ2594">
        <v>38.906213999999999</v>
      </c>
      <c r="AK2594" t="s">
        <v>1379</v>
      </c>
      <c r="AL2594">
        <v>-87.610774000000006</v>
      </c>
      <c r="AM2594">
        <v>100</v>
      </c>
      <c r="AN2594">
        <v>2400</v>
      </c>
      <c r="AO2594" t="s">
        <v>118</v>
      </c>
      <c r="AP2594">
        <v>-2</v>
      </c>
      <c r="AQ2594">
        <v>-143</v>
      </c>
      <c r="AR2594">
        <v>-64</v>
      </c>
      <c r="AZ2594">
        <v>4552</v>
      </c>
      <c r="BA2594">
        <v>1</v>
      </c>
      <c r="BB2594" t="str">
        <f t="shared" si="909"/>
        <v xml:space="preserve">N607SR  </v>
      </c>
      <c r="BC2594">
        <v>1</v>
      </c>
      <c r="BE2594">
        <v>0</v>
      </c>
      <c r="BF2594">
        <v>0</v>
      </c>
      <c r="BG2594">
        <v>0</v>
      </c>
      <c r="BH2594">
        <v>2200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 t="shared" si="927"/>
        <v>06:19:32.078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6</v>
      </c>
      <c r="CP2594" t="s">
        <v>119</v>
      </c>
      <c r="CQ2594">
        <v>465</v>
      </c>
      <c r="CR2594">
        <v>0</v>
      </c>
      <c r="CW2594">
        <v>4726814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 t="shared" ref="A2595:A2600" si="928">"08/29/2020 06:19:29.880"</f>
        <v>08/29/2020 06:19:29.880</v>
      </c>
      <c r="C2595" t="str">
        <f t="shared" si="907"/>
        <v>FFDFD3C0</v>
      </c>
      <c r="D2595" t="s">
        <v>113</v>
      </c>
      <c r="E2595">
        <v>5</v>
      </c>
      <c r="H2595">
        <v>163</v>
      </c>
      <c r="I2595" t="s">
        <v>114</v>
      </c>
      <c r="J2595" t="s">
        <v>115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ref="S2595:S2600" si="929">"06:19:33.109"</f>
        <v>06:19:33.109</v>
      </c>
      <c r="T2595" t="str">
        <f t="shared" ref="T2595:T2600" si="930">"06:19:32.709"</f>
        <v>06:19:32.709</v>
      </c>
      <c r="U2595" t="str">
        <f t="shared" si="908"/>
        <v>A7E2E0</v>
      </c>
      <c r="V2595">
        <v>0</v>
      </c>
      <c r="W2595">
        <v>0</v>
      </c>
      <c r="X2595">
        <v>1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0</v>
      </c>
      <c r="AI2595" t="s">
        <v>1385</v>
      </c>
      <c r="AJ2595">
        <v>38.905462999999997</v>
      </c>
      <c r="AK2595" t="s">
        <v>1379</v>
      </c>
      <c r="AL2595">
        <v>-87.610774000000006</v>
      </c>
      <c r="AM2595">
        <v>100</v>
      </c>
      <c r="AN2595">
        <v>2400</v>
      </c>
      <c r="AO2595" t="s">
        <v>118</v>
      </c>
      <c r="AP2595">
        <v>-2</v>
      </c>
      <c r="AQ2595">
        <v>-143</v>
      </c>
      <c r="AR2595">
        <v>-64</v>
      </c>
      <c r="AZ2595">
        <v>4552</v>
      </c>
      <c r="BA2595">
        <v>1</v>
      </c>
      <c r="BB2595" t="str">
        <f t="shared" si="909"/>
        <v xml:space="preserve">N607SR  </v>
      </c>
      <c r="BC2595">
        <v>1</v>
      </c>
      <c r="BE2595">
        <v>0</v>
      </c>
      <c r="BF2595">
        <v>0</v>
      </c>
      <c r="BG2595">
        <v>0</v>
      </c>
      <c r="BH2595">
        <v>2200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 t="shared" ref="BW2595:BW2600" si="931">"06:19:33.113"</f>
        <v>06:19:33.113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6</v>
      </c>
      <c r="CP2595" t="s">
        <v>119</v>
      </c>
      <c r="CQ2595">
        <v>465</v>
      </c>
      <c r="CR2595">
        <v>0</v>
      </c>
      <c r="CW2595">
        <v>4726836</v>
      </c>
      <c r="CY2595">
        <v>1</v>
      </c>
      <c r="CZ2595">
        <v>0</v>
      </c>
      <c r="DA2595">
        <v>0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 t="shared" si="928"/>
        <v>08/29/2020 06:19:29.880</v>
      </c>
      <c r="C2596" t="str">
        <f t="shared" si="907"/>
        <v>FFDFD3C0</v>
      </c>
      <c r="D2596" t="s">
        <v>128</v>
      </c>
      <c r="E2596">
        <v>5</v>
      </c>
      <c r="H2596">
        <v>241</v>
      </c>
      <c r="I2596" t="s">
        <v>129</v>
      </c>
      <c r="J2596" t="s">
        <v>130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929"/>
        <v>06:19:33.109</v>
      </c>
      <c r="T2596" t="str">
        <f t="shared" si="930"/>
        <v>06:19:32.709</v>
      </c>
      <c r="U2596" t="str">
        <f t="shared" si="908"/>
        <v>A7E2E0</v>
      </c>
      <c r="V2596">
        <v>0</v>
      </c>
      <c r="W2596">
        <v>0</v>
      </c>
      <c r="X2596">
        <v>1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0</v>
      </c>
      <c r="AI2596" t="s">
        <v>1385</v>
      </c>
      <c r="AJ2596">
        <v>38.905462999999997</v>
      </c>
      <c r="AK2596" t="s">
        <v>1379</v>
      </c>
      <c r="AL2596">
        <v>-87.610774000000006</v>
      </c>
      <c r="AM2596">
        <v>100</v>
      </c>
      <c r="AN2596">
        <v>2400</v>
      </c>
      <c r="AO2596" t="s">
        <v>118</v>
      </c>
      <c r="AP2596">
        <v>-2</v>
      </c>
      <c r="AQ2596">
        <v>-143</v>
      </c>
      <c r="AR2596">
        <v>-64</v>
      </c>
      <c r="AZ2596">
        <v>4552</v>
      </c>
      <c r="BA2596">
        <v>1</v>
      </c>
      <c r="BB2596" t="str">
        <f t="shared" si="909"/>
        <v xml:space="preserve">N607SR  </v>
      </c>
      <c r="BC2596">
        <v>1</v>
      </c>
      <c r="BE2596">
        <v>0</v>
      </c>
      <c r="BF2596">
        <v>0</v>
      </c>
      <c r="BG2596">
        <v>0</v>
      </c>
      <c r="BH2596">
        <v>2200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 t="shared" si="931"/>
        <v>06:19:33.113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6</v>
      </c>
      <c r="CP2596" t="s">
        <v>119</v>
      </c>
      <c r="CQ2596">
        <v>465</v>
      </c>
      <c r="CR2596">
        <v>0</v>
      </c>
      <c r="CW2596">
        <v>4726836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 t="shared" si="928"/>
        <v>08/29/2020 06:19:29.880</v>
      </c>
      <c r="C2597" t="str">
        <f t="shared" si="907"/>
        <v>FFDFD3C0</v>
      </c>
      <c r="D2597" t="s">
        <v>939</v>
      </c>
      <c r="E2597">
        <v>10</v>
      </c>
      <c r="H2597">
        <v>79</v>
      </c>
      <c r="I2597" t="s">
        <v>940</v>
      </c>
      <c r="J2597" t="s">
        <v>130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929"/>
        <v>06:19:33.109</v>
      </c>
      <c r="T2597" t="str">
        <f t="shared" si="930"/>
        <v>06:19:32.709</v>
      </c>
      <c r="U2597" t="str">
        <f t="shared" si="908"/>
        <v>A7E2E0</v>
      </c>
      <c r="V2597">
        <v>0</v>
      </c>
      <c r="W2597">
        <v>0</v>
      </c>
      <c r="X2597">
        <v>1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0</v>
      </c>
      <c r="AI2597" t="s">
        <v>1385</v>
      </c>
      <c r="AJ2597">
        <v>38.905462999999997</v>
      </c>
      <c r="AK2597" t="s">
        <v>1379</v>
      </c>
      <c r="AL2597">
        <v>-87.610774000000006</v>
      </c>
      <c r="AM2597">
        <v>100</v>
      </c>
      <c r="AN2597">
        <v>2400</v>
      </c>
      <c r="AO2597" t="s">
        <v>118</v>
      </c>
      <c r="AP2597">
        <v>-2</v>
      </c>
      <c r="AQ2597">
        <v>-143</v>
      </c>
      <c r="AR2597">
        <v>-64</v>
      </c>
      <c r="AZ2597">
        <v>4552</v>
      </c>
      <c r="BA2597">
        <v>1</v>
      </c>
      <c r="BB2597" t="str">
        <f t="shared" si="909"/>
        <v xml:space="preserve">N607SR  </v>
      </c>
      <c r="BC2597">
        <v>1</v>
      </c>
      <c r="BE2597">
        <v>0</v>
      </c>
      <c r="BF2597">
        <v>0</v>
      </c>
      <c r="BG2597">
        <v>0</v>
      </c>
      <c r="BH2597">
        <v>2200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 t="shared" si="931"/>
        <v>06:19:33.113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6</v>
      </c>
      <c r="CP2597" t="s">
        <v>119</v>
      </c>
      <c r="CQ2597">
        <v>465</v>
      </c>
      <c r="CR2597">
        <v>0</v>
      </c>
      <c r="CW2597">
        <v>4726836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 t="shared" si="928"/>
        <v>08/29/2020 06:19:29.880</v>
      </c>
      <c r="C2598" t="str">
        <f t="shared" si="907"/>
        <v>FFDFD3C0</v>
      </c>
      <c r="D2598" t="s">
        <v>121</v>
      </c>
      <c r="E2598">
        <v>11</v>
      </c>
      <c r="F2598">
        <v>1011</v>
      </c>
      <c r="G2598" t="s">
        <v>125</v>
      </c>
      <c r="J2598" t="s">
        <v>123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929"/>
        <v>06:19:33.109</v>
      </c>
      <c r="T2598" t="str">
        <f t="shared" si="930"/>
        <v>06:19:32.709</v>
      </c>
      <c r="U2598" t="str">
        <f t="shared" si="908"/>
        <v>A7E2E0</v>
      </c>
      <c r="V2598">
        <v>0</v>
      </c>
      <c r="W2598">
        <v>0</v>
      </c>
      <c r="X2598">
        <v>1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0</v>
      </c>
      <c r="AI2598" t="s">
        <v>1385</v>
      </c>
      <c r="AJ2598">
        <v>38.905462999999997</v>
      </c>
      <c r="AK2598" t="s">
        <v>1379</v>
      </c>
      <c r="AL2598">
        <v>-87.610774000000006</v>
      </c>
      <c r="AM2598">
        <v>100</v>
      </c>
      <c r="AN2598">
        <v>2400</v>
      </c>
      <c r="AO2598" t="s">
        <v>118</v>
      </c>
      <c r="AP2598">
        <v>-2</v>
      </c>
      <c r="AQ2598">
        <v>-143</v>
      </c>
      <c r="AR2598">
        <v>-64</v>
      </c>
      <c r="AZ2598">
        <v>4552</v>
      </c>
      <c r="BA2598">
        <v>1</v>
      </c>
      <c r="BB2598" t="str">
        <f t="shared" si="909"/>
        <v xml:space="preserve">N607SR  </v>
      </c>
      <c r="BC2598">
        <v>1</v>
      </c>
      <c r="BE2598">
        <v>0</v>
      </c>
      <c r="BF2598">
        <v>0</v>
      </c>
      <c r="BG2598">
        <v>0</v>
      </c>
      <c r="BH2598">
        <v>2200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 t="shared" si="931"/>
        <v>06:19:33.113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4</v>
      </c>
      <c r="CP2598" t="s">
        <v>119</v>
      </c>
      <c r="CQ2598">
        <v>177</v>
      </c>
      <c r="CR2598">
        <v>1</v>
      </c>
      <c r="CW2598">
        <v>7967792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 t="shared" si="928"/>
        <v>08/29/2020 06:19:29.880</v>
      </c>
      <c r="C2599" t="str">
        <f t="shared" si="907"/>
        <v>FFDFD3C0</v>
      </c>
      <c r="D2599" t="s">
        <v>121</v>
      </c>
      <c r="E2599">
        <v>13</v>
      </c>
      <c r="F2599">
        <v>1013</v>
      </c>
      <c r="G2599" t="s">
        <v>122</v>
      </c>
      <c r="J2599" t="s">
        <v>123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929"/>
        <v>06:19:33.109</v>
      </c>
      <c r="T2599" t="str">
        <f t="shared" si="930"/>
        <v>06:19:32.709</v>
      </c>
      <c r="U2599" t="str">
        <f t="shared" si="908"/>
        <v>A7E2E0</v>
      </c>
      <c r="V2599">
        <v>0</v>
      </c>
      <c r="W2599">
        <v>0</v>
      </c>
      <c r="X2599">
        <v>1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0</v>
      </c>
      <c r="AI2599" t="s">
        <v>1385</v>
      </c>
      <c r="AJ2599">
        <v>38.905462999999997</v>
      </c>
      <c r="AK2599" t="s">
        <v>1379</v>
      </c>
      <c r="AL2599">
        <v>-87.610774000000006</v>
      </c>
      <c r="AM2599">
        <v>100</v>
      </c>
      <c r="AN2599">
        <v>2400</v>
      </c>
      <c r="AO2599" t="s">
        <v>118</v>
      </c>
      <c r="AP2599">
        <v>-2</v>
      </c>
      <c r="AQ2599">
        <v>-143</v>
      </c>
      <c r="AR2599">
        <v>-64</v>
      </c>
      <c r="AZ2599">
        <v>4552</v>
      </c>
      <c r="BA2599">
        <v>1</v>
      </c>
      <c r="BB2599" t="str">
        <f t="shared" si="909"/>
        <v xml:space="preserve">N607SR  </v>
      </c>
      <c r="BC2599">
        <v>1</v>
      </c>
      <c r="BE2599">
        <v>0</v>
      </c>
      <c r="BF2599">
        <v>0</v>
      </c>
      <c r="BG2599">
        <v>0</v>
      </c>
      <c r="BH2599">
        <v>2200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 t="shared" si="931"/>
        <v>06:19:33.113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6</v>
      </c>
      <c r="CP2599" t="s">
        <v>119</v>
      </c>
      <c r="CQ2599">
        <v>465</v>
      </c>
      <c r="CR2599">
        <v>0</v>
      </c>
      <c r="CW2599">
        <v>4726836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 t="shared" si="928"/>
        <v>08/29/2020 06:19:29.880</v>
      </c>
      <c r="C2600" t="str">
        <f t="shared" si="907"/>
        <v>FFDFD3C0</v>
      </c>
      <c r="D2600" t="s">
        <v>121</v>
      </c>
      <c r="E2600">
        <v>10</v>
      </c>
      <c r="F2600">
        <v>1010</v>
      </c>
      <c r="G2600" t="s">
        <v>114</v>
      </c>
      <c r="J2600" t="s">
        <v>123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929"/>
        <v>06:19:33.109</v>
      </c>
      <c r="T2600" t="str">
        <f t="shared" si="930"/>
        <v>06:19:32.709</v>
      </c>
      <c r="U2600" t="str">
        <f t="shared" si="908"/>
        <v>A7E2E0</v>
      </c>
      <c r="V2600">
        <v>0</v>
      </c>
      <c r="W2600">
        <v>0</v>
      </c>
      <c r="X2600">
        <v>1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0</v>
      </c>
      <c r="AI2600" t="s">
        <v>1385</v>
      </c>
      <c r="AJ2600">
        <v>38.905462999999997</v>
      </c>
      <c r="AK2600" t="s">
        <v>1379</v>
      </c>
      <c r="AL2600">
        <v>-87.610774000000006</v>
      </c>
      <c r="AM2600">
        <v>100</v>
      </c>
      <c r="AN2600">
        <v>2400</v>
      </c>
      <c r="AO2600" t="s">
        <v>118</v>
      </c>
      <c r="AP2600">
        <v>-2</v>
      </c>
      <c r="AQ2600">
        <v>-143</v>
      </c>
      <c r="AR2600">
        <v>-64</v>
      </c>
      <c r="AZ2600">
        <v>4552</v>
      </c>
      <c r="BA2600">
        <v>1</v>
      </c>
      <c r="BB2600" t="str">
        <f t="shared" si="909"/>
        <v xml:space="preserve">N607SR  </v>
      </c>
      <c r="BC2600">
        <v>1</v>
      </c>
      <c r="BE2600">
        <v>0</v>
      </c>
      <c r="BF2600">
        <v>0</v>
      </c>
      <c r="BG2600">
        <v>0</v>
      </c>
      <c r="BH2600">
        <v>2200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 t="shared" si="931"/>
        <v>06:19:33.113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6</v>
      </c>
      <c r="CP2600" t="s">
        <v>119</v>
      </c>
      <c r="CQ2600">
        <v>465</v>
      </c>
      <c r="CR2600">
        <v>0</v>
      </c>
      <c r="CW2600">
        <v>4726836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 t="shared" ref="A2601:A2606" si="932">"08/29/2020 06:19:30.792"</f>
        <v>08/29/2020 06:19:30.792</v>
      </c>
      <c r="C2601" t="str">
        <f t="shared" si="907"/>
        <v>FFDFD3C0</v>
      </c>
      <c r="D2601" t="s">
        <v>113</v>
      </c>
      <c r="E2601">
        <v>5</v>
      </c>
      <c r="H2601">
        <v>163</v>
      </c>
      <c r="I2601" t="s">
        <v>114</v>
      </c>
      <c r="J2601" t="s">
        <v>115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ref="S2601:S2606" si="933">"06:19:34.008"</f>
        <v>06:19:34.008</v>
      </c>
      <c r="T2601" t="str">
        <f t="shared" ref="T2601:T2606" si="934">"06:19:33.608"</f>
        <v>06:19:33.608</v>
      </c>
      <c r="U2601" t="str">
        <f t="shared" si="908"/>
        <v>A7E2E0</v>
      </c>
      <c r="V2601">
        <v>0</v>
      </c>
      <c r="W2601">
        <v>0</v>
      </c>
      <c r="X2601">
        <v>1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0</v>
      </c>
      <c r="AI2601" t="s">
        <v>1386</v>
      </c>
      <c r="AJ2601">
        <v>38.904969999999999</v>
      </c>
      <c r="AK2601" t="s">
        <v>1376</v>
      </c>
      <c r="AL2601">
        <v>-87.610838000000001</v>
      </c>
      <c r="AM2601">
        <v>100</v>
      </c>
      <c r="AN2601">
        <v>2400</v>
      </c>
      <c r="AO2601" t="s">
        <v>118</v>
      </c>
      <c r="AP2601">
        <v>-2</v>
      </c>
      <c r="AQ2601">
        <v>-143</v>
      </c>
      <c r="AR2601">
        <v>-64</v>
      </c>
      <c r="AZ2601">
        <v>4552</v>
      </c>
      <c r="BA2601">
        <v>1</v>
      </c>
      <c r="BB2601" t="str">
        <f t="shared" si="909"/>
        <v xml:space="preserve">N607SR  </v>
      </c>
      <c r="BC2601">
        <v>1</v>
      </c>
      <c r="BE2601">
        <v>0</v>
      </c>
      <c r="BF2601">
        <v>0</v>
      </c>
      <c r="BG2601">
        <v>0</v>
      </c>
      <c r="BH2601">
        <v>2200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 t="shared" ref="BW2601:BW2606" si="935">"06:19:34.008"</f>
        <v>06:19:34.008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6</v>
      </c>
      <c r="CP2601" t="s">
        <v>119</v>
      </c>
      <c r="CQ2601">
        <v>465</v>
      </c>
      <c r="CR2601">
        <v>0</v>
      </c>
      <c r="CW2601">
        <v>4726862</v>
      </c>
      <c r="CY2601">
        <v>1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 t="shared" si="932"/>
        <v>08/29/2020 06:19:30.792</v>
      </c>
      <c r="C2602" t="str">
        <f t="shared" si="907"/>
        <v>FFDFD3C0</v>
      </c>
      <c r="D2602" t="s">
        <v>128</v>
      </c>
      <c r="E2602">
        <v>5</v>
      </c>
      <c r="H2602">
        <v>241</v>
      </c>
      <c r="I2602" t="s">
        <v>129</v>
      </c>
      <c r="J2602" t="s">
        <v>130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933"/>
        <v>06:19:34.008</v>
      </c>
      <c r="T2602" t="str">
        <f t="shared" si="934"/>
        <v>06:19:33.608</v>
      </c>
      <c r="U2602" t="str">
        <f t="shared" si="908"/>
        <v>A7E2E0</v>
      </c>
      <c r="V2602">
        <v>0</v>
      </c>
      <c r="W2602">
        <v>0</v>
      </c>
      <c r="X2602">
        <v>1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0</v>
      </c>
      <c r="AI2602" t="s">
        <v>1386</v>
      </c>
      <c r="AJ2602">
        <v>38.904969999999999</v>
      </c>
      <c r="AK2602" t="s">
        <v>1376</v>
      </c>
      <c r="AL2602">
        <v>-87.610838000000001</v>
      </c>
      <c r="AM2602">
        <v>100</v>
      </c>
      <c r="AN2602">
        <v>2400</v>
      </c>
      <c r="AO2602" t="s">
        <v>118</v>
      </c>
      <c r="AP2602">
        <v>-2</v>
      </c>
      <c r="AQ2602">
        <v>-143</v>
      </c>
      <c r="AR2602">
        <v>-64</v>
      </c>
      <c r="AZ2602">
        <v>4552</v>
      </c>
      <c r="BA2602">
        <v>1</v>
      </c>
      <c r="BB2602" t="str">
        <f t="shared" si="909"/>
        <v xml:space="preserve">N607SR  </v>
      </c>
      <c r="BC2602">
        <v>1</v>
      </c>
      <c r="BE2602">
        <v>0</v>
      </c>
      <c r="BF2602">
        <v>0</v>
      </c>
      <c r="BG2602">
        <v>0</v>
      </c>
      <c r="BH2602">
        <v>2200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 t="shared" si="935"/>
        <v>06:19:34.008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6</v>
      </c>
      <c r="CP2602" t="s">
        <v>119</v>
      </c>
      <c r="CQ2602">
        <v>465</v>
      </c>
      <c r="CR2602">
        <v>0</v>
      </c>
      <c r="CW2602">
        <v>4726862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 t="shared" si="932"/>
        <v>08/29/2020 06:19:30.792</v>
      </c>
      <c r="C2603" t="str">
        <f t="shared" si="907"/>
        <v>FFDFD3C0</v>
      </c>
      <c r="D2603" t="s">
        <v>939</v>
      </c>
      <c r="E2603">
        <v>10</v>
      </c>
      <c r="H2603">
        <v>79</v>
      </c>
      <c r="I2603" t="s">
        <v>940</v>
      </c>
      <c r="J2603" t="s">
        <v>130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933"/>
        <v>06:19:34.008</v>
      </c>
      <c r="T2603" t="str">
        <f t="shared" si="934"/>
        <v>06:19:33.608</v>
      </c>
      <c r="U2603" t="str">
        <f t="shared" si="908"/>
        <v>A7E2E0</v>
      </c>
      <c r="V2603">
        <v>0</v>
      </c>
      <c r="W2603">
        <v>0</v>
      </c>
      <c r="X2603">
        <v>1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0</v>
      </c>
      <c r="AI2603" t="s">
        <v>1386</v>
      </c>
      <c r="AJ2603">
        <v>38.904969999999999</v>
      </c>
      <c r="AK2603" t="s">
        <v>1376</v>
      </c>
      <c r="AL2603">
        <v>-87.610838000000001</v>
      </c>
      <c r="AM2603">
        <v>100</v>
      </c>
      <c r="AN2603">
        <v>2400</v>
      </c>
      <c r="AO2603" t="s">
        <v>118</v>
      </c>
      <c r="AP2603">
        <v>-2</v>
      </c>
      <c r="AQ2603">
        <v>-143</v>
      </c>
      <c r="AR2603">
        <v>-64</v>
      </c>
      <c r="AZ2603">
        <v>4552</v>
      </c>
      <c r="BA2603">
        <v>1</v>
      </c>
      <c r="BB2603" t="str">
        <f t="shared" si="909"/>
        <v xml:space="preserve">N607SR  </v>
      </c>
      <c r="BC2603">
        <v>1</v>
      </c>
      <c r="BE2603">
        <v>0</v>
      </c>
      <c r="BF2603">
        <v>0</v>
      </c>
      <c r="BG2603">
        <v>0</v>
      </c>
      <c r="BH2603">
        <v>2200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 t="shared" si="935"/>
        <v>06:19:34.008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6</v>
      </c>
      <c r="CP2603" t="s">
        <v>119</v>
      </c>
      <c r="CQ2603">
        <v>465</v>
      </c>
      <c r="CR2603">
        <v>0</v>
      </c>
      <c r="CW2603">
        <v>4726862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 t="shared" si="932"/>
        <v>08/29/2020 06:19:30.792</v>
      </c>
      <c r="C2604" t="str">
        <f t="shared" si="907"/>
        <v>FFDFD3C0</v>
      </c>
      <c r="D2604" t="s">
        <v>121</v>
      </c>
      <c r="E2604">
        <v>11</v>
      </c>
      <c r="F2604">
        <v>1011</v>
      </c>
      <c r="G2604" t="s">
        <v>125</v>
      </c>
      <c r="J2604" t="s">
        <v>123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933"/>
        <v>06:19:34.008</v>
      </c>
      <c r="T2604" t="str">
        <f t="shared" si="934"/>
        <v>06:19:33.608</v>
      </c>
      <c r="U2604" t="str">
        <f t="shared" si="908"/>
        <v>A7E2E0</v>
      </c>
      <c r="V2604">
        <v>0</v>
      </c>
      <c r="W2604">
        <v>0</v>
      </c>
      <c r="X2604">
        <v>1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0</v>
      </c>
      <c r="AI2604" t="s">
        <v>1386</v>
      </c>
      <c r="AJ2604">
        <v>38.904969999999999</v>
      </c>
      <c r="AK2604" t="s">
        <v>1376</v>
      </c>
      <c r="AL2604">
        <v>-87.610838000000001</v>
      </c>
      <c r="AM2604">
        <v>100</v>
      </c>
      <c r="AN2604">
        <v>2400</v>
      </c>
      <c r="AO2604" t="s">
        <v>118</v>
      </c>
      <c r="AP2604">
        <v>-2</v>
      </c>
      <c r="AQ2604">
        <v>-143</v>
      </c>
      <c r="AR2604">
        <v>-64</v>
      </c>
      <c r="AZ2604">
        <v>4552</v>
      </c>
      <c r="BA2604">
        <v>1</v>
      </c>
      <c r="BB2604" t="str">
        <f t="shared" si="909"/>
        <v xml:space="preserve">N607SR  </v>
      </c>
      <c r="BC2604">
        <v>1</v>
      </c>
      <c r="BE2604">
        <v>0</v>
      </c>
      <c r="BF2604">
        <v>0</v>
      </c>
      <c r="BG2604">
        <v>0</v>
      </c>
      <c r="BH2604">
        <v>2200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 t="shared" si="935"/>
        <v>06:19:34.008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5</v>
      </c>
      <c r="CP2604" t="s">
        <v>119</v>
      </c>
      <c r="CQ2604">
        <v>177</v>
      </c>
      <c r="CR2604">
        <v>2</v>
      </c>
      <c r="CW2604">
        <v>1676388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 t="shared" si="932"/>
        <v>08/29/2020 06:19:30.792</v>
      </c>
      <c r="C2605" t="str">
        <f t="shared" si="907"/>
        <v>FFDFD3C0</v>
      </c>
      <c r="D2605" t="s">
        <v>121</v>
      </c>
      <c r="E2605">
        <v>13</v>
      </c>
      <c r="F2605">
        <v>1013</v>
      </c>
      <c r="G2605" t="s">
        <v>122</v>
      </c>
      <c r="J2605" t="s">
        <v>123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933"/>
        <v>06:19:34.008</v>
      </c>
      <c r="T2605" t="str">
        <f t="shared" si="934"/>
        <v>06:19:33.608</v>
      </c>
      <c r="U2605" t="str">
        <f t="shared" si="908"/>
        <v>A7E2E0</v>
      </c>
      <c r="V2605">
        <v>0</v>
      </c>
      <c r="W2605">
        <v>0</v>
      </c>
      <c r="X2605">
        <v>1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0</v>
      </c>
      <c r="AI2605" t="s">
        <v>1386</v>
      </c>
      <c r="AJ2605">
        <v>38.904969999999999</v>
      </c>
      <c r="AK2605" t="s">
        <v>1376</v>
      </c>
      <c r="AL2605">
        <v>-87.610838000000001</v>
      </c>
      <c r="AM2605">
        <v>100</v>
      </c>
      <c r="AN2605">
        <v>2400</v>
      </c>
      <c r="AO2605" t="s">
        <v>118</v>
      </c>
      <c r="AP2605">
        <v>-2</v>
      </c>
      <c r="AQ2605">
        <v>-143</v>
      </c>
      <c r="AR2605">
        <v>-64</v>
      </c>
      <c r="AZ2605">
        <v>4552</v>
      </c>
      <c r="BA2605">
        <v>1</v>
      </c>
      <c r="BB2605" t="str">
        <f t="shared" si="909"/>
        <v xml:space="preserve">N607SR  </v>
      </c>
      <c r="BC2605">
        <v>1</v>
      </c>
      <c r="BE2605">
        <v>0</v>
      </c>
      <c r="BF2605">
        <v>0</v>
      </c>
      <c r="BG2605">
        <v>0</v>
      </c>
      <c r="BH2605">
        <v>2200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 t="shared" si="935"/>
        <v>06:19:34.008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6</v>
      </c>
      <c r="CP2605" t="s">
        <v>119</v>
      </c>
      <c r="CQ2605">
        <v>465</v>
      </c>
      <c r="CR2605">
        <v>0</v>
      </c>
      <c r="CW2605">
        <v>4726862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 t="shared" si="932"/>
        <v>08/29/2020 06:19:30.792</v>
      </c>
      <c r="C2606" t="str">
        <f t="shared" si="907"/>
        <v>FFDFD3C0</v>
      </c>
      <c r="D2606" t="s">
        <v>121</v>
      </c>
      <c r="E2606">
        <v>10</v>
      </c>
      <c r="F2606">
        <v>1010</v>
      </c>
      <c r="G2606" t="s">
        <v>114</v>
      </c>
      <c r="J2606" t="s">
        <v>123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933"/>
        <v>06:19:34.008</v>
      </c>
      <c r="T2606" t="str">
        <f t="shared" si="934"/>
        <v>06:19:33.608</v>
      </c>
      <c r="U2606" t="str">
        <f t="shared" si="908"/>
        <v>A7E2E0</v>
      </c>
      <c r="V2606">
        <v>0</v>
      </c>
      <c r="W2606">
        <v>0</v>
      </c>
      <c r="X2606">
        <v>1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0</v>
      </c>
      <c r="AI2606" t="s">
        <v>1386</v>
      </c>
      <c r="AJ2606">
        <v>38.904969999999999</v>
      </c>
      <c r="AK2606" t="s">
        <v>1376</v>
      </c>
      <c r="AL2606">
        <v>-87.610838000000001</v>
      </c>
      <c r="AM2606">
        <v>100</v>
      </c>
      <c r="AN2606">
        <v>2400</v>
      </c>
      <c r="AO2606" t="s">
        <v>118</v>
      </c>
      <c r="AP2606">
        <v>-2</v>
      </c>
      <c r="AQ2606">
        <v>-143</v>
      </c>
      <c r="AR2606">
        <v>-64</v>
      </c>
      <c r="AZ2606">
        <v>4552</v>
      </c>
      <c r="BA2606">
        <v>1</v>
      </c>
      <c r="BB2606" t="str">
        <f t="shared" si="909"/>
        <v xml:space="preserve">N607SR  </v>
      </c>
      <c r="BC2606">
        <v>1</v>
      </c>
      <c r="BE2606">
        <v>0</v>
      </c>
      <c r="BF2606">
        <v>0</v>
      </c>
      <c r="BG2606">
        <v>0</v>
      </c>
      <c r="BH2606">
        <v>2200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 t="shared" si="935"/>
        <v>06:19:34.008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6</v>
      </c>
      <c r="CP2606" t="s">
        <v>119</v>
      </c>
      <c r="CQ2606">
        <v>465</v>
      </c>
      <c r="CR2606">
        <v>0</v>
      </c>
      <c r="CW2606">
        <v>4726862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 t="shared" ref="A2607:A2612" si="936">"08/29/2020 06:19:31.854"</f>
        <v>08/29/2020 06:19:31.854</v>
      </c>
      <c r="C2607" t="str">
        <f t="shared" si="907"/>
        <v>FFDFD3C0</v>
      </c>
      <c r="D2607" t="s">
        <v>113</v>
      </c>
      <c r="E2607">
        <v>5</v>
      </c>
      <c r="H2607">
        <v>163</v>
      </c>
      <c r="I2607" t="s">
        <v>114</v>
      </c>
      <c r="J2607" t="s">
        <v>115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ref="S2607:S2612" si="937">"06:19:35.063"</f>
        <v>06:19:35.063</v>
      </c>
      <c r="T2607" t="str">
        <f t="shared" ref="T2607:T2612" si="938">"06:19:34.563"</f>
        <v>06:19:34.563</v>
      </c>
      <c r="U2607" t="str">
        <f t="shared" si="908"/>
        <v>A7E2E0</v>
      </c>
      <c r="V2607">
        <v>0</v>
      </c>
      <c r="W2607">
        <v>0</v>
      </c>
      <c r="X2607">
        <v>1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0</v>
      </c>
      <c r="AI2607" t="s">
        <v>1387</v>
      </c>
      <c r="AJ2607">
        <v>38.904262000000003</v>
      </c>
      <c r="AK2607" t="s">
        <v>1376</v>
      </c>
      <c r="AL2607">
        <v>-87.610838000000001</v>
      </c>
      <c r="AM2607">
        <v>100</v>
      </c>
      <c r="AN2607">
        <v>2400</v>
      </c>
      <c r="AO2607" t="s">
        <v>118</v>
      </c>
      <c r="AP2607">
        <v>-3</v>
      </c>
      <c r="AQ2607">
        <v>-142</v>
      </c>
      <c r="AR2607">
        <v>-64</v>
      </c>
      <c r="AZ2607">
        <v>4552</v>
      </c>
      <c r="BA2607">
        <v>1</v>
      </c>
      <c r="BB2607" t="str">
        <f t="shared" si="909"/>
        <v xml:space="preserve">N607SR  </v>
      </c>
      <c r="BC2607">
        <v>1</v>
      </c>
      <c r="BE2607">
        <v>0</v>
      </c>
      <c r="BF2607">
        <v>0</v>
      </c>
      <c r="BG2607">
        <v>0</v>
      </c>
      <c r="BH2607">
        <v>2200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 t="shared" ref="BW2607:BW2612" si="939">"06:19:35.063"</f>
        <v>06:19:35.063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6</v>
      </c>
      <c r="CP2607" t="s">
        <v>119</v>
      </c>
      <c r="CQ2607">
        <v>465</v>
      </c>
      <c r="CR2607">
        <v>0</v>
      </c>
      <c r="CW2607">
        <v>4726896</v>
      </c>
      <c r="CY2607">
        <v>1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 t="shared" si="936"/>
        <v>08/29/2020 06:19:31.854</v>
      </c>
      <c r="C2608" t="str">
        <f t="shared" si="907"/>
        <v>FFDFD3C0</v>
      </c>
      <c r="D2608" t="s">
        <v>939</v>
      </c>
      <c r="E2608">
        <v>10</v>
      </c>
      <c r="H2608">
        <v>79</v>
      </c>
      <c r="I2608" t="s">
        <v>940</v>
      </c>
      <c r="J2608" t="s">
        <v>130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937"/>
        <v>06:19:35.063</v>
      </c>
      <c r="T2608" t="str">
        <f t="shared" si="938"/>
        <v>06:19:34.563</v>
      </c>
      <c r="U2608" t="str">
        <f t="shared" si="908"/>
        <v>A7E2E0</v>
      </c>
      <c r="V2608">
        <v>0</v>
      </c>
      <c r="W2608">
        <v>0</v>
      </c>
      <c r="X2608">
        <v>1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0</v>
      </c>
      <c r="AI2608" t="s">
        <v>1387</v>
      </c>
      <c r="AJ2608">
        <v>38.904262000000003</v>
      </c>
      <c r="AK2608" t="s">
        <v>1376</v>
      </c>
      <c r="AL2608">
        <v>-87.610838000000001</v>
      </c>
      <c r="AM2608">
        <v>100</v>
      </c>
      <c r="AN2608">
        <v>2400</v>
      </c>
      <c r="AO2608" t="s">
        <v>118</v>
      </c>
      <c r="AP2608">
        <v>-3</v>
      </c>
      <c r="AQ2608">
        <v>-142</v>
      </c>
      <c r="AR2608">
        <v>-64</v>
      </c>
      <c r="AZ2608">
        <v>4552</v>
      </c>
      <c r="BA2608">
        <v>1</v>
      </c>
      <c r="BB2608" t="str">
        <f t="shared" si="909"/>
        <v xml:space="preserve">N607SR  </v>
      </c>
      <c r="BC2608">
        <v>1</v>
      </c>
      <c r="BE2608">
        <v>0</v>
      </c>
      <c r="BF2608">
        <v>0</v>
      </c>
      <c r="BG2608">
        <v>0</v>
      </c>
      <c r="BH2608">
        <v>2200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 t="shared" si="939"/>
        <v>06:19:35.063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6</v>
      </c>
      <c r="CP2608" t="s">
        <v>119</v>
      </c>
      <c r="CQ2608">
        <v>465</v>
      </c>
      <c r="CR2608">
        <v>0</v>
      </c>
      <c r="CW2608">
        <v>4726896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 t="shared" si="936"/>
        <v>08/29/2020 06:19:31.854</v>
      </c>
      <c r="C2609" t="str">
        <f t="shared" si="907"/>
        <v>FFDFD3C0</v>
      </c>
      <c r="D2609" t="s">
        <v>128</v>
      </c>
      <c r="E2609">
        <v>5</v>
      </c>
      <c r="H2609">
        <v>241</v>
      </c>
      <c r="I2609" t="s">
        <v>129</v>
      </c>
      <c r="J2609" t="s">
        <v>130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937"/>
        <v>06:19:35.063</v>
      </c>
      <c r="T2609" t="str">
        <f t="shared" si="938"/>
        <v>06:19:34.563</v>
      </c>
      <c r="U2609" t="str">
        <f t="shared" si="908"/>
        <v>A7E2E0</v>
      </c>
      <c r="V2609">
        <v>0</v>
      </c>
      <c r="W2609">
        <v>0</v>
      </c>
      <c r="X2609">
        <v>1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0</v>
      </c>
      <c r="AI2609" t="s">
        <v>1387</v>
      </c>
      <c r="AJ2609">
        <v>38.904262000000003</v>
      </c>
      <c r="AK2609" t="s">
        <v>1376</v>
      </c>
      <c r="AL2609">
        <v>-87.610838000000001</v>
      </c>
      <c r="AM2609">
        <v>100</v>
      </c>
      <c r="AN2609">
        <v>2400</v>
      </c>
      <c r="AO2609" t="s">
        <v>118</v>
      </c>
      <c r="AP2609">
        <v>-3</v>
      </c>
      <c r="AQ2609">
        <v>-142</v>
      </c>
      <c r="AR2609">
        <v>-64</v>
      </c>
      <c r="AZ2609">
        <v>4552</v>
      </c>
      <c r="BA2609">
        <v>1</v>
      </c>
      <c r="BB2609" t="str">
        <f t="shared" si="909"/>
        <v xml:space="preserve">N607SR  </v>
      </c>
      <c r="BC2609">
        <v>1</v>
      </c>
      <c r="BE2609">
        <v>0</v>
      </c>
      <c r="BF2609">
        <v>0</v>
      </c>
      <c r="BG2609">
        <v>0</v>
      </c>
      <c r="BH2609">
        <v>2200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 t="shared" si="939"/>
        <v>06:19:35.063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6</v>
      </c>
      <c r="CP2609" t="s">
        <v>119</v>
      </c>
      <c r="CQ2609">
        <v>465</v>
      </c>
      <c r="CR2609">
        <v>0</v>
      </c>
      <c r="CW2609">
        <v>4726896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 t="shared" si="936"/>
        <v>08/29/2020 06:19:31.854</v>
      </c>
      <c r="C2610" t="str">
        <f t="shared" si="907"/>
        <v>FFDFD3C0</v>
      </c>
      <c r="D2610" t="s">
        <v>121</v>
      </c>
      <c r="E2610">
        <v>11</v>
      </c>
      <c r="F2610">
        <v>1011</v>
      </c>
      <c r="G2610" t="s">
        <v>125</v>
      </c>
      <c r="J2610" t="s">
        <v>123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937"/>
        <v>06:19:35.063</v>
      </c>
      <c r="T2610" t="str">
        <f t="shared" si="938"/>
        <v>06:19:34.563</v>
      </c>
      <c r="U2610" t="str">
        <f t="shared" si="908"/>
        <v>A7E2E0</v>
      </c>
      <c r="V2610">
        <v>0</v>
      </c>
      <c r="W2610">
        <v>0</v>
      </c>
      <c r="X2610">
        <v>1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0</v>
      </c>
      <c r="AI2610" t="s">
        <v>1387</v>
      </c>
      <c r="AJ2610">
        <v>38.904262000000003</v>
      </c>
      <c r="AK2610" t="s">
        <v>1376</v>
      </c>
      <c r="AL2610">
        <v>-87.610838000000001</v>
      </c>
      <c r="AM2610">
        <v>100</v>
      </c>
      <c r="AN2610">
        <v>2400</v>
      </c>
      <c r="AO2610" t="s">
        <v>118</v>
      </c>
      <c r="AP2610">
        <v>-3</v>
      </c>
      <c r="AQ2610">
        <v>-142</v>
      </c>
      <c r="AR2610">
        <v>-64</v>
      </c>
      <c r="AZ2610">
        <v>4552</v>
      </c>
      <c r="BA2610">
        <v>1</v>
      </c>
      <c r="BB2610" t="str">
        <f t="shared" si="909"/>
        <v xml:space="preserve">N607SR  </v>
      </c>
      <c r="BC2610">
        <v>1</v>
      </c>
      <c r="BE2610">
        <v>0</v>
      </c>
      <c r="BF2610">
        <v>0</v>
      </c>
      <c r="BG2610">
        <v>0</v>
      </c>
      <c r="BH2610">
        <v>2200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 t="shared" si="939"/>
        <v>06:19:35.063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5</v>
      </c>
      <c r="CP2610" t="s">
        <v>119</v>
      </c>
      <c r="CQ2610">
        <v>177</v>
      </c>
      <c r="CR2610">
        <v>2</v>
      </c>
      <c r="CW2610">
        <v>1676589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 t="shared" si="936"/>
        <v>08/29/2020 06:19:31.854</v>
      </c>
      <c r="C2611" t="str">
        <f t="shared" si="907"/>
        <v>FFDFD3C0</v>
      </c>
      <c r="D2611" t="s">
        <v>121</v>
      </c>
      <c r="E2611">
        <v>13</v>
      </c>
      <c r="F2611">
        <v>1013</v>
      </c>
      <c r="G2611" t="s">
        <v>122</v>
      </c>
      <c r="J2611" t="s">
        <v>123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937"/>
        <v>06:19:35.063</v>
      </c>
      <c r="T2611" t="str">
        <f t="shared" si="938"/>
        <v>06:19:34.563</v>
      </c>
      <c r="U2611" t="str">
        <f t="shared" si="908"/>
        <v>A7E2E0</v>
      </c>
      <c r="V2611">
        <v>0</v>
      </c>
      <c r="W2611">
        <v>0</v>
      </c>
      <c r="X2611">
        <v>1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0</v>
      </c>
      <c r="AI2611" t="s">
        <v>1387</v>
      </c>
      <c r="AJ2611">
        <v>38.904262000000003</v>
      </c>
      <c r="AK2611" t="s">
        <v>1376</v>
      </c>
      <c r="AL2611">
        <v>-87.610838000000001</v>
      </c>
      <c r="AM2611">
        <v>100</v>
      </c>
      <c r="AN2611">
        <v>2400</v>
      </c>
      <c r="AO2611" t="s">
        <v>118</v>
      </c>
      <c r="AP2611">
        <v>-3</v>
      </c>
      <c r="AQ2611">
        <v>-142</v>
      </c>
      <c r="AR2611">
        <v>-64</v>
      </c>
      <c r="AZ2611">
        <v>4552</v>
      </c>
      <c r="BA2611">
        <v>1</v>
      </c>
      <c r="BB2611" t="str">
        <f t="shared" si="909"/>
        <v xml:space="preserve">N607SR  </v>
      </c>
      <c r="BC2611">
        <v>1</v>
      </c>
      <c r="BE2611">
        <v>0</v>
      </c>
      <c r="BF2611">
        <v>0</v>
      </c>
      <c r="BG2611">
        <v>0</v>
      </c>
      <c r="BH2611">
        <v>2200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 t="shared" si="939"/>
        <v>06:19:35.063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6</v>
      </c>
      <c r="CP2611" t="s">
        <v>119</v>
      </c>
      <c r="CQ2611">
        <v>465</v>
      </c>
      <c r="CR2611">
        <v>0</v>
      </c>
      <c r="CW2611">
        <v>4726896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 t="shared" si="936"/>
        <v>08/29/2020 06:19:31.854</v>
      </c>
      <c r="C2612" t="str">
        <f t="shared" si="907"/>
        <v>FFDFD3C0</v>
      </c>
      <c r="D2612" t="s">
        <v>121</v>
      </c>
      <c r="E2612">
        <v>10</v>
      </c>
      <c r="F2612">
        <v>1010</v>
      </c>
      <c r="G2612" t="s">
        <v>114</v>
      </c>
      <c r="J2612" t="s">
        <v>123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937"/>
        <v>06:19:35.063</v>
      </c>
      <c r="T2612" t="str">
        <f t="shared" si="938"/>
        <v>06:19:34.563</v>
      </c>
      <c r="U2612" t="str">
        <f t="shared" si="908"/>
        <v>A7E2E0</v>
      </c>
      <c r="V2612">
        <v>0</v>
      </c>
      <c r="W2612">
        <v>0</v>
      </c>
      <c r="X2612">
        <v>1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0</v>
      </c>
      <c r="AI2612" t="s">
        <v>1387</v>
      </c>
      <c r="AJ2612">
        <v>38.904262000000003</v>
      </c>
      <c r="AK2612" t="s">
        <v>1376</v>
      </c>
      <c r="AL2612">
        <v>-87.610838000000001</v>
      </c>
      <c r="AM2612">
        <v>100</v>
      </c>
      <c r="AN2612">
        <v>2400</v>
      </c>
      <c r="AO2612" t="s">
        <v>118</v>
      </c>
      <c r="AP2612">
        <v>-3</v>
      </c>
      <c r="AQ2612">
        <v>-142</v>
      </c>
      <c r="AR2612">
        <v>-64</v>
      </c>
      <c r="AZ2612">
        <v>4552</v>
      </c>
      <c r="BA2612">
        <v>1</v>
      </c>
      <c r="BB2612" t="str">
        <f t="shared" si="909"/>
        <v xml:space="preserve">N607SR  </v>
      </c>
      <c r="BC2612">
        <v>1</v>
      </c>
      <c r="BE2612">
        <v>0</v>
      </c>
      <c r="BF2612">
        <v>0</v>
      </c>
      <c r="BG2612">
        <v>0</v>
      </c>
      <c r="BH2612">
        <v>2200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 t="shared" si="939"/>
        <v>06:19:35.063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6</v>
      </c>
      <c r="CP2612" t="s">
        <v>119</v>
      </c>
      <c r="CQ2612">
        <v>465</v>
      </c>
      <c r="CR2612">
        <v>0</v>
      </c>
      <c r="CW2612">
        <v>4726896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 t="shared" ref="A2613:A2618" si="940">"08/29/2020 06:19:32.813"</f>
        <v>08/29/2020 06:19:32.813</v>
      </c>
      <c r="C2613" t="str">
        <f t="shared" si="907"/>
        <v>FFDFD3C0</v>
      </c>
      <c r="D2613" t="s">
        <v>939</v>
      </c>
      <c r="E2613">
        <v>10</v>
      </c>
      <c r="H2613">
        <v>79</v>
      </c>
      <c r="I2613" t="s">
        <v>940</v>
      </c>
      <c r="J2613" t="s">
        <v>130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ref="S2613:S2618" si="941">"06:19:36.063"</f>
        <v>06:19:36.063</v>
      </c>
      <c r="T2613" t="str">
        <f t="shared" ref="T2613:T2618" si="942">"06:19:35.563"</f>
        <v>06:19:35.563</v>
      </c>
      <c r="U2613" t="str">
        <f t="shared" si="908"/>
        <v>A7E2E0</v>
      </c>
      <c r="V2613">
        <v>0</v>
      </c>
      <c r="W2613">
        <v>0</v>
      </c>
      <c r="X2613">
        <v>1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0</v>
      </c>
      <c r="AI2613" t="s">
        <v>1388</v>
      </c>
      <c r="AJ2613">
        <v>38.903574999999996</v>
      </c>
      <c r="AK2613" t="s">
        <v>1376</v>
      </c>
      <c r="AL2613">
        <v>-87.610838000000001</v>
      </c>
      <c r="AM2613">
        <v>100</v>
      </c>
      <c r="AN2613">
        <v>2400</v>
      </c>
      <c r="AO2613" t="s">
        <v>118</v>
      </c>
      <c r="AP2613">
        <v>-2</v>
      </c>
      <c r="AQ2613">
        <v>-142</v>
      </c>
      <c r="AR2613">
        <v>-64</v>
      </c>
      <c r="AZ2613">
        <v>4552</v>
      </c>
      <c r="BA2613">
        <v>1</v>
      </c>
      <c r="BB2613" t="str">
        <f t="shared" si="909"/>
        <v xml:space="preserve">N607SR  </v>
      </c>
      <c r="BC2613">
        <v>1</v>
      </c>
      <c r="BE2613">
        <v>0</v>
      </c>
      <c r="BF2613">
        <v>0</v>
      </c>
      <c r="BG2613">
        <v>0</v>
      </c>
      <c r="BH2613">
        <v>2200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 t="shared" ref="BW2613:BW2618" si="943">"06:19:36.068"</f>
        <v>06:19:36.068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6</v>
      </c>
      <c r="CP2613" t="s">
        <v>119</v>
      </c>
      <c r="CQ2613">
        <v>465</v>
      </c>
      <c r="CR2613">
        <v>0</v>
      </c>
      <c r="CW2613">
        <v>4726929</v>
      </c>
      <c r="CY2613">
        <v>1</v>
      </c>
      <c r="CZ2613">
        <v>0</v>
      </c>
      <c r="DA2613">
        <v>0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 t="shared" si="940"/>
        <v>08/29/2020 06:19:32.813</v>
      </c>
      <c r="C2614" t="str">
        <f t="shared" si="907"/>
        <v>FFDFD3C0</v>
      </c>
      <c r="D2614" t="s">
        <v>113</v>
      </c>
      <c r="E2614">
        <v>5</v>
      </c>
      <c r="H2614">
        <v>163</v>
      </c>
      <c r="I2614" t="s">
        <v>114</v>
      </c>
      <c r="J2614" t="s">
        <v>115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941"/>
        <v>06:19:36.063</v>
      </c>
      <c r="T2614" t="str">
        <f t="shared" si="942"/>
        <v>06:19:35.563</v>
      </c>
      <c r="U2614" t="str">
        <f t="shared" si="908"/>
        <v>A7E2E0</v>
      </c>
      <c r="V2614">
        <v>0</v>
      </c>
      <c r="W2614">
        <v>0</v>
      </c>
      <c r="X2614">
        <v>1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0</v>
      </c>
      <c r="AI2614" t="s">
        <v>1388</v>
      </c>
      <c r="AJ2614">
        <v>38.903574999999996</v>
      </c>
      <c r="AK2614" t="s">
        <v>1376</v>
      </c>
      <c r="AL2614">
        <v>-87.610838000000001</v>
      </c>
      <c r="AM2614">
        <v>100</v>
      </c>
      <c r="AN2614">
        <v>2400</v>
      </c>
      <c r="AO2614" t="s">
        <v>118</v>
      </c>
      <c r="AP2614">
        <v>-2</v>
      </c>
      <c r="AQ2614">
        <v>-142</v>
      </c>
      <c r="AR2614">
        <v>-64</v>
      </c>
      <c r="AZ2614">
        <v>4552</v>
      </c>
      <c r="BA2614">
        <v>1</v>
      </c>
      <c r="BB2614" t="str">
        <f t="shared" si="909"/>
        <v xml:space="preserve">N607SR  </v>
      </c>
      <c r="BC2614">
        <v>1</v>
      </c>
      <c r="BE2614">
        <v>0</v>
      </c>
      <c r="BF2614">
        <v>0</v>
      </c>
      <c r="BG2614">
        <v>0</v>
      </c>
      <c r="BH2614">
        <v>2200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 t="shared" si="943"/>
        <v>06:19:36.068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6</v>
      </c>
      <c r="CP2614" t="s">
        <v>119</v>
      </c>
      <c r="CQ2614">
        <v>465</v>
      </c>
      <c r="CR2614">
        <v>0</v>
      </c>
      <c r="CW2614">
        <v>4726929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 t="shared" si="940"/>
        <v>08/29/2020 06:19:32.813</v>
      </c>
      <c r="C2615" t="str">
        <f t="shared" si="907"/>
        <v>FFDFD3C0</v>
      </c>
      <c r="D2615" t="s">
        <v>128</v>
      </c>
      <c r="E2615">
        <v>5</v>
      </c>
      <c r="H2615">
        <v>241</v>
      </c>
      <c r="I2615" t="s">
        <v>129</v>
      </c>
      <c r="J2615" t="s">
        <v>130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941"/>
        <v>06:19:36.063</v>
      </c>
      <c r="T2615" t="str">
        <f t="shared" si="942"/>
        <v>06:19:35.563</v>
      </c>
      <c r="U2615" t="str">
        <f t="shared" si="908"/>
        <v>A7E2E0</v>
      </c>
      <c r="V2615">
        <v>0</v>
      </c>
      <c r="W2615">
        <v>0</v>
      </c>
      <c r="X2615">
        <v>1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0</v>
      </c>
      <c r="AI2615" t="s">
        <v>1388</v>
      </c>
      <c r="AJ2615">
        <v>38.903574999999996</v>
      </c>
      <c r="AK2615" t="s">
        <v>1376</v>
      </c>
      <c r="AL2615">
        <v>-87.610838000000001</v>
      </c>
      <c r="AM2615">
        <v>100</v>
      </c>
      <c r="AN2615">
        <v>2400</v>
      </c>
      <c r="AO2615" t="s">
        <v>118</v>
      </c>
      <c r="AP2615">
        <v>-2</v>
      </c>
      <c r="AQ2615">
        <v>-142</v>
      </c>
      <c r="AR2615">
        <v>-64</v>
      </c>
      <c r="AZ2615">
        <v>4552</v>
      </c>
      <c r="BA2615">
        <v>1</v>
      </c>
      <c r="BB2615" t="str">
        <f t="shared" si="909"/>
        <v xml:space="preserve">N607SR  </v>
      </c>
      <c r="BC2615">
        <v>1</v>
      </c>
      <c r="BE2615">
        <v>0</v>
      </c>
      <c r="BF2615">
        <v>0</v>
      </c>
      <c r="BG2615">
        <v>0</v>
      </c>
      <c r="BH2615">
        <v>2200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 t="shared" si="943"/>
        <v>06:19:36.068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6</v>
      </c>
      <c r="CP2615" t="s">
        <v>119</v>
      </c>
      <c r="CQ2615">
        <v>465</v>
      </c>
      <c r="CR2615">
        <v>0</v>
      </c>
      <c r="CW2615">
        <v>4726929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 t="shared" si="940"/>
        <v>08/29/2020 06:19:32.813</v>
      </c>
      <c r="C2616" t="str">
        <f t="shared" si="907"/>
        <v>FFDFD3C0</v>
      </c>
      <c r="D2616" t="s">
        <v>121</v>
      </c>
      <c r="E2616">
        <v>13</v>
      </c>
      <c r="F2616">
        <v>1013</v>
      </c>
      <c r="G2616" t="s">
        <v>122</v>
      </c>
      <c r="J2616" t="s">
        <v>123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941"/>
        <v>06:19:36.063</v>
      </c>
      <c r="T2616" t="str">
        <f t="shared" si="942"/>
        <v>06:19:35.563</v>
      </c>
      <c r="U2616" t="str">
        <f t="shared" si="908"/>
        <v>A7E2E0</v>
      </c>
      <c r="V2616">
        <v>0</v>
      </c>
      <c r="W2616">
        <v>0</v>
      </c>
      <c r="X2616">
        <v>1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0</v>
      </c>
      <c r="AI2616" t="s">
        <v>1388</v>
      </c>
      <c r="AJ2616">
        <v>38.903574999999996</v>
      </c>
      <c r="AK2616" t="s">
        <v>1376</v>
      </c>
      <c r="AL2616">
        <v>-87.610838000000001</v>
      </c>
      <c r="AM2616">
        <v>100</v>
      </c>
      <c r="AN2616">
        <v>2400</v>
      </c>
      <c r="AO2616" t="s">
        <v>118</v>
      </c>
      <c r="AP2616">
        <v>-2</v>
      </c>
      <c r="AQ2616">
        <v>-142</v>
      </c>
      <c r="AR2616">
        <v>-64</v>
      </c>
      <c r="AZ2616">
        <v>4552</v>
      </c>
      <c r="BA2616">
        <v>1</v>
      </c>
      <c r="BB2616" t="str">
        <f t="shared" si="909"/>
        <v xml:space="preserve">N607SR  </v>
      </c>
      <c r="BC2616">
        <v>1</v>
      </c>
      <c r="BE2616">
        <v>0</v>
      </c>
      <c r="BF2616">
        <v>0</v>
      </c>
      <c r="BG2616">
        <v>0</v>
      </c>
      <c r="BH2616">
        <v>2200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 t="shared" si="943"/>
        <v>06:19:36.068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6</v>
      </c>
      <c r="CP2616" t="s">
        <v>119</v>
      </c>
      <c r="CQ2616">
        <v>465</v>
      </c>
      <c r="CR2616">
        <v>0</v>
      </c>
      <c r="CW2616">
        <v>4726929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 t="shared" si="940"/>
        <v>08/29/2020 06:19:32.813</v>
      </c>
      <c r="C2617" t="str">
        <f t="shared" si="907"/>
        <v>FFDFD3C0</v>
      </c>
      <c r="D2617" t="s">
        <v>121</v>
      </c>
      <c r="E2617">
        <v>11</v>
      </c>
      <c r="F2617">
        <v>1011</v>
      </c>
      <c r="G2617" t="s">
        <v>125</v>
      </c>
      <c r="J2617" t="s">
        <v>123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941"/>
        <v>06:19:36.063</v>
      </c>
      <c r="T2617" t="str">
        <f t="shared" si="942"/>
        <v>06:19:35.563</v>
      </c>
      <c r="U2617" t="str">
        <f t="shared" si="908"/>
        <v>A7E2E0</v>
      </c>
      <c r="V2617">
        <v>0</v>
      </c>
      <c r="W2617">
        <v>0</v>
      </c>
      <c r="X2617">
        <v>1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0</v>
      </c>
      <c r="AI2617" t="s">
        <v>1388</v>
      </c>
      <c r="AJ2617">
        <v>38.903574999999996</v>
      </c>
      <c r="AK2617" t="s">
        <v>1376</v>
      </c>
      <c r="AL2617">
        <v>-87.610838000000001</v>
      </c>
      <c r="AM2617">
        <v>100</v>
      </c>
      <c r="AN2617">
        <v>2400</v>
      </c>
      <c r="AO2617" t="s">
        <v>118</v>
      </c>
      <c r="AP2617">
        <v>-2</v>
      </c>
      <c r="AQ2617">
        <v>-142</v>
      </c>
      <c r="AR2617">
        <v>-64</v>
      </c>
      <c r="AZ2617">
        <v>4552</v>
      </c>
      <c r="BA2617">
        <v>1</v>
      </c>
      <c r="BB2617" t="str">
        <f t="shared" si="909"/>
        <v xml:space="preserve">N607SR  </v>
      </c>
      <c r="BC2617">
        <v>1</v>
      </c>
      <c r="BE2617">
        <v>0</v>
      </c>
      <c r="BF2617">
        <v>0</v>
      </c>
      <c r="BG2617">
        <v>0</v>
      </c>
      <c r="BH2617">
        <v>2200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 t="shared" si="943"/>
        <v>06:19:36.068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5</v>
      </c>
      <c r="CP2617" t="s">
        <v>119</v>
      </c>
      <c r="CQ2617">
        <v>177</v>
      </c>
      <c r="CR2617">
        <v>2</v>
      </c>
      <c r="CW2617">
        <v>1676752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 t="shared" si="940"/>
        <v>08/29/2020 06:19:32.813</v>
      </c>
      <c r="C2618" t="str">
        <f t="shared" si="907"/>
        <v>FFDFD3C0</v>
      </c>
      <c r="D2618" t="s">
        <v>121</v>
      </c>
      <c r="E2618">
        <v>10</v>
      </c>
      <c r="F2618">
        <v>1010</v>
      </c>
      <c r="G2618" t="s">
        <v>114</v>
      </c>
      <c r="J2618" t="s">
        <v>123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941"/>
        <v>06:19:36.063</v>
      </c>
      <c r="T2618" t="str">
        <f t="shared" si="942"/>
        <v>06:19:35.563</v>
      </c>
      <c r="U2618" t="str">
        <f t="shared" si="908"/>
        <v>A7E2E0</v>
      </c>
      <c r="V2618">
        <v>0</v>
      </c>
      <c r="W2618">
        <v>0</v>
      </c>
      <c r="X2618">
        <v>1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0</v>
      </c>
      <c r="AI2618" t="s">
        <v>1388</v>
      </c>
      <c r="AJ2618">
        <v>38.903574999999996</v>
      </c>
      <c r="AK2618" t="s">
        <v>1376</v>
      </c>
      <c r="AL2618">
        <v>-87.610838000000001</v>
      </c>
      <c r="AM2618">
        <v>100</v>
      </c>
      <c r="AN2618">
        <v>2400</v>
      </c>
      <c r="AO2618" t="s">
        <v>118</v>
      </c>
      <c r="AP2618">
        <v>-2</v>
      </c>
      <c r="AQ2618">
        <v>-142</v>
      </c>
      <c r="AR2618">
        <v>-64</v>
      </c>
      <c r="AZ2618">
        <v>4552</v>
      </c>
      <c r="BA2618">
        <v>1</v>
      </c>
      <c r="BB2618" t="str">
        <f t="shared" si="909"/>
        <v xml:space="preserve">N607SR  </v>
      </c>
      <c r="BC2618">
        <v>1</v>
      </c>
      <c r="BE2618">
        <v>0</v>
      </c>
      <c r="BF2618">
        <v>0</v>
      </c>
      <c r="BG2618">
        <v>0</v>
      </c>
      <c r="BH2618">
        <v>2200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 t="shared" si="943"/>
        <v>06:19:36.068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6</v>
      </c>
      <c r="CP2618" t="s">
        <v>119</v>
      </c>
      <c r="CQ2618">
        <v>465</v>
      </c>
      <c r="CR2618">
        <v>0</v>
      </c>
      <c r="CW2618">
        <v>4726929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 t="shared" ref="A2619:A2624" si="944">"08/29/2020 06:19:33.931"</f>
        <v>08/29/2020 06:19:33.931</v>
      </c>
      <c r="C2619" t="str">
        <f t="shared" si="907"/>
        <v>FFDFD3C0</v>
      </c>
      <c r="D2619" t="s">
        <v>113</v>
      </c>
      <c r="E2619">
        <v>5</v>
      </c>
      <c r="H2619">
        <v>163</v>
      </c>
      <c r="I2619" t="s">
        <v>114</v>
      </c>
      <c r="J2619" t="s">
        <v>115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ref="S2619:S2624" si="945">"06:19:37.141"</f>
        <v>06:19:37.141</v>
      </c>
      <c r="T2619" t="str">
        <f t="shared" ref="T2619:T2624" si="946">"06:19:36.641"</f>
        <v>06:19:36.641</v>
      </c>
      <c r="U2619" t="str">
        <f t="shared" si="908"/>
        <v>A7E2E0</v>
      </c>
      <c r="V2619">
        <v>0</v>
      </c>
      <c r="W2619">
        <v>0</v>
      </c>
      <c r="X2619">
        <v>1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0</v>
      </c>
      <c r="AI2619" t="s">
        <v>1389</v>
      </c>
      <c r="AJ2619">
        <v>38.902867000000001</v>
      </c>
      <c r="AK2619" t="s">
        <v>1376</v>
      </c>
      <c r="AL2619">
        <v>-87.610838000000001</v>
      </c>
      <c r="AM2619">
        <v>100</v>
      </c>
      <c r="AN2619">
        <v>2400</v>
      </c>
      <c r="AO2619" t="s">
        <v>118</v>
      </c>
      <c r="AP2619">
        <v>-2</v>
      </c>
      <c r="AQ2619">
        <v>-142</v>
      </c>
      <c r="AR2619">
        <v>-128</v>
      </c>
      <c r="AZ2619">
        <v>4552</v>
      </c>
      <c r="BA2619">
        <v>1</v>
      </c>
      <c r="BB2619" t="str">
        <f t="shared" si="909"/>
        <v xml:space="preserve">N607SR  </v>
      </c>
      <c r="BC2619">
        <v>1</v>
      </c>
      <c r="BE2619">
        <v>0</v>
      </c>
      <c r="BF2619">
        <v>0</v>
      </c>
      <c r="BG2619">
        <v>0</v>
      </c>
      <c r="BH2619">
        <v>2200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 t="shared" ref="BW2619:BW2624" si="947">"06:19:37.147"</f>
        <v>06:19:37.147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6</v>
      </c>
      <c r="CP2619" t="s">
        <v>119</v>
      </c>
      <c r="CQ2619">
        <v>465</v>
      </c>
      <c r="CR2619">
        <v>0</v>
      </c>
      <c r="CW2619">
        <v>4726959</v>
      </c>
      <c r="CY2619">
        <v>1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 t="shared" si="944"/>
        <v>08/29/2020 06:19:33.931</v>
      </c>
      <c r="C2620" t="str">
        <f t="shared" si="907"/>
        <v>FFDFD3C0</v>
      </c>
      <c r="D2620" t="s">
        <v>128</v>
      </c>
      <c r="E2620">
        <v>5</v>
      </c>
      <c r="H2620">
        <v>241</v>
      </c>
      <c r="I2620" t="s">
        <v>129</v>
      </c>
      <c r="J2620" t="s">
        <v>130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945"/>
        <v>06:19:37.141</v>
      </c>
      <c r="T2620" t="str">
        <f t="shared" si="946"/>
        <v>06:19:36.641</v>
      </c>
      <c r="U2620" t="str">
        <f t="shared" si="908"/>
        <v>A7E2E0</v>
      </c>
      <c r="V2620">
        <v>0</v>
      </c>
      <c r="W2620">
        <v>0</v>
      </c>
      <c r="X2620">
        <v>1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0</v>
      </c>
      <c r="AI2620" t="s">
        <v>1389</v>
      </c>
      <c r="AJ2620">
        <v>38.902867000000001</v>
      </c>
      <c r="AK2620" t="s">
        <v>1376</v>
      </c>
      <c r="AL2620">
        <v>-87.610838000000001</v>
      </c>
      <c r="AM2620">
        <v>100</v>
      </c>
      <c r="AN2620">
        <v>2400</v>
      </c>
      <c r="AO2620" t="s">
        <v>118</v>
      </c>
      <c r="AP2620">
        <v>-2</v>
      </c>
      <c r="AQ2620">
        <v>-142</v>
      </c>
      <c r="AR2620">
        <v>-128</v>
      </c>
      <c r="AZ2620">
        <v>4552</v>
      </c>
      <c r="BA2620">
        <v>1</v>
      </c>
      <c r="BB2620" t="str">
        <f t="shared" si="909"/>
        <v xml:space="preserve">N607SR  </v>
      </c>
      <c r="BC2620">
        <v>1</v>
      </c>
      <c r="BE2620">
        <v>0</v>
      </c>
      <c r="BF2620">
        <v>0</v>
      </c>
      <c r="BG2620">
        <v>0</v>
      </c>
      <c r="BH2620">
        <v>2200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 t="shared" si="947"/>
        <v>06:19:37.147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6</v>
      </c>
      <c r="CP2620" t="s">
        <v>119</v>
      </c>
      <c r="CQ2620">
        <v>465</v>
      </c>
      <c r="CR2620">
        <v>0</v>
      </c>
      <c r="CW2620">
        <v>4726959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 t="shared" si="944"/>
        <v>08/29/2020 06:19:33.931</v>
      </c>
      <c r="C2621" t="str">
        <f t="shared" si="907"/>
        <v>FFDFD3C0</v>
      </c>
      <c r="D2621" t="s">
        <v>121</v>
      </c>
      <c r="E2621">
        <v>13</v>
      </c>
      <c r="F2621">
        <v>1013</v>
      </c>
      <c r="G2621" t="s">
        <v>122</v>
      </c>
      <c r="J2621" t="s">
        <v>123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si="945"/>
        <v>06:19:37.141</v>
      </c>
      <c r="T2621" t="str">
        <f t="shared" si="946"/>
        <v>06:19:36.641</v>
      </c>
      <c r="U2621" t="str">
        <f t="shared" si="908"/>
        <v>A7E2E0</v>
      </c>
      <c r="V2621">
        <v>0</v>
      </c>
      <c r="W2621">
        <v>0</v>
      </c>
      <c r="X2621">
        <v>1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0</v>
      </c>
      <c r="AI2621" t="s">
        <v>1389</v>
      </c>
      <c r="AJ2621">
        <v>38.902867000000001</v>
      </c>
      <c r="AK2621" t="s">
        <v>1376</v>
      </c>
      <c r="AL2621">
        <v>-87.610838000000001</v>
      </c>
      <c r="AM2621">
        <v>100</v>
      </c>
      <c r="AN2621">
        <v>2400</v>
      </c>
      <c r="AO2621" t="s">
        <v>118</v>
      </c>
      <c r="AP2621">
        <v>-2</v>
      </c>
      <c r="AQ2621">
        <v>-142</v>
      </c>
      <c r="AR2621">
        <v>-128</v>
      </c>
      <c r="AZ2621">
        <v>4552</v>
      </c>
      <c r="BA2621">
        <v>1</v>
      </c>
      <c r="BB2621" t="str">
        <f t="shared" si="909"/>
        <v xml:space="preserve">N607SR  </v>
      </c>
      <c r="BC2621">
        <v>1</v>
      </c>
      <c r="BE2621">
        <v>0</v>
      </c>
      <c r="BF2621">
        <v>0</v>
      </c>
      <c r="BG2621">
        <v>0</v>
      </c>
      <c r="BH2621">
        <v>2200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 t="shared" si="947"/>
        <v>06:19:37.147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6</v>
      </c>
      <c r="CP2621" t="s">
        <v>119</v>
      </c>
      <c r="CQ2621">
        <v>465</v>
      </c>
      <c r="CR2621">
        <v>0</v>
      </c>
      <c r="CW2621">
        <v>4726959</v>
      </c>
      <c r="CY2621">
        <v>1</v>
      </c>
      <c r="CZ2621">
        <v>0</v>
      </c>
      <c r="DA2621">
        <v>1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 t="shared" si="944"/>
        <v>08/29/2020 06:19:33.931</v>
      </c>
      <c r="C2622" t="str">
        <f t="shared" si="907"/>
        <v>FFDFD3C0</v>
      </c>
      <c r="D2622" t="s">
        <v>121</v>
      </c>
      <c r="E2622">
        <v>11</v>
      </c>
      <c r="F2622">
        <v>1011</v>
      </c>
      <c r="G2622" t="s">
        <v>125</v>
      </c>
      <c r="J2622" t="s">
        <v>123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945"/>
        <v>06:19:37.141</v>
      </c>
      <c r="T2622" t="str">
        <f t="shared" si="946"/>
        <v>06:19:36.641</v>
      </c>
      <c r="U2622" t="str">
        <f t="shared" si="908"/>
        <v>A7E2E0</v>
      </c>
      <c r="V2622">
        <v>0</v>
      </c>
      <c r="W2622">
        <v>0</v>
      </c>
      <c r="X2622">
        <v>1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0</v>
      </c>
      <c r="AI2622" t="s">
        <v>1389</v>
      </c>
      <c r="AJ2622">
        <v>38.902867000000001</v>
      </c>
      <c r="AK2622" t="s">
        <v>1376</v>
      </c>
      <c r="AL2622">
        <v>-87.610838000000001</v>
      </c>
      <c r="AM2622">
        <v>100</v>
      </c>
      <c r="AN2622">
        <v>2400</v>
      </c>
      <c r="AO2622" t="s">
        <v>118</v>
      </c>
      <c r="AP2622">
        <v>-2</v>
      </c>
      <c r="AQ2622">
        <v>-142</v>
      </c>
      <c r="AR2622">
        <v>-128</v>
      </c>
      <c r="AZ2622">
        <v>4552</v>
      </c>
      <c r="BA2622">
        <v>1</v>
      </c>
      <c r="BB2622" t="str">
        <f t="shared" si="909"/>
        <v xml:space="preserve">N607SR  </v>
      </c>
      <c r="BC2622">
        <v>1</v>
      </c>
      <c r="BE2622">
        <v>0</v>
      </c>
      <c r="BF2622">
        <v>0</v>
      </c>
      <c r="BG2622">
        <v>0</v>
      </c>
      <c r="BH2622">
        <v>2200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 t="shared" si="947"/>
        <v>06:19:37.147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5</v>
      </c>
      <c r="CP2622" t="s">
        <v>119</v>
      </c>
      <c r="CQ2622">
        <v>177</v>
      </c>
      <c r="CR2622">
        <v>2</v>
      </c>
      <c r="CW2622">
        <v>1676911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 t="shared" si="944"/>
        <v>08/29/2020 06:19:33.931</v>
      </c>
      <c r="C2623" t="str">
        <f t="shared" si="907"/>
        <v>FFDFD3C0</v>
      </c>
      <c r="D2623" t="s">
        <v>121</v>
      </c>
      <c r="E2623">
        <v>10</v>
      </c>
      <c r="F2623">
        <v>1010</v>
      </c>
      <c r="G2623" t="s">
        <v>114</v>
      </c>
      <c r="J2623" t="s">
        <v>123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945"/>
        <v>06:19:37.141</v>
      </c>
      <c r="T2623" t="str">
        <f t="shared" si="946"/>
        <v>06:19:36.641</v>
      </c>
      <c r="U2623" t="str">
        <f t="shared" si="908"/>
        <v>A7E2E0</v>
      </c>
      <c r="V2623">
        <v>0</v>
      </c>
      <c r="W2623">
        <v>0</v>
      </c>
      <c r="X2623">
        <v>1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0</v>
      </c>
      <c r="AI2623" t="s">
        <v>1389</v>
      </c>
      <c r="AJ2623">
        <v>38.902867000000001</v>
      </c>
      <c r="AK2623" t="s">
        <v>1376</v>
      </c>
      <c r="AL2623">
        <v>-87.610838000000001</v>
      </c>
      <c r="AM2623">
        <v>100</v>
      </c>
      <c r="AN2623">
        <v>2400</v>
      </c>
      <c r="AO2623" t="s">
        <v>118</v>
      </c>
      <c r="AP2623">
        <v>-2</v>
      </c>
      <c r="AQ2623">
        <v>-142</v>
      </c>
      <c r="AR2623">
        <v>-128</v>
      </c>
      <c r="AZ2623">
        <v>4552</v>
      </c>
      <c r="BA2623">
        <v>1</v>
      </c>
      <c r="BB2623" t="str">
        <f t="shared" si="909"/>
        <v xml:space="preserve">N607SR  </v>
      </c>
      <c r="BC2623">
        <v>1</v>
      </c>
      <c r="BE2623">
        <v>0</v>
      </c>
      <c r="BF2623">
        <v>0</v>
      </c>
      <c r="BG2623">
        <v>0</v>
      </c>
      <c r="BH2623">
        <v>2200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 t="shared" si="947"/>
        <v>06:19:37.147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6</v>
      </c>
      <c r="CP2623" t="s">
        <v>119</v>
      </c>
      <c r="CQ2623">
        <v>465</v>
      </c>
      <c r="CR2623">
        <v>0</v>
      </c>
      <c r="CW2623">
        <v>4726959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 t="shared" si="944"/>
        <v>08/29/2020 06:19:33.931</v>
      </c>
      <c r="C2624" t="str">
        <f t="shared" si="907"/>
        <v>FFDFD3C0</v>
      </c>
      <c r="D2624" t="s">
        <v>939</v>
      </c>
      <c r="E2624">
        <v>10</v>
      </c>
      <c r="H2624">
        <v>79</v>
      </c>
      <c r="I2624" t="s">
        <v>940</v>
      </c>
      <c r="J2624" t="s">
        <v>130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945"/>
        <v>06:19:37.141</v>
      </c>
      <c r="T2624" t="str">
        <f t="shared" si="946"/>
        <v>06:19:36.641</v>
      </c>
      <c r="U2624" t="str">
        <f t="shared" si="908"/>
        <v>A7E2E0</v>
      </c>
      <c r="V2624">
        <v>0</v>
      </c>
      <c r="W2624">
        <v>0</v>
      </c>
      <c r="X2624">
        <v>1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0</v>
      </c>
      <c r="AI2624" t="s">
        <v>1389</v>
      </c>
      <c r="AJ2624">
        <v>38.902867000000001</v>
      </c>
      <c r="AK2624" t="s">
        <v>1376</v>
      </c>
      <c r="AL2624">
        <v>-87.610838000000001</v>
      </c>
      <c r="AM2624">
        <v>100</v>
      </c>
      <c r="AN2624">
        <v>2400</v>
      </c>
      <c r="AO2624" t="s">
        <v>118</v>
      </c>
      <c r="AP2624">
        <v>-2</v>
      </c>
      <c r="AQ2624">
        <v>-142</v>
      </c>
      <c r="AR2624">
        <v>-128</v>
      </c>
      <c r="AZ2624">
        <v>4552</v>
      </c>
      <c r="BA2624">
        <v>1</v>
      </c>
      <c r="BB2624" t="str">
        <f t="shared" si="909"/>
        <v xml:space="preserve">N607SR  </v>
      </c>
      <c r="BC2624">
        <v>1</v>
      </c>
      <c r="BE2624">
        <v>0</v>
      </c>
      <c r="BF2624">
        <v>0</v>
      </c>
      <c r="BG2624">
        <v>0</v>
      </c>
      <c r="BH2624">
        <v>2200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 t="shared" si="947"/>
        <v>06:19:37.147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6</v>
      </c>
      <c r="CP2624" t="s">
        <v>119</v>
      </c>
      <c r="CQ2624">
        <v>465</v>
      </c>
      <c r="CR2624">
        <v>0</v>
      </c>
      <c r="CW2624">
        <v>4726959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 t="shared" ref="A2625:A2630" si="948">"08/29/2020 06:19:34.940"</f>
        <v>08/29/2020 06:19:34.940</v>
      </c>
      <c r="C2625" t="str">
        <f t="shared" si="907"/>
        <v>FFDFD3C0</v>
      </c>
      <c r="D2625" t="s">
        <v>113</v>
      </c>
      <c r="E2625">
        <v>5</v>
      </c>
      <c r="H2625">
        <v>163</v>
      </c>
      <c r="I2625" t="s">
        <v>114</v>
      </c>
      <c r="J2625" t="s">
        <v>115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ref="S2625:S2630" si="949">"06:19:38.148"</f>
        <v>06:19:38.148</v>
      </c>
      <c r="T2625" t="str">
        <f t="shared" ref="T2625:T2630" si="950">"06:19:37.648"</f>
        <v>06:19:37.648</v>
      </c>
      <c r="U2625" t="str">
        <f t="shared" si="908"/>
        <v>A7E2E0</v>
      </c>
      <c r="V2625">
        <v>0</v>
      </c>
      <c r="W2625">
        <v>0</v>
      </c>
      <c r="X2625">
        <v>1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0</v>
      </c>
      <c r="AI2625" t="s">
        <v>1390</v>
      </c>
      <c r="AJ2625">
        <v>38.902222999999999</v>
      </c>
      <c r="AK2625" t="s">
        <v>1376</v>
      </c>
      <c r="AL2625">
        <v>-87.610838000000001</v>
      </c>
      <c r="AM2625">
        <v>100</v>
      </c>
      <c r="AN2625">
        <v>2400</v>
      </c>
      <c r="AO2625" t="s">
        <v>118</v>
      </c>
      <c r="AP2625">
        <v>-1</v>
      </c>
      <c r="AQ2625">
        <v>-142</v>
      </c>
      <c r="AR2625">
        <v>-192</v>
      </c>
      <c r="AZ2625">
        <v>4552</v>
      </c>
      <c r="BA2625">
        <v>1</v>
      </c>
      <c r="BB2625" t="str">
        <f t="shared" si="909"/>
        <v xml:space="preserve">N607SR  </v>
      </c>
      <c r="BC2625">
        <v>1</v>
      </c>
      <c r="BE2625">
        <v>0</v>
      </c>
      <c r="BF2625">
        <v>0</v>
      </c>
      <c r="BG2625">
        <v>0</v>
      </c>
      <c r="BH2625">
        <v>2175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 t="shared" ref="BW2625:BW2630" si="951">"06:19:38.155"</f>
        <v>06:19:38.155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6</v>
      </c>
      <c r="CP2625" t="s">
        <v>119</v>
      </c>
      <c r="CQ2625">
        <v>465</v>
      </c>
      <c r="CR2625">
        <v>0</v>
      </c>
      <c r="CW2625">
        <v>4726992</v>
      </c>
      <c r="CY2625">
        <v>1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 t="shared" si="948"/>
        <v>08/29/2020 06:19:34.940</v>
      </c>
      <c r="C2626" t="str">
        <f t="shared" ref="C2626:C2689" si="952">"FFDFD3C0"</f>
        <v>FFDFD3C0</v>
      </c>
      <c r="D2626" t="s">
        <v>128</v>
      </c>
      <c r="E2626">
        <v>5</v>
      </c>
      <c r="H2626">
        <v>241</v>
      </c>
      <c r="I2626" t="s">
        <v>129</v>
      </c>
      <c r="J2626" t="s">
        <v>130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949"/>
        <v>06:19:38.148</v>
      </c>
      <c r="T2626" t="str">
        <f t="shared" si="950"/>
        <v>06:19:37.648</v>
      </c>
      <c r="U2626" t="str">
        <f t="shared" ref="U2626:U2689" si="953">"A7E2E0"</f>
        <v>A7E2E0</v>
      </c>
      <c r="V2626">
        <v>0</v>
      </c>
      <c r="W2626">
        <v>0</v>
      </c>
      <c r="X2626">
        <v>1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0</v>
      </c>
      <c r="AI2626" t="s">
        <v>1390</v>
      </c>
      <c r="AJ2626">
        <v>38.902222999999999</v>
      </c>
      <c r="AK2626" t="s">
        <v>1376</v>
      </c>
      <c r="AL2626">
        <v>-87.610838000000001</v>
      </c>
      <c r="AM2626">
        <v>100</v>
      </c>
      <c r="AN2626">
        <v>2400</v>
      </c>
      <c r="AO2626" t="s">
        <v>118</v>
      </c>
      <c r="AP2626">
        <v>-1</v>
      </c>
      <c r="AQ2626">
        <v>-142</v>
      </c>
      <c r="AR2626">
        <v>-192</v>
      </c>
      <c r="AZ2626">
        <v>4552</v>
      </c>
      <c r="BA2626">
        <v>1</v>
      </c>
      <c r="BB2626" t="str">
        <f t="shared" ref="BB2626:BB2689" si="954">"N607SR  "</f>
        <v xml:space="preserve">N607SR  </v>
      </c>
      <c r="BC2626">
        <v>1</v>
      </c>
      <c r="BE2626">
        <v>0</v>
      </c>
      <c r="BF2626">
        <v>0</v>
      </c>
      <c r="BG2626">
        <v>0</v>
      </c>
      <c r="BH2626">
        <v>2175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 t="shared" si="951"/>
        <v>06:19:38.155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6</v>
      </c>
      <c r="CP2626" t="s">
        <v>119</v>
      </c>
      <c r="CQ2626">
        <v>465</v>
      </c>
      <c r="CR2626">
        <v>0</v>
      </c>
      <c r="CW2626">
        <v>4726992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 t="shared" si="948"/>
        <v>08/29/2020 06:19:34.940</v>
      </c>
      <c r="C2627" t="str">
        <f t="shared" si="952"/>
        <v>FFDFD3C0</v>
      </c>
      <c r="D2627" t="s">
        <v>121</v>
      </c>
      <c r="E2627">
        <v>13</v>
      </c>
      <c r="F2627">
        <v>1013</v>
      </c>
      <c r="G2627" t="s">
        <v>122</v>
      </c>
      <c r="J2627" t="s">
        <v>123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949"/>
        <v>06:19:38.148</v>
      </c>
      <c r="T2627" t="str">
        <f t="shared" si="950"/>
        <v>06:19:37.648</v>
      </c>
      <c r="U2627" t="str">
        <f t="shared" si="953"/>
        <v>A7E2E0</v>
      </c>
      <c r="V2627">
        <v>0</v>
      </c>
      <c r="W2627">
        <v>0</v>
      </c>
      <c r="X2627">
        <v>1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0</v>
      </c>
      <c r="AI2627" t="s">
        <v>1390</v>
      </c>
      <c r="AJ2627">
        <v>38.902222999999999</v>
      </c>
      <c r="AK2627" t="s">
        <v>1376</v>
      </c>
      <c r="AL2627">
        <v>-87.610838000000001</v>
      </c>
      <c r="AM2627">
        <v>100</v>
      </c>
      <c r="AN2627">
        <v>2400</v>
      </c>
      <c r="AO2627" t="s">
        <v>118</v>
      </c>
      <c r="AP2627">
        <v>-1</v>
      </c>
      <c r="AQ2627">
        <v>-142</v>
      </c>
      <c r="AR2627">
        <v>-192</v>
      </c>
      <c r="AZ2627">
        <v>4552</v>
      </c>
      <c r="BA2627">
        <v>1</v>
      </c>
      <c r="BB2627" t="str">
        <f t="shared" si="954"/>
        <v xml:space="preserve">N607SR  </v>
      </c>
      <c r="BC2627">
        <v>1</v>
      </c>
      <c r="BE2627">
        <v>0</v>
      </c>
      <c r="BF2627">
        <v>0</v>
      </c>
      <c r="BG2627">
        <v>0</v>
      </c>
      <c r="BH2627">
        <v>2175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 t="shared" si="951"/>
        <v>06:19:38.155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6</v>
      </c>
      <c r="CP2627" t="s">
        <v>119</v>
      </c>
      <c r="CQ2627">
        <v>465</v>
      </c>
      <c r="CR2627">
        <v>0</v>
      </c>
      <c r="CW2627">
        <v>4726992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 t="shared" si="948"/>
        <v>08/29/2020 06:19:34.940</v>
      </c>
      <c r="C2628" t="str">
        <f t="shared" si="952"/>
        <v>FFDFD3C0</v>
      </c>
      <c r="D2628" t="s">
        <v>121</v>
      </c>
      <c r="E2628">
        <v>11</v>
      </c>
      <c r="F2628">
        <v>1011</v>
      </c>
      <c r="G2628" t="s">
        <v>125</v>
      </c>
      <c r="J2628" t="s">
        <v>123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949"/>
        <v>06:19:38.148</v>
      </c>
      <c r="T2628" t="str">
        <f t="shared" si="950"/>
        <v>06:19:37.648</v>
      </c>
      <c r="U2628" t="str">
        <f t="shared" si="953"/>
        <v>A7E2E0</v>
      </c>
      <c r="V2628">
        <v>0</v>
      </c>
      <c r="W2628">
        <v>0</v>
      </c>
      <c r="X2628">
        <v>1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0</v>
      </c>
      <c r="AI2628" t="s">
        <v>1390</v>
      </c>
      <c r="AJ2628">
        <v>38.902222999999999</v>
      </c>
      <c r="AK2628" t="s">
        <v>1376</v>
      </c>
      <c r="AL2628">
        <v>-87.610838000000001</v>
      </c>
      <c r="AM2628">
        <v>100</v>
      </c>
      <c r="AN2628">
        <v>2400</v>
      </c>
      <c r="AO2628" t="s">
        <v>118</v>
      </c>
      <c r="AP2628">
        <v>-1</v>
      </c>
      <c r="AQ2628">
        <v>-142</v>
      </c>
      <c r="AR2628">
        <v>-192</v>
      </c>
      <c r="AZ2628">
        <v>4552</v>
      </c>
      <c r="BA2628">
        <v>1</v>
      </c>
      <c r="BB2628" t="str">
        <f t="shared" si="954"/>
        <v xml:space="preserve">N607SR  </v>
      </c>
      <c r="BC2628">
        <v>1</v>
      </c>
      <c r="BE2628">
        <v>0</v>
      </c>
      <c r="BF2628">
        <v>0</v>
      </c>
      <c r="BG2628">
        <v>0</v>
      </c>
      <c r="BH2628">
        <v>2175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 t="shared" si="951"/>
        <v>06:19:38.155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5</v>
      </c>
      <c r="CP2628" t="s">
        <v>119</v>
      </c>
      <c r="CQ2628">
        <v>177</v>
      </c>
      <c r="CR2628">
        <v>2</v>
      </c>
      <c r="CW2628">
        <v>1677072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 t="shared" si="948"/>
        <v>08/29/2020 06:19:34.940</v>
      </c>
      <c r="C2629" t="str">
        <f t="shared" si="952"/>
        <v>FFDFD3C0</v>
      </c>
      <c r="D2629" t="s">
        <v>121</v>
      </c>
      <c r="E2629">
        <v>10</v>
      </c>
      <c r="F2629">
        <v>1010</v>
      </c>
      <c r="G2629" t="s">
        <v>114</v>
      </c>
      <c r="J2629" t="s">
        <v>123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949"/>
        <v>06:19:38.148</v>
      </c>
      <c r="T2629" t="str">
        <f t="shared" si="950"/>
        <v>06:19:37.648</v>
      </c>
      <c r="U2629" t="str">
        <f t="shared" si="953"/>
        <v>A7E2E0</v>
      </c>
      <c r="V2629">
        <v>0</v>
      </c>
      <c r="W2629">
        <v>0</v>
      </c>
      <c r="X2629">
        <v>1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0</v>
      </c>
      <c r="AI2629" t="s">
        <v>1390</v>
      </c>
      <c r="AJ2629">
        <v>38.902222999999999</v>
      </c>
      <c r="AK2629" t="s">
        <v>1376</v>
      </c>
      <c r="AL2629">
        <v>-87.610838000000001</v>
      </c>
      <c r="AM2629">
        <v>100</v>
      </c>
      <c r="AN2629">
        <v>2400</v>
      </c>
      <c r="AO2629" t="s">
        <v>118</v>
      </c>
      <c r="AP2629">
        <v>-1</v>
      </c>
      <c r="AQ2629">
        <v>-142</v>
      </c>
      <c r="AR2629">
        <v>-192</v>
      </c>
      <c r="AZ2629">
        <v>4552</v>
      </c>
      <c r="BA2629">
        <v>1</v>
      </c>
      <c r="BB2629" t="str">
        <f t="shared" si="954"/>
        <v xml:space="preserve">N607SR  </v>
      </c>
      <c r="BC2629">
        <v>1</v>
      </c>
      <c r="BE2629">
        <v>0</v>
      </c>
      <c r="BF2629">
        <v>0</v>
      </c>
      <c r="BG2629">
        <v>0</v>
      </c>
      <c r="BH2629">
        <v>2175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 t="shared" si="951"/>
        <v>06:19:38.155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6</v>
      </c>
      <c r="CP2629" t="s">
        <v>119</v>
      </c>
      <c r="CQ2629">
        <v>465</v>
      </c>
      <c r="CR2629">
        <v>0</v>
      </c>
      <c r="CW2629">
        <v>4726992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 t="shared" si="948"/>
        <v>08/29/2020 06:19:34.940</v>
      </c>
      <c r="C2630" t="str">
        <f t="shared" si="952"/>
        <v>FFDFD3C0</v>
      </c>
      <c r="D2630" t="s">
        <v>939</v>
      </c>
      <c r="E2630">
        <v>10</v>
      </c>
      <c r="H2630">
        <v>79</v>
      </c>
      <c r="I2630" t="s">
        <v>940</v>
      </c>
      <c r="J2630" t="s">
        <v>130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949"/>
        <v>06:19:38.148</v>
      </c>
      <c r="T2630" t="str">
        <f t="shared" si="950"/>
        <v>06:19:37.648</v>
      </c>
      <c r="U2630" t="str">
        <f t="shared" si="953"/>
        <v>A7E2E0</v>
      </c>
      <c r="V2630">
        <v>0</v>
      </c>
      <c r="W2630">
        <v>0</v>
      </c>
      <c r="X2630">
        <v>1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0</v>
      </c>
      <c r="AI2630" t="s">
        <v>1390</v>
      </c>
      <c r="AJ2630">
        <v>38.902222999999999</v>
      </c>
      <c r="AK2630" t="s">
        <v>1376</v>
      </c>
      <c r="AL2630">
        <v>-87.610838000000001</v>
      </c>
      <c r="AM2630">
        <v>100</v>
      </c>
      <c r="AN2630">
        <v>2400</v>
      </c>
      <c r="AO2630" t="s">
        <v>118</v>
      </c>
      <c r="AP2630">
        <v>-1</v>
      </c>
      <c r="AQ2630">
        <v>-142</v>
      </c>
      <c r="AR2630">
        <v>-192</v>
      </c>
      <c r="AZ2630">
        <v>4552</v>
      </c>
      <c r="BA2630">
        <v>1</v>
      </c>
      <c r="BB2630" t="str">
        <f t="shared" si="954"/>
        <v xml:space="preserve">N607SR  </v>
      </c>
      <c r="BC2630">
        <v>1</v>
      </c>
      <c r="BE2630">
        <v>0</v>
      </c>
      <c r="BF2630">
        <v>0</v>
      </c>
      <c r="BG2630">
        <v>0</v>
      </c>
      <c r="BH2630">
        <v>2175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 t="shared" si="951"/>
        <v>06:19:38.155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6</v>
      </c>
      <c r="CP2630" t="s">
        <v>119</v>
      </c>
      <c r="CQ2630">
        <v>465</v>
      </c>
      <c r="CR2630">
        <v>0</v>
      </c>
      <c r="CW2630">
        <v>4726992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 t="shared" ref="A2631:A2636" si="955">"08/29/2020 06:19:36.002"</f>
        <v>08/29/2020 06:19:36.002</v>
      </c>
      <c r="C2631" t="str">
        <f t="shared" si="952"/>
        <v>FFDFD3C0</v>
      </c>
      <c r="D2631" t="s">
        <v>113</v>
      </c>
      <c r="E2631">
        <v>5</v>
      </c>
      <c r="H2631">
        <v>163</v>
      </c>
      <c r="I2631" t="s">
        <v>114</v>
      </c>
      <c r="J2631" t="s">
        <v>115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ref="S2631:S2636" si="956">"06:19:39.266"</f>
        <v>06:19:39.266</v>
      </c>
      <c r="T2631" t="str">
        <f t="shared" ref="T2631:T2636" si="957">"06:19:38.766"</f>
        <v>06:19:38.766</v>
      </c>
      <c r="U2631" t="str">
        <f t="shared" si="953"/>
        <v>A7E2E0</v>
      </c>
      <c r="V2631">
        <v>0</v>
      </c>
      <c r="W2631">
        <v>0</v>
      </c>
      <c r="X2631">
        <v>1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0</v>
      </c>
      <c r="AI2631" t="s">
        <v>1391</v>
      </c>
      <c r="AJ2631">
        <v>38.901471999999998</v>
      </c>
      <c r="AK2631" t="s">
        <v>1376</v>
      </c>
      <c r="AL2631">
        <v>-87.610838000000001</v>
      </c>
      <c r="AM2631">
        <v>100</v>
      </c>
      <c r="AN2631">
        <v>2400</v>
      </c>
      <c r="AO2631" t="s">
        <v>118</v>
      </c>
      <c r="AP2631">
        <v>0</v>
      </c>
      <c r="AQ2631">
        <v>-141</v>
      </c>
      <c r="AR2631">
        <v>-192</v>
      </c>
      <c r="AZ2631">
        <v>4552</v>
      </c>
      <c r="BA2631">
        <v>1</v>
      </c>
      <c r="BB2631" t="str">
        <f t="shared" si="954"/>
        <v xml:space="preserve">N607SR  </v>
      </c>
      <c r="BC2631">
        <v>1</v>
      </c>
      <c r="BE2631">
        <v>0</v>
      </c>
      <c r="BF2631">
        <v>0</v>
      </c>
      <c r="BG2631">
        <v>0</v>
      </c>
      <c r="BH2631">
        <v>2175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 t="shared" ref="BW2631:BW2636" si="958">"06:19:39.266"</f>
        <v>06:19:39.266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6</v>
      </c>
      <c r="CP2631" t="s">
        <v>119</v>
      </c>
      <c r="CQ2631">
        <v>465</v>
      </c>
      <c r="CR2631">
        <v>0</v>
      </c>
      <c r="CW2631">
        <v>4727028</v>
      </c>
      <c r="CY2631">
        <v>1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 t="shared" si="955"/>
        <v>08/29/2020 06:19:36.002</v>
      </c>
      <c r="C2632" t="str">
        <f t="shared" si="952"/>
        <v>FFDFD3C0</v>
      </c>
      <c r="D2632" t="s">
        <v>128</v>
      </c>
      <c r="E2632">
        <v>5</v>
      </c>
      <c r="H2632">
        <v>241</v>
      </c>
      <c r="I2632" t="s">
        <v>129</v>
      </c>
      <c r="J2632" t="s">
        <v>130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956"/>
        <v>06:19:39.266</v>
      </c>
      <c r="T2632" t="str">
        <f t="shared" si="957"/>
        <v>06:19:38.766</v>
      </c>
      <c r="U2632" t="str">
        <f t="shared" si="953"/>
        <v>A7E2E0</v>
      </c>
      <c r="V2632">
        <v>0</v>
      </c>
      <c r="W2632">
        <v>0</v>
      </c>
      <c r="X2632">
        <v>1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0</v>
      </c>
      <c r="AI2632" t="s">
        <v>1391</v>
      </c>
      <c r="AJ2632">
        <v>38.901471999999998</v>
      </c>
      <c r="AK2632" t="s">
        <v>1376</v>
      </c>
      <c r="AL2632">
        <v>-87.610838000000001</v>
      </c>
      <c r="AM2632">
        <v>100</v>
      </c>
      <c r="AN2632">
        <v>2400</v>
      </c>
      <c r="AO2632" t="s">
        <v>118</v>
      </c>
      <c r="AP2632">
        <v>0</v>
      </c>
      <c r="AQ2632">
        <v>-141</v>
      </c>
      <c r="AR2632">
        <v>-192</v>
      </c>
      <c r="AZ2632">
        <v>4552</v>
      </c>
      <c r="BA2632">
        <v>1</v>
      </c>
      <c r="BB2632" t="str">
        <f t="shared" si="954"/>
        <v xml:space="preserve">N607SR  </v>
      </c>
      <c r="BC2632">
        <v>1</v>
      </c>
      <c r="BE2632">
        <v>0</v>
      </c>
      <c r="BF2632">
        <v>0</v>
      </c>
      <c r="BG2632">
        <v>0</v>
      </c>
      <c r="BH2632">
        <v>2175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 t="shared" si="958"/>
        <v>06:19:39.266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6</v>
      </c>
      <c r="CP2632" t="s">
        <v>119</v>
      </c>
      <c r="CQ2632">
        <v>465</v>
      </c>
      <c r="CR2632">
        <v>0</v>
      </c>
      <c r="CW2632">
        <v>4727028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 t="shared" si="955"/>
        <v>08/29/2020 06:19:36.002</v>
      </c>
      <c r="C2633" t="str">
        <f t="shared" si="952"/>
        <v>FFDFD3C0</v>
      </c>
      <c r="D2633" t="s">
        <v>121</v>
      </c>
      <c r="E2633">
        <v>13</v>
      </c>
      <c r="F2633">
        <v>1013</v>
      </c>
      <c r="G2633" t="s">
        <v>122</v>
      </c>
      <c r="J2633" t="s">
        <v>123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956"/>
        <v>06:19:39.266</v>
      </c>
      <c r="T2633" t="str">
        <f t="shared" si="957"/>
        <v>06:19:38.766</v>
      </c>
      <c r="U2633" t="str">
        <f t="shared" si="953"/>
        <v>A7E2E0</v>
      </c>
      <c r="V2633">
        <v>0</v>
      </c>
      <c r="W2633">
        <v>0</v>
      </c>
      <c r="X2633">
        <v>1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0</v>
      </c>
      <c r="AI2633" t="s">
        <v>1391</v>
      </c>
      <c r="AJ2633">
        <v>38.901471999999998</v>
      </c>
      <c r="AK2633" t="s">
        <v>1376</v>
      </c>
      <c r="AL2633">
        <v>-87.610838000000001</v>
      </c>
      <c r="AM2633">
        <v>100</v>
      </c>
      <c r="AN2633">
        <v>2400</v>
      </c>
      <c r="AO2633" t="s">
        <v>118</v>
      </c>
      <c r="AP2633">
        <v>0</v>
      </c>
      <c r="AQ2633">
        <v>-141</v>
      </c>
      <c r="AR2633">
        <v>-192</v>
      </c>
      <c r="AZ2633">
        <v>4552</v>
      </c>
      <c r="BA2633">
        <v>1</v>
      </c>
      <c r="BB2633" t="str">
        <f t="shared" si="954"/>
        <v xml:space="preserve">N607SR  </v>
      </c>
      <c r="BC2633">
        <v>1</v>
      </c>
      <c r="BE2633">
        <v>0</v>
      </c>
      <c r="BF2633">
        <v>0</v>
      </c>
      <c r="BG2633">
        <v>0</v>
      </c>
      <c r="BH2633">
        <v>2175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 t="shared" si="958"/>
        <v>06:19:39.266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6</v>
      </c>
      <c r="CP2633" t="s">
        <v>119</v>
      </c>
      <c r="CQ2633">
        <v>465</v>
      </c>
      <c r="CR2633">
        <v>0</v>
      </c>
      <c r="CW2633">
        <v>4727028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 t="shared" si="955"/>
        <v>08/29/2020 06:19:36.002</v>
      </c>
      <c r="C2634" t="str">
        <f t="shared" si="952"/>
        <v>FFDFD3C0</v>
      </c>
      <c r="D2634" t="s">
        <v>121</v>
      </c>
      <c r="E2634">
        <v>10</v>
      </c>
      <c r="F2634">
        <v>1010</v>
      </c>
      <c r="G2634" t="s">
        <v>114</v>
      </c>
      <c r="J2634" t="s">
        <v>123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956"/>
        <v>06:19:39.266</v>
      </c>
      <c r="T2634" t="str">
        <f t="shared" si="957"/>
        <v>06:19:38.766</v>
      </c>
      <c r="U2634" t="str">
        <f t="shared" si="953"/>
        <v>A7E2E0</v>
      </c>
      <c r="V2634">
        <v>0</v>
      </c>
      <c r="W2634">
        <v>0</v>
      </c>
      <c r="X2634">
        <v>1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0</v>
      </c>
      <c r="AI2634" t="s">
        <v>1391</v>
      </c>
      <c r="AJ2634">
        <v>38.901471999999998</v>
      </c>
      <c r="AK2634" t="s">
        <v>1376</v>
      </c>
      <c r="AL2634">
        <v>-87.610838000000001</v>
      </c>
      <c r="AM2634">
        <v>100</v>
      </c>
      <c r="AN2634">
        <v>2400</v>
      </c>
      <c r="AO2634" t="s">
        <v>118</v>
      </c>
      <c r="AP2634">
        <v>0</v>
      </c>
      <c r="AQ2634">
        <v>-141</v>
      </c>
      <c r="AR2634">
        <v>-192</v>
      </c>
      <c r="AZ2634">
        <v>4552</v>
      </c>
      <c r="BA2634">
        <v>1</v>
      </c>
      <c r="BB2634" t="str">
        <f t="shared" si="954"/>
        <v xml:space="preserve">N607SR  </v>
      </c>
      <c r="BC2634">
        <v>1</v>
      </c>
      <c r="BE2634">
        <v>0</v>
      </c>
      <c r="BF2634">
        <v>0</v>
      </c>
      <c r="BG2634">
        <v>0</v>
      </c>
      <c r="BH2634">
        <v>2175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 t="shared" si="958"/>
        <v>06:19:39.266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6</v>
      </c>
      <c r="CP2634" t="s">
        <v>119</v>
      </c>
      <c r="CQ2634">
        <v>465</v>
      </c>
      <c r="CR2634">
        <v>0</v>
      </c>
      <c r="CW2634">
        <v>4727028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 t="shared" si="955"/>
        <v>08/29/2020 06:19:36.002</v>
      </c>
      <c r="C2635" t="str">
        <f t="shared" si="952"/>
        <v>FFDFD3C0</v>
      </c>
      <c r="D2635" t="s">
        <v>939</v>
      </c>
      <c r="E2635">
        <v>10</v>
      </c>
      <c r="H2635">
        <v>79</v>
      </c>
      <c r="I2635" t="s">
        <v>940</v>
      </c>
      <c r="J2635" t="s">
        <v>130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956"/>
        <v>06:19:39.266</v>
      </c>
      <c r="T2635" t="str">
        <f t="shared" si="957"/>
        <v>06:19:38.766</v>
      </c>
      <c r="U2635" t="str">
        <f t="shared" si="953"/>
        <v>A7E2E0</v>
      </c>
      <c r="V2635">
        <v>0</v>
      </c>
      <c r="W2635">
        <v>0</v>
      </c>
      <c r="X2635">
        <v>1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0</v>
      </c>
      <c r="AI2635" t="s">
        <v>1391</v>
      </c>
      <c r="AJ2635">
        <v>38.901471999999998</v>
      </c>
      <c r="AK2635" t="s">
        <v>1376</v>
      </c>
      <c r="AL2635">
        <v>-87.610838000000001</v>
      </c>
      <c r="AM2635">
        <v>100</v>
      </c>
      <c r="AN2635">
        <v>2400</v>
      </c>
      <c r="AO2635" t="s">
        <v>118</v>
      </c>
      <c r="AP2635">
        <v>0</v>
      </c>
      <c r="AQ2635">
        <v>-141</v>
      </c>
      <c r="AR2635">
        <v>-192</v>
      </c>
      <c r="AZ2635">
        <v>4552</v>
      </c>
      <c r="BA2635">
        <v>1</v>
      </c>
      <c r="BB2635" t="str">
        <f t="shared" si="954"/>
        <v xml:space="preserve">N607SR  </v>
      </c>
      <c r="BC2635">
        <v>1</v>
      </c>
      <c r="BE2635">
        <v>0</v>
      </c>
      <c r="BF2635">
        <v>0</v>
      </c>
      <c r="BG2635">
        <v>0</v>
      </c>
      <c r="BH2635">
        <v>2175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 t="shared" si="958"/>
        <v>06:19:39.266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6</v>
      </c>
      <c r="CP2635" t="s">
        <v>119</v>
      </c>
      <c r="CQ2635">
        <v>465</v>
      </c>
      <c r="CR2635">
        <v>0</v>
      </c>
      <c r="CW2635">
        <v>4727028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 t="shared" si="955"/>
        <v>08/29/2020 06:19:36.002</v>
      </c>
      <c r="C2636" t="str">
        <f t="shared" si="952"/>
        <v>FFDFD3C0</v>
      </c>
      <c r="D2636" t="s">
        <v>121</v>
      </c>
      <c r="E2636">
        <v>11</v>
      </c>
      <c r="F2636">
        <v>1011</v>
      </c>
      <c r="G2636" t="s">
        <v>125</v>
      </c>
      <c r="J2636" t="s">
        <v>123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956"/>
        <v>06:19:39.266</v>
      </c>
      <c r="T2636" t="str">
        <f t="shared" si="957"/>
        <v>06:19:38.766</v>
      </c>
      <c r="U2636" t="str">
        <f t="shared" si="953"/>
        <v>A7E2E0</v>
      </c>
      <c r="V2636">
        <v>0</v>
      </c>
      <c r="W2636">
        <v>0</v>
      </c>
      <c r="X2636">
        <v>1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0</v>
      </c>
      <c r="AI2636" t="s">
        <v>1391</v>
      </c>
      <c r="AJ2636">
        <v>38.901471999999998</v>
      </c>
      <c r="AK2636" t="s">
        <v>1376</v>
      </c>
      <c r="AL2636">
        <v>-87.610838000000001</v>
      </c>
      <c r="AM2636">
        <v>100</v>
      </c>
      <c r="AN2636">
        <v>2400</v>
      </c>
      <c r="AO2636" t="s">
        <v>118</v>
      </c>
      <c r="AP2636">
        <v>0</v>
      </c>
      <c r="AQ2636">
        <v>-141</v>
      </c>
      <c r="AR2636">
        <v>-192</v>
      </c>
      <c r="AZ2636">
        <v>4552</v>
      </c>
      <c r="BA2636">
        <v>1</v>
      </c>
      <c r="BB2636" t="str">
        <f t="shared" si="954"/>
        <v xml:space="preserve">N607SR  </v>
      </c>
      <c r="BC2636">
        <v>1</v>
      </c>
      <c r="BE2636">
        <v>0</v>
      </c>
      <c r="BF2636">
        <v>0</v>
      </c>
      <c r="BG2636">
        <v>0</v>
      </c>
      <c r="BH2636">
        <v>2175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 t="shared" si="958"/>
        <v>06:19:39.266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5</v>
      </c>
      <c r="CP2636" t="s">
        <v>119</v>
      </c>
      <c r="CQ2636">
        <v>177</v>
      </c>
      <c r="CR2636">
        <v>2</v>
      </c>
      <c r="CW2636">
        <v>1677293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 t="shared" ref="A2637:A2642" si="959">"08/29/2020 06:19:37.013"</f>
        <v>08/29/2020 06:19:37.013</v>
      </c>
      <c r="C2637" t="str">
        <f t="shared" si="952"/>
        <v>FFDFD3C0</v>
      </c>
      <c r="D2637" t="s">
        <v>113</v>
      </c>
      <c r="E2637">
        <v>5</v>
      </c>
      <c r="H2637">
        <v>163</v>
      </c>
      <c r="I2637" t="s">
        <v>114</v>
      </c>
      <c r="J2637" t="s">
        <v>115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ref="S2637:S2642" si="960">"06:19:40.219"</f>
        <v>06:19:40.219</v>
      </c>
      <c r="T2637" t="str">
        <f t="shared" ref="T2637:T2642" si="961">"06:19:39.719"</f>
        <v>06:19:39.719</v>
      </c>
      <c r="U2637" t="str">
        <f t="shared" si="953"/>
        <v>A7E2E0</v>
      </c>
      <c r="V2637">
        <v>0</v>
      </c>
      <c r="W2637">
        <v>0</v>
      </c>
      <c r="X2637">
        <v>1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0</v>
      </c>
      <c r="AI2637" t="s">
        <v>1392</v>
      </c>
      <c r="AJ2637">
        <v>38.900827999999997</v>
      </c>
      <c r="AK2637" t="s">
        <v>1376</v>
      </c>
      <c r="AL2637">
        <v>-87.610838000000001</v>
      </c>
      <c r="AM2637">
        <v>100</v>
      </c>
      <c r="AN2637">
        <v>2400</v>
      </c>
      <c r="AO2637" t="s">
        <v>118</v>
      </c>
      <c r="AP2637">
        <v>0</v>
      </c>
      <c r="AQ2637">
        <v>-141</v>
      </c>
      <c r="AR2637">
        <v>-128</v>
      </c>
      <c r="AZ2637">
        <v>4552</v>
      </c>
      <c r="BA2637">
        <v>1</v>
      </c>
      <c r="BB2637" t="str">
        <f t="shared" si="954"/>
        <v xml:space="preserve">N607SR  </v>
      </c>
      <c r="BC2637">
        <v>1</v>
      </c>
      <c r="BE2637">
        <v>0</v>
      </c>
      <c r="BF2637">
        <v>0</v>
      </c>
      <c r="BG2637">
        <v>0</v>
      </c>
      <c r="BH2637">
        <v>2175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 t="shared" ref="BW2637:BW2642" si="962">"06:19:40.224"</f>
        <v>06:19:40.224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5</v>
      </c>
      <c r="CP2637" t="s">
        <v>119</v>
      </c>
      <c r="CQ2637">
        <v>465</v>
      </c>
      <c r="CR2637">
        <v>0</v>
      </c>
      <c r="CW2637">
        <v>4727057</v>
      </c>
      <c r="CY2637">
        <v>1</v>
      </c>
      <c r="CZ2637">
        <v>0</v>
      </c>
      <c r="DA2637">
        <v>0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 t="shared" si="959"/>
        <v>08/29/2020 06:19:37.013</v>
      </c>
      <c r="C2638" t="str">
        <f t="shared" si="952"/>
        <v>FFDFD3C0</v>
      </c>
      <c r="D2638" t="s">
        <v>121</v>
      </c>
      <c r="E2638">
        <v>11</v>
      </c>
      <c r="F2638">
        <v>1011</v>
      </c>
      <c r="G2638" t="s">
        <v>125</v>
      </c>
      <c r="J2638" t="s">
        <v>123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960"/>
        <v>06:19:40.219</v>
      </c>
      <c r="T2638" t="str">
        <f t="shared" si="961"/>
        <v>06:19:39.719</v>
      </c>
      <c r="U2638" t="str">
        <f t="shared" si="953"/>
        <v>A7E2E0</v>
      </c>
      <c r="V2638">
        <v>0</v>
      </c>
      <c r="W2638">
        <v>0</v>
      </c>
      <c r="X2638">
        <v>1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0</v>
      </c>
      <c r="AI2638" t="s">
        <v>1392</v>
      </c>
      <c r="AJ2638">
        <v>38.900827999999997</v>
      </c>
      <c r="AK2638" t="s">
        <v>1376</v>
      </c>
      <c r="AL2638">
        <v>-87.610838000000001</v>
      </c>
      <c r="AM2638">
        <v>100</v>
      </c>
      <c r="AN2638">
        <v>2400</v>
      </c>
      <c r="AO2638" t="s">
        <v>118</v>
      </c>
      <c r="AP2638">
        <v>0</v>
      </c>
      <c r="AQ2638">
        <v>-141</v>
      </c>
      <c r="AR2638">
        <v>-128</v>
      </c>
      <c r="AZ2638">
        <v>4552</v>
      </c>
      <c r="BA2638">
        <v>1</v>
      </c>
      <c r="BB2638" t="str">
        <f t="shared" si="954"/>
        <v xml:space="preserve">N607SR  </v>
      </c>
      <c r="BC2638">
        <v>1</v>
      </c>
      <c r="BE2638">
        <v>0</v>
      </c>
      <c r="BF2638">
        <v>0</v>
      </c>
      <c r="BG2638">
        <v>0</v>
      </c>
      <c r="BH2638">
        <v>2175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 t="shared" si="962"/>
        <v>06:19:40.224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4</v>
      </c>
      <c r="CP2638" t="s">
        <v>119</v>
      </c>
      <c r="CQ2638">
        <v>177</v>
      </c>
      <c r="CR2638">
        <v>2</v>
      </c>
      <c r="CW2638">
        <v>1677459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 t="shared" si="959"/>
        <v>08/29/2020 06:19:37.013</v>
      </c>
      <c r="C2639" t="str">
        <f t="shared" si="952"/>
        <v>FFDFD3C0</v>
      </c>
      <c r="D2639" t="s">
        <v>128</v>
      </c>
      <c r="E2639">
        <v>5</v>
      </c>
      <c r="H2639">
        <v>241</v>
      </c>
      <c r="I2639" t="s">
        <v>129</v>
      </c>
      <c r="J2639" t="s">
        <v>130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960"/>
        <v>06:19:40.219</v>
      </c>
      <c r="T2639" t="str">
        <f t="shared" si="961"/>
        <v>06:19:39.719</v>
      </c>
      <c r="U2639" t="str">
        <f t="shared" si="953"/>
        <v>A7E2E0</v>
      </c>
      <c r="V2639">
        <v>0</v>
      </c>
      <c r="W2639">
        <v>0</v>
      </c>
      <c r="X2639">
        <v>1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0</v>
      </c>
      <c r="AI2639" t="s">
        <v>1392</v>
      </c>
      <c r="AJ2639">
        <v>38.900827999999997</v>
      </c>
      <c r="AK2639" t="s">
        <v>1376</v>
      </c>
      <c r="AL2639">
        <v>-87.610838000000001</v>
      </c>
      <c r="AM2639">
        <v>100</v>
      </c>
      <c r="AN2639">
        <v>2400</v>
      </c>
      <c r="AO2639" t="s">
        <v>118</v>
      </c>
      <c r="AP2639">
        <v>0</v>
      </c>
      <c r="AQ2639">
        <v>-141</v>
      </c>
      <c r="AR2639">
        <v>-128</v>
      </c>
      <c r="AZ2639">
        <v>4552</v>
      </c>
      <c r="BA2639">
        <v>1</v>
      </c>
      <c r="BB2639" t="str">
        <f t="shared" si="954"/>
        <v xml:space="preserve">N607SR  </v>
      </c>
      <c r="BC2639">
        <v>1</v>
      </c>
      <c r="BE2639">
        <v>0</v>
      </c>
      <c r="BF2639">
        <v>0</v>
      </c>
      <c r="BG2639">
        <v>0</v>
      </c>
      <c r="BH2639">
        <v>2175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 t="shared" si="962"/>
        <v>06:19:40.224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5</v>
      </c>
      <c r="CP2639" t="s">
        <v>119</v>
      </c>
      <c r="CQ2639">
        <v>465</v>
      </c>
      <c r="CR2639">
        <v>0</v>
      </c>
      <c r="CW2639">
        <v>4727057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 t="shared" si="959"/>
        <v>08/29/2020 06:19:37.013</v>
      </c>
      <c r="C2640" t="str">
        <f t="shared" si="952"/>
        <v>FFDFD3C0</v>
      </c>
      <c r="D2640" t="s">
        <v>939</v>
      </c>
      <c r="E2640">
        <v>10</v>
      </c>
      <c r="H2640">
        <v>79</v>
      </c>
      <c r="I2640" t="s">
        <v>940</v>
      </c>
      <c r="J2640" t="s">
        <v>130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960"/>
        <v>06:19:40.219</v>
      </c>
      <c r="T2640" t="str">
        <f t="shared" si="961"/>
        <v>06:19:39.719</v>
      </c>
      <c r="U2640" t="str">
        <f t="shared" si="953"/>
        <v>A7E2E0</v>
      </c>
      <c r="V2640">
        <v>0</v>
      </c>
      <c r="W2640">
        <v>0</v>
      </c>
      <c r="X2640">
        <v>1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0</v>
      </c>
      <c r="AI2640" t="s">
        <v>1392</v>
      </c>
      <c r="AJ2640">
        <v>38.900827999999997</v>
      </c>
      <c r="AK2640" t="s">
        <v>1376</v>
      </c>
      <c r="AL2640">
        <v>-87.610838000000001</v>
      </c>
      <c r="AM2640">
        <v>100</v>
      </c>
      <c r="AN2640">
        <v>2400</v>
      </c>
      <c r="AO2640" t="s">
        <v>118</v>
      </c>
      <c r="AP2640">
        <v>0</v>
      </c>
      <c r="AQ2640">
        <v>-141</v>
      </c>
      <c r="AR2640">
        <v>-128</v>
      </c>
      <c r="AZ2640">
        <v>4552</v>
      </c>
      <c r="BA2640">
        <v>1</v>
      </c>
      <c r="BB2640" t="str">
        <f t="shared" si="954"/>
        <v xml:space="preserve">N607SR  </v>
      </c>
      <c r="BC2640">
        <v>1</v>
      </c>
      <c r="BE2640">
        <v>0</v>
      </c>
      <c r="BF2640">
        <v>0</v>
      </c>
      <c r="BG2640">
        <v>0</v>
      </c>
      <c r="BH2640">
        <v>2175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 t="shared" si="962"/>
        <v>06:19:40.224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5</v>
      </c>
      <c r="CP2640" t="s">
        <v>119</v>
      </c>
      <c r="CQ2640">
        <v>465</v>
      </c>
      <c r="CR2640">
        <v>0</v>
      </c>
      <c r="CW2640">
        <v>4727057</v>
      </c>
      <c r="CY2640">
        <v>1</v>
      </c>
      <c r="CZ2640">
        <v>0</v>
      </c>
      <c r="DA2640">
        <v>1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 t="shared" si="959"/>
        <v>08/29/2020 06:19:37.013</v>
      </c>
      <c r="C2641" t="str">
        <f t="shared" si="952"/>
        <v>FFDFD3C0</v>
      </c>
      <c r="D2641" t="s">
        <v>121</v>
      </c>
      <c r="E2641">
        <v>13</v>
      </c>
      <c r="F2641">
        <v>1013</v>
      </c>
      <c r="G2641" t="s">
        <v>122</v>
      </c>
      <c r="J2641" t="s">
        <v>123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960"/>
        <v>06:19:40.219</v>
      </c>
      <c r="T2641" t="str">
        <f t="shared" si="961"/>
        <v>06:19:39.719</v>
      </c>
      <c r="U2641" t="str">
        <f t="shared" si="953"/>
        <v>A7E2E0</v>
      </c>
      <c r="V2641">
        <v>0</v>
      </c>
      <c r="W2641">
        <v>0</v>
      </c>
      <c r="X2641">
        <v>1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0</v>
      </c>
      <c r="AI2641" t="s">
        <v>1392</v>
      </c>
      <c r="AJ2641">
        <v>38.900827999999997</v>
      </c>
      <c r="AK2641" t="s">
        <v>1376</v>
      </c>
      <c r="AL2641">
        <v>-87.610838000000001</v>
      </c>
      <c r="AM2641">
        <v>100</v>
      </c>
      <c r="AN2641">
        <v>2400</v>
      </c>
      <c r="AO2641" t="s">
        <v>118</v>
      </c>
      <c r="AP2641">
        <v>0</v>
      </c>
      <c r="AQ2641">
        <v>-141</v>
      </c>
      <c r="AR2641">
        <v>-128</v>
      </c>
      <c r="AZ2641">
        <v>4552</v>
      </c>
      <c r="BA2641">
        <v>1</v>
      </c>
      <c r="BB2641" t="str">
        <f t="shared" si="954"/>
        <v xml:space="preserve">N607SR  </v>
      </c>
      <c r="BC2641">
        <v>1</v>
      </c>
      <c r="BE2641">
        <v>0</v>
      </c>
      <c r="BF2641">
        <v>0</v>
      </c>
      <c r="BG2641">
        <v>0</v>
      </c>
      <c r="BH2641">
        <v>2175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 t="shared" si="962"/>
        <v>06:19:40.224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5</v>
      </c>
      <c r="CP2641" t="s">
        <v>119</v>
      </c>
      <c r="CQ2641">
        <v>465</v>
      </c>
      <c r="CR2641">
        <v>0</v>
      </c>
      <c r="CW2641">
        <v>4727057</v>
      </c>
      <c r="CY2641">
        <v>1</v>
      </c>
      <c r="CZ2641">
        <v>0</v>
      </c>
      <c r="DA2641">
        <v>1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 t="shared" si="959"/>
        <v>08/29/2020 06:19:37.013</v>
      </c>
      <c r="C2642" t="str">
        <f t="shared" si="952"/>
        <v>FFDFD3C0</v>
      </c>
      <c r="D2642" t="s">
        <v>121</v>
      </c>
      <c r="E2642">
        <v>10</v>
      </c>
      <c r="F2642">
        <v>1010</v>
      </c>
      <c r="G2642" t="s">
        <v>114</v>
      </c>
      <c r="J2642" t="s">
        <v>123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960"/>
        <v>06:19:40.219</v>
      </c>
      <c r="T2642" t="str">
        <f t="shared" si="961"/>
        <v>06:19:39.719</v>
      </c>
      <c r="U2642" t="str">
        <f t="shared" si="953"/>
        <v>A7E2E0</v>
      </c>
      <c r="V2642">
        <v>0</v>
      </c>
      <c r="W2642">
        <v>0</v>
      </c>
      <c r="X2642">
        <v>1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0</v>
      </c>
      <c r="AI2642" t="s">
        <v>1392</v>
      </c>
      <c r="AJ2642">
        <v>38.900827999999997</v>
      </c>
      <c r="AK2642" t="s">
        <v>1376</v>
      </c>
      <c r="AL2642">
        <v>-87.610838000000001</v>
      </c>
      <c r="AM2642">
        <v>100</v>
      </c>
      <c r="AN2642">
        <v>2400</v>
      </c>
      <c r="AO2642" t="s">
        <v>118</v>
      </c>
      <c r="AP2642">
        <v>0</v>
      </c>
      <c r="AQ2642">
        <v>-141</v>
      </c>
      <c r="AR2642">
        <v>-128</v>
      </c>
      <c r="AZ2642">
        <v>4552</v>
      </c>
      <c r="BA2642">
        <v>1</v>
      </c>
      <c r="BB2642" t="str">
        <f t="shared" si="954"/>
        <v xml:space="preserve">N607SR  </v>
      </c>
      <c r="BC2642">
        <v>1</v>
      </c>
      <c r="BE2642">
        <v>0</v>
      </c>
      <c r="BF2642">
        <v>0</v>
      </c>
      <c r="BG2642">
        <v>0</v>
      </c>
      <c r="BH2642">
        <v>2175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 t="shared" si="962"/>
        <v>06:19:40.224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5</v>
      </c>
      <c r="CP2642" t="s">
        <v>119</v>
      </c>
      <c r="CQ2642">
        <v>465</v>
      </c>
      <c r="CR2642">
        <v>0</v>
      </c>
      <c r="CW2642">
        <v>4727057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 t="shared" ref="A2643:A2648" si="963">"08/29/2020 06:19:37.992"</f>
        <v>08/29/2020 06:19:37.992</v>
      </c>
      <c r="C2643" t="str">
        <f t="shared" si="952"/>
        <v>FFDFD3C0</v>
      </c>
      <c r="D2643" t="s">
        <v>939</v>
      </c>
      <c r="E2643">
        <v>10</v>
      </c>
      <c r="H2643">
        <v>79</v>
      </c>
      <c r="I2643" t="s">
        <v>940</v>
      </c>
      <c r="J2643" t="s">
        <v>130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ref="S2643:S2648" si="964">"06:19:41.227"</f>
        <v>06:19:41.227</v>
      </c>
      <c r="T2643" t="str">
        <f t="shared" ref="T2643:T2648" si="965">"06:19:40.727"</f>
        <v>06:19:40.727</v>
      </c>
      <c r="U2643" t="str">
        <f t="shared" si="953"/>
        <v>A7E2E0</v>
      </c>
      <c r="V2643">
        <v>0</v>
      </c>
      <c r="W2643">
        <v>0</v>
      </c>
      <c r="X2643">
        <v>1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0</v>
      </c>
      <c r="AI2643" t="s">
        <v>1393</v>
      </c>
      <c r="AJ2643">
        <v>38.900162999999999</v>
      </c>
      <c r="AK2643" t="s">
        <v>1376</v>
      </c>
      <c r="AL2643">
        <v>-87.610838000000001</v>
      </c>
      <c r="AM2643">
        <v>100</v>
      </c>
      <c r="AN2643">
        <v>2400</v>
      </c>
      <c r="AO2643" t="s">
        <v>118</v>
      </c>
      <c r="AP2643">
        <v>1</v>
      </c>
      <c r="AQ2643">
        <v>-141</v>
      </c>
      <c r="AR2643">
        <v>-128</v>
      </c>
      <c r="AZ2643">
        <v>4552</v>
      </c>
      <c r="BA2643">
        <v>1</v>
      </c>
      <c r="BB2643" t="str">
        <f t="shared" si="954"/>
        <v xml:space="preserve">N607SR  </v>
      </c>
      <c r="BC2643">
        <v>1</v>
      </c>
      <c r="BE2643">
        <v>0</v>
      </c>
      <c r="BF2643">
        <v>0</v>
      </c>
      <c r="BG2643">
        <v>0</v>
      </c>
      <c r="BH2643">
        <v>2175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 t="shared" ref="BW2643:BW2648" si="966">"06:19:41.227"</f>
        <v>06:19:41.227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6</v>
      </c>
      <c r="CP2643" t="s">
        <v>119</v>
      </c>
      <c r="CQ2643">
        <v>465</v>
      </c>
      <c r="CR2643">
        <v>0</v>
      </c>
      <c r="CW2643">
        <v>4727082</v>
      </c>
      <c r="CY2643">
        <v>1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 t="shared" si="963"/>
        <v>08/29/2020 06:19:37.992</v>
      </c>
      <c r="C2644" t="str">
        <f t="shared" si="952"/>
        <v>FFDFD3C0</v>
      </c>
      <c r="D2644" t="s">
        <v>121</v>
      </c>
      <c r="E2644">
        <v>13</v>
      </c>
      <c r="F2644">
        <v>1013</v>
      </c>
      <c r="G2644" t="s">
        <v>122</v>
      </c>
      <c r="J2644" t="s">
        <v>123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964"/>
        <v>06:19:41.227</v>
      </c>
      <c r="T2644" t="str">
        <f t="shared" si="965"/>
        <v>06:19:40.727</v>
      </c>
      <c r="U2644" t="str">
        <f t="shared" si="953"/>
        <v>A7E2E0</v>
      </c>
      <c r="V2644">
        <v>0</v>
      </c>
      <c r="W2644">
        <v>0</v>
      </c>
      <c r="X2644">
        <v>1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0</v>
      </c>
      <c r="AI2644" t="s">
        <v>1393</v>
      </c>
      <c r="AJ2644">
        <v>38.900162999999999</v>
      </c>
      <c r="AK2644" t="s">
        <v>1376</v>
      </c>
      <c r="AL2644">
        <v>-87.610838000000001</v>
      </c>
      <c r="AM2644">
        <v>100</v>
      </c>
      <c r="AN2644">
        <v>2400</v>
      </c>
      <c r="AO2644" t="s">
        <v>118</v>
      </c>
      <c r="AP2644">
        <v>1</v>
      </c>
      <c r="AQ2644">
        <v>-141</v>
      </c>
      <c r="AR2644">
        <v>-128</v>
      </c>
      <c r="AZ2644">
        <v>4552</v>
      </c>
      <c r="BA2644">
        <v>1</v>
      </c>
      <c r="BB2644" t="str">
        <f t="shared" si="954"/>
        <v xml:space="preserve">N607SR  </v>
      </c>
      <c r="BC2644">
        <v>1</v>
      </c>
      <c r="BE2644">
        <v>0</v>
      </c>
      <c r="BF2644">
        <v>0</v>
      </c>
      <c r="BG2644">
        <v>0</v>
      </c>
      <c r="BH2644">
        <v>2175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 t="shared" si="966"/>
        <v>06:19:41.227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6</v>
      </c>
      <c r="CP2644" t="s">
        <v>119</v>
      </c>
      <c r="CQ2644">
        <v>465</v>
      </c>
      <c r="CR2644">
        <v>0</v>
      </c>
      <c r="CW2644">
        <v>4727082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 t="shared" si="963"/>
        <v>08/29/2020 06:19:37.992</v>
      </c>
      <c r="C2645" t="str">
        <f t="shared" si="952"/>
        <v>FFDFD3C0</v>
      </c>
      <c r="D2645" t="s">
        <v>121</v>
      </c>
      <c r="E2645">
        <v>10</v>
      </c>
      <c r="F2645">
        <v>1010</v>
      </c>
      <c r="G2645" t="s">
        <v>114</v>
      </c>
      <c r="J2645" t="s">
        <v>123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964"/>
        <v>06:19:41.227</v>
      </c>
      <c r="T2645" t="str">
        <f t="shared" si="965"/>
        <v>06:19:40.727</v>
      </c>
      <c r="U2645" t="str">
        <f t="shared" si="953"/>
        <v>A7E2E0</v>
      </c>
      <c r="V2645">
        <v>0</v>
      </c>
      <c r="W2645">
        <v>0</v>
      </c>
      <c r="X2645">
        <v>1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0</v>
      </c>
      <c r="AI2645" t="s">
        <v>1393</v>
      </c>
      <c r="AJ2645">
        <v>38.900162999999999</v>
      </c>
      <c r="AK2645" t="s">
        <v>1376</v>
      </c>
      <c r="AL2645">
        <v>-87.610838000000001</v>
      </c>
      <c r="AM2645">
        <v>100</v>
      </c>
      <c r="AN2645">
        <v>2400</v>
      </c>
      <c r="AO2645" t="s">
        <v>118</v>
      </c>
      <c r="AP2645">
        <v>1</v>
      </c>
      <c r="AQ2645">
        <v>-141</v>
      </c>
      <c r="AR2645">
        <v>-128</v>
      </c>
      <c r="AZ2645">
        <v>4552</v>
      </c>
      <c r="BA2645">
        <v>1</v>
      </c>
      <c r="BB2645" t="str">
        <f t="shared" si="954"/>
        <v xml:space="preserve">N607SR  </v>
      </c>
      <c r="BC2645">
        <v>1</v>
      </c>
      <c r="BE2645">
        <v>0</v>
      </c>
      <c r="BF2645">
        <v>0</v>
      </c>
      <c r="BG2645">
        <v>0</v>
      </c>
      <c r="BH2645">
        <v>2175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 t="shared" si="966"/>
        <v>06:19:41.227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6</v>
      </c>
      <c r="CP2645" t="s">
        <v>119</v>
      </c>
      <c r="CQ2645">
        <v>465</v>
      </c>
      <c r="CR2645">
        <v>0</v>
      </c>
      <c r="CW2645">
        <v>4727082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 t="shared" si="963"/>
        <v>08/29/2020 06:19:37.992</v>
      </c>
      <c r="C2646" t="str">
        <f t="shared" si="952"/>
        <v>FFDFD3C0</v>
      </c>
      <c r="D2646" t="s">
        <v>121</v>
      </c>
      <c r="E2646">
        <v>11</v>
      </c>
      <c r="F2646">
        <v>1011</v>
      </c>
      <c r="G2646" t="s">
        <v>125</v>
      </c>
      <c r="J2646" t="s">
        <v>123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964"/>
        <v>06:19:41.227</v>
      </c>
      <c r="T2646" t="str">
        <f t="shared" si="965"/>
        <v>06:19:40.727</v>
      </c>
      <c r="U2646" t="str">
        <f t="shared" si="953"/>
        <v>A7E2E0</v>
      </c>
      <c r="V2646">
        <v>0</v>
      </c>
      <c r="W2646">
        <v>0</v>
      </c>
      <c r="X2646">
        <v>1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0</v>
      </c>
      <c r="AI2646" t="s">
        <v>1393</v>
      </c>
      <c r="AJ2646">
        <v>38.900162999999999</v>
      </c>
      <c r="AK2646" t="s">
        <v>1376</v>
      </c>
      <c r="AL2646">
        <v>-87.610838000000001</v>
      </c>
      <c r="AM2646">
        <v>100</v>
      </c>
      <c r="AN2646">
        <v>2400</v>
      </c>
      <c r="AO2646" t="s">
        <v>118</v>
      </c>
      <c r="AP2646">
        <v>1</v>
      </c>
      <c r="AQ2646">
        <v>-141</v>
      </c>
      <c r="AR2646">
        <v>-128</v>
      </c>
      <c r="AZ2646">
        <v>4552</v>
      </c>
      <c r="BA2646">
        <v>1</v>
      </c>
      <c r="BB2646" t="str">
        <f t="shared" si="954"/>
        <v xml:space="preserve">N607SR  </v>
      </c>
      <c r="BC2646">
        <v>1</v>
      </c>
      <c r="BE2646">
        <v>0</v>
      </c>
      <c r="BF2646">
        <v>0</v>
      </c>
      <c r="BG2646">
        <v>0</v>
      </c>
      <c r="BH2646">
        <v>2175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 t="shared" si="966"/>
        <v>06:19:41.227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4</v>
      </c>
      <c r="CP2646" t="s">
        <v>119</v>
      </c>
      <c r="CQ2646">
        <v>177</v>
      </c>
      <c r="CR2646">
        <v>2</v>
      </c>
      <c r="CW2646">
        <v>1677633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 t="shared" si="963"/>
        <v>08/29/2020 06:19:37.992</v>
      </c>
      <c r="C2647" t="str">
        <f t="shared" si="952"/>
        <v>FFDFD3C0</v>
      </c>
      <c r="D2647" t="s">
        <v>113</v>
      </c>
      <c r="E2647">
        <v>5</v>
      </c>
      <c r="H2647">
        <v>163</v>
      </c>
      <c r="I2647" t="s">
        <v>114</v>
      </c>
      <c r="J2647" t="s">
        <v>115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964"/>
        <v>06:19:41.227</v>
      </c>
      <c r="T2647" t="str">
        <f t="shared" si="965"/>
        <v>06:19:40.727</v>
      </c>
      <c r="U2647" t="str">
        <f t="shared" si="953"/>
        <v>A7E2E0</v>
      </c>
      <c r="V2647">
        <v>0</v>
      </c>
      <c r="W2647">
        <v>0</v>
      </c>
      <c r="X2647">
        <v>1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0</v>
      </c>
      <c r="AI2647" t="s">
        <v>1393</v>
      </c>
      <c r="AJ2647">
        <v>38.900162999999999</v>
      </c>
      <c r="AK2647" t="s">
        <v>1376</v>
      </c>
      <c r="AL2647">
        <v>-87.610838000000001</v>
      </c>
      <c r="AM2647">
        <v>100</v>
      </c>
      <c r="AN2647">
        <v>2400</v>
      </c>
      <c r="AO2647" t="s">
        <v>118</v>
      </c>
      <c r="AP2647">
        <v>1</v>
      </c>
      <c r="AQ2647">
        <v>-141</v>
      </c>
      <c r="AR2647">
        <v>-128</v>
      </c>
      <c r="AZ2647">
        <v>4552</v>
      </c>
      <c r="BA2647">
        <v>1</v>
      </c>
      <c r="BB2647" t="str">
        <f t="shared" si="954"/>
        <v xml:space="preserve">N607SR  </v>
      </c>
      <c r="BC2647">
        <v>1</v>
      </c>
      <c r="BE2647">
        <v>0</v>
      </c>
      <c r="BF2647">
        <v>0</v>
      </c>
      <c r="BG2647">
        <v>0</v>
      </c>
      <c r="BH2647">
        <v>2175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 t="shared" si="966"/>
        <v>06:19:41.227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6</v>
      </c>
      <c r="CP2647" t="s">
        <v>119</v>
      </c>
      <c r="CQ2647">
        <v>465</v>
      </c>
      <c r="CR2647">
        <v>0</v>
      </c>
      <c r="CW2647">
        <v>4727082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 t="shared" si="963"/>
        <v>08/29/2020 06:19:37.992</v>
      </c>
      <c r="C2648" t="str">
        <f t="shared" si="952"/>
        <v>FFDFD3C0</v>
      </c>
      <c r="D2648" t="s">
        <v>128</v>
      </c>
      <c r="E2648">
        <v>5</v>
      </c>
      <c r="H2648">
        <v>241</v>
      </c>
      <c r="I2648" t="s">
        <v>129</v>
      </c>
      <c r="J2648" t="s">
        <v>130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964"/>
        <v>06:19:41.227</v>
      </c>
      <c r="T2648" t="str">
        <f t="shared" si="965"/>
        <v>06:19:40.727</v>
      </c>
      <c r="U2648" t="str">
        <f t="shared" si="953"/>
        <v>A7E2E0</v>
      </c>
      <c r="V2648">
        <v>0</v>
      </c>
      <c r="W2648">
        <v>0</v>
      </c>
      <c r="X2648">
        <v>1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0</v>
      </c>
      <c r="AI2648" t="s">
        <v>1393</v>
      </c>
      <c r="AJ2648">
        <v>38.900162999999999</v>
      </c>
      <c r="AK2648" t="s">
        <v>1376</v>
      </c>
      <c r="AL2648">
        <v>-87.610838000000001</v>
      </c>
      <c r="AM2648">
        <v>100</v>
      </c>
      <c r="AN2648">
        <v>2400</v>
      </c>
      <c r="AO2648" t="s">
        <v>118</v>
      </c>
      <c r="AP2648">
        <v>1</v>
      </c>
      <c r="AQ2648">
        <v>-141</v>
      </c>
      <c r="AR2648">
        <v>-128</v>
      </c>
      <c r="AZ2648">
        <v>4552</v>
      </c>
      <c r="BA2648">
        <v>1</v>
      </c>
      <c r="BB2648" t="str">
        <f t="shared" si="954"/>
        <v xml:space="preserve">N607SR  </v>
      </c>
      <c r="BC2648">
        <v>1</v>
      </c>
      <c r="BE2648">
        <v>0</v>
      </c>
      <c r="BF2648">
        <v>0</v>
      </c>
      <c r="BG2648">
        <v>0</v>
      </c>
      <c r="BH2648">
        <v>2175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 t="shared" si="966"/>
        <v>06:19:41.227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6</v>
      </c>
      <c r="CP2648" t="s">
        <v>119</v>
      </c>
      <c r="CQ2648">
        <v>465</v>
      </c>
      <c r="CR2648">
        <v>0</v>
      </c>
      <c r="CW2648">
        <v>4727082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 t="shared" ref="A2649:A2654" si="967">"08/29/2020 06:19:38.963"</f>
        <v>08/29/2020 06:19:38.963</v>
      </c>
      <c r="C2649" t="str">
        <f t="shared" si="952"/>
        <v>FFDFD3C0</v>
      </c>
      <c r="D2649" t="s">
        <v>121</v>
      </c>
      <c r="E2649">
        <v>10</v>
      </c>
      <c r="F2649">
        <v>1010</v>
      </c>
      <c r="G2649" t="s">
        <v>114</v>
      </c>
      <c r="J2649" t="s">
        <v>123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ref="S2649:S2654" si="968">"06:19:42.188"</f>
        <v>06:19:42.188</v>
      </c>
      <c r="T2649" t="str">
        <f t="shared" ref="T2649:T2654" si="969">"06:19:41.787"</f>
        <v>06:19:41.787</v>
      </c>
      <c r="U2649" t="str">
        <f t="shared" si="953"/>
        <v>A7E2E0</v>
      </c>
      <c r="V2649">
        <v>0</v>
      </c>
      <c r="W2649">
        <v>0</v>
      </c>
      <c r="X2649">
        <v>1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0</v>
      </c>
      <c r="AI2649" t="s">
        <v>1394</v>
      </c>
      <c r="AJ2649">
        <v>38.899562000000003</v>
      </c>
      <c r="AK2649" t="s">
        <v>1376</v>
      </c>
      <c r="AL2649">
        <v>-87.610838000000001</v>
      </c>
      <c r="AM2649">
        <v>100</v>
      </c>
      <c r="AN2649">
        <v>2400</v>
      </c>
      <c r="AO2649" t="s">
        <v>118</v>
      </c>
      <c r="AP2649">
        <v>1</v>
      </c>
      <c r="AQ2649">
        <v>-141</v>
      </c>
      <c r="AR2649">
        <v>-128</v>
      </c>
      <c r="AZ2649">
        <v>4552</v>
      </c>
      <c r="BA2649">
        <v>1</v>
      </c>
      <c r="BB2649" t="str">
        <f t="shared" si="954"/>
        <v xml:space="preserve">N607SR  </v>
      </c>
      <c r="BC2649">
        <v>1</v>
      </c>
      <c r="BE2649">
        <v>0</v>
      </c>
      <c r="BF2649">
        <v>0</v>
      </c>
      <c r="BG2649">
        <v>0</v>
      </c>
      <c r="BH2649">
        <v>2175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>"06:19:42.190"</f>
        <v>06:19:42.190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6</v>
      </c>
      <c r="CP2649" t="s">
        <v>119</v>
      </c>
      <c r="CQ2649">
        <v>465</v>
      </c>
      <c r="CR2649">
        <v>0</v>
      </c>
      <c r="CW2649">
        <v>4727107</v>
      </c>
      <c r="CY2649">
        <v>1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 t="shared" si="967"/>
        <v>08/29/2020 06:19:38.963</v>
      </c>
      <c r="C2650" t="str">
        <f t="shared" si="952"/>
        <v>FFDFD3C0</v>
      </c>
      <c r="D2650" t="s">
        <v>121</v>
      </c>
      <c r="E2650">
        <v>13</v>
      </c>
      <c r="F2650">
        <v>1013</v>
      </c>
      <c r="G2650" t="s">
        <v>122</v>
      </c>
      <c r="J2650" t="s">
        <v>123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968"/>
        <v>06:19:42.188</v>
      </c>
      <c r="T2650" t="str">
        <f t="shared" si="969"/>
        <v>06:19:41.787</v>
      </c>
      <c r="U2650" t="str">
        <f t="shared" si="953"/>
        <v>A7E2E0</v>
      </c>
      <c r="V2650">
        <v>0</v>
      </c>
      <c r="W2650">
        <v>0</v>
      </c>
      <c r="X2650">
        <v>1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0</v>
      </c>
      <c r="AI2650" t="s">
        <v>1394</v>
      </c>
      <c r="AJ2650">
        <v>38.899562000000003</v>
      </c>
      <c r="AK2650" t="s">
        <v>1376</v>
      </c>
      <c r="AL2650">
        <v>-87.610838000000001</v>
      </c>
      <c r="AM2650">
        <v>100</v>
      </c>
      <c r="AN2650">
        <v>2400</v>
      </c>
      <c r="AO2650" t="s">
        <v>118</v>
      </c>
      <c r="AP2650">
        <v>1</v>
      </c>
      <c r="AQ2650">
        <v>-141</v>
      </c>
      <c r="AR2650">
        <v>-128</v>
      </c>
      <c r="AZ2650">
        <v>4552</v>
      </c>
      <c r="BA2650">
        <v>1</v>
      </c>
      <c r="BB2650" t="str">
        <f t="shared" si="954"/>
        <v xml:space="preserve">N607SR  </v>
      </c>
      <c r="BC2650">
        <v>1</v>
      </c>
      <c r="BE2650">
        <v>0</v>
      </c>
      <c r="BF2650">
        <v>0</v>
      </c>
      <c r="BG2650">
        <v>0</v>
      </c>
      <c r="BH2650">
        <v>2175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"06:19:42.190"</f>
        <v>06:19:42.190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6</v>
      </c>
      <c r="CP2650" t="s">
        <v>119</v>
      </c>
      <c r="CQ2650">
        <v>465</v>
      </c>
      <c r="CR2650">
        <v>0</v>
      </c>
      <c r="CW2650">
        <v>4727107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 t="shared" si="967"/>
        <v>08/29/2020 06:19:38.963</v>
      </c>
      <c r="C2651" t="str">
        <f t="shared" si="952"/>
        <v>FFDFD3C0</v>
      </c>
      <c r="D2651" t="s">
        <v>121</v>
      </c>
      <c r="E2651">
        <v>11</v>
      </c>
      <c r="F2651">
        <v>1011</v>
      </c>
      <c r="G2651" t="s">
        <v>125</v>
      </c>
      <c r="J2651" t="s">
        <v>123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968"/>
        <v>06:19:42.188</v>
      </c>
      <c r="T2651" t="str">
        <f t="shared" si="969"/>
        <v>06:19:41.787</v>
      </c>
      <c r="U2651" t="str">
        <f t="shared" si="953"/>
        <v>A7E2E0</v>
      </c>
      <c r="V2651">
        <v>0</v>
      </c>
      <c r="W2651">
        <v>0</v>
      </c>
      <c r="X2651">
        <v>1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0</v>
      </c>
      <c r="AI2651" t="s">
        <v>1394</v>
      </c>
      <c r="AJ2651">
        <v>38.899562000000003</v>
      </c>
      <c r="AK2651" t="s">
        <v>1376</v>
      </c>
      <c r="AL2651">
        <v>-87.610838000000001</v>
      </c>
      <c r="AM2651">
        <v>100</v>
      </c>
      <c r="AN2651">
        <v>2400</v>
      </c>
      <c r="AO2651" t="s">
        <v>118</v>
      </c>
      <c r="AP2651">
        <v>1</v>
      </c>
      <c r="AQ2651">
        <v>-141</v>
      </c>
      <c r="AR2651">
        <v>-128</v>
      </c>
      <c r="AZ2651">
        <v>4552</v>
      </c>
      <c r="BA2651">
        <v>1</v>
      </c>
      <c r="BB2651" t="str">
        <f t="shared" si="954"/>
        <v xml:space="preserve">N607SR  </v>
      </c>
      <c r="BC2651">
        <v>1</v>
      </c>
      <c r="BE2651">
        <v>0</v>
      </c>
      <c r="BF2651">
        <v>0</v>
      </c>
      <c r="BG2651">
        <v>0</v>
      </c>
      <c r="BH2651">
        <v>2175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"06:19:42.191"</f>
        <v>06:19:42.191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4</v>
      </c>
      <c r="CP2651" t="s">
        <v>119</v>
      </c>
      <c r="CQ2651">
        <v>177</v>
      </c>
      <c r="CR2651">
        <v>2</v>
      </c>
      <c r="CW2651">
        <v>1677759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 t="shared" si="967"/>
        <v>08/29/2020 06:19:38.963</v>
      </c>
      <c r="C2652" t="str">
        <f t="shared" si="952"/>
        <v>FFDFD3C0</v>
      </c>
      <c r="D2652" t="s">
        <v>113</v>
      </c>
      <c r="E2652">
        <v>5</v>
      </c>
      <c r="H2652">
        <v>163</v>
      </c>
      <c r="I2652" t="s">
        <v>114</v>
      </c>
      <c r="J2652" t="s">
        <v>115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968"/>
        <v>06:19:42.188</v>
      </c>
      <c r="T2652" t="str">
        <f t="shared" si="969"/>
        <v>06:19:41.787</v>
      </c>
      <c r="U2652" t="str">
        <f t="shared" si="953"/>
        <v>A7E2E0</v>
      </c>
      <c r="V2652">
        <v>0</v>
      </c>
      <c r="W2652">
        <v>0</v>
      </c>
      <c r="X2652">
        <v>1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0</v>
      </c>
      <c r="AI2652" t="s">
        <v>1394</v>
      </c>
      <c r="AJ2652">
        <v>38.899562000000003</v>
      </c>
      <c r="AK2652" t="s">
        <v>1376</v>
      </c>
      <c r="AL2652">
        <v>-87.610838000000001</v>
      </c>
      <c r="AM2652">
        <v>100</v>
      </c>
      <c r="AN2652">
        <v>2400</v>
      </c>
      <c r="AO2652" t="s">
        <v>118</v>
      </c>
      <c r="AP2652">
        <v>1</v>
      </c>
      <c r="AQ2652">
        <v>-141</v>
      </c>
      <c r="AR2652">
        <v>-128</v>
      </c>
      <c r="AZ2652">
        <v>4552</v>
      </c>
      <c r="BA2652">
        <v>1</v>
      </c>
      <c r="BB2652" t="str">
        <f t="shared" si="954"/>
        <v xml:space="preserve">N607SR  </v>
      </c>
      <c r="BC2652">
        <v>1</v>
      </c>
      <c r="BE2652">
        <v>0</v>
      </c>
      <c r="BF2652">
        <v>0</v>
      </c>
      <c r="BG2652">
        <v>0</v>
      </c>
      <c r="BH2652">
        <v>2175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"06:19:42.190"</f>
        <v>06:19:42.190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6</v>
      </c>
      <c r="CP2652" t="s">
        <v>119</v>
      </c>
      <c r="CQ2652">
        <v>465</v>
      </c>
      <c r="CR2652">
        <v>0</v>
      </c>
      <c r="CW2652">
        <v>4727107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 t="shared" si="967"/>
        <v>08/29/2020 06:19:38.963</v>
      </c>
      <c r="C2653" t="str">
        <f t="shared" si="952"/>
        <v>FFDFD3C0</v>
      </c>
      <c r="D2653" t="s">
        <v>128</v>
      </c>
      <c r="E2653">
        <v>5</v>
      </c>
      <c r="H2653">
        <v>241</v>
      </c>
      <c r="I2653" t="s">
        <v>129</v>
      </c>
      <c r="J2653" t="s">
        <v>130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968"/>
        <v>06:19:42.188</v>
      </c>
      <c r="T2653" t="str">
        <f t="shared" si="969"/>
        <v>06:19:41.787</v>
      </c>
      <c r="U2653" t="str">
        <f t="shared" si="953"/>
        <v>A7E2E0</v>
      </c>
      <c r="V2653">
        <v>0</v>
      </c>
      <c r="W2653">
        <v>0</v>
      </c>
      <c r="X2653">
        <v>1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0</v>
      </c>
      <c r="AI2653" t="s">
        <v>1394</v>
      </c>
      <c r="AJ2653">
        <v>38.899562000000003</v>
      </c>
      <c r="AK2653" t="s">
        <v>1376</v>
      </c>
      <c r="AL2653">
        <v>-87.610838000000001</v>
      </c>
      <c r="AM2653">
        <v>100</v>
      </c>
      <c r="AN2653">
        <v>2400</v>
      </c>
      <c r="AO2653" t="s">
        <v>118</v>
      </c>
      <c r="AP2653">
        <v>1</v>
      </c>
      <c r="AQ2653">
        <v>-141</v>
      </c>
      <c r="AR2653">
        <v>-128</v>
      </c>
      <c r="AZ2653">
        <v>4552</v>
      </c>
      <c r="BA2653">
        <v>1</v>
      </c>
      <c r="BB2653" t="str">
        <f t="shared" si="954"/>
        <v xml:space="preserve">N607SR  </v>
      </c>
      <c r="BC2653">
        <v>1</v>
      </c>
      <c r="BE2653">
        <v>0</v>
      </c>
      <c r="BF2653">
        <v>0</v>
      </c>
      <c r="BG2653">
        <v>0</v>
      </c>
      <c r="BH2653">
        <v>2175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"06:19:42.190"</f>
        <v>06:19:42.190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6</v>
      </c>
      <c r="CP2653" t="s">
        <v>119</v>
      </c>
      <c r="CQ2653">
        <v>465</v>
      </c>
      <c r="CR2653">
        <v>0</v>
      </c>
      <c r="CW2653">
        <v>4727107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 t="shared" si="967"/>
        <v>08/29/2020 06:19:38.963</v>
      </c>
      <c r="C2654" t="str">
        <f t="shared" si="952"/>
        <v>FFDFD3C0</v>
      </c>
      <c r="D2654" t="s">
        <v>939</v>
      </c>
      <c r="E2654">
        <v>10</v>
      </c>
      <c r="H2654">
        <v>79</v>
      </c>
      <c r="I2654" t="s">
        <v>940</v>
      </c>
      <c r="J2654" t="s">
        <v>130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968"/>
        <v>06:19:42.188</v>
      </c>
      <c r="T2654" t="str">
        <f t="shared" si="969"/>
        <v>06:19:41.787</v>
      </c>
      <c r="U2654" t="str">
        <f t="shared" si="953"/>
        <v>A7E2E0</v>
      </c>
      <c r="V2654">
        <v>0</v>
      </c>
      <c r="W2654">
        <v>0</v>
      </c>
      <c r="X2654">
        <v>1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0</v>
      </c>
      <c r="AI2654" t="s">
        <v>1394</v>
      </c>
      <c r="AJ2654">
        <v>38.899562000000003</v>
      </c>
      <c r="AK2654" t="s">
        <v>1376</v>
      </c>
      <c r="AL2654">
        <v>-87.610838000000001</v>
      </c>
      <c r="AM2654">
        <v>100</v>
      </c>
      <c r="AN2654">
        <v>2400</v>
      </c>
      <c r="AO2654" t="s">
        <v>118</v>
      </c>
      <c r="AP2654">
        <v>1</v>
      </c>
      <c r="AQ2654">
        <v>-141</v>
      </c>
      <c r="AR2654">
        <v>-128</v>
      </c>
      <c r="AZ2654">
        <v>4552</v>
      </c>
      <c r="BA2654">
        <v>1</v>
      </c>
      <c r="BB2654" t="str">
        <f t="shared" si="954"/>
        <v xml:space="preserve">N607SR  </v>
      </c>
      <c r="BC2654">
        <v>1</v>
      </c>
      <c r="BE2654">
        <v>0</v>
      </c>
      <c r="BF2654">
        <v>0</v>
      </c>
      <c r="BG2654">
        <v>0</v>
      </c>
      <c r="BH2654">
        <v>2175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>"06:19:42.190"</f>
        <v>06:19:42.190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6</v>
      </c>
      <c r="CP2654" t="s">
        <v>119</v>
      </c>
      <c r="CQ2654">
        <v>465</v>
      </c>
      <c r="CR2654">
        <v>0</v>
      </c>
      <c r="CW2654">
        <v>4727107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 t="shared" ref="A2655:A2660" si="970">"08/29/2020 06:19:39.903"</f>
        <v>08/29/2020 06:19:39.903</v>
      </c>
      <c r="C2655" t="str">
        <f t="shared" si="952"/>
        <v>FFDFD3C0</v>
      </c>
      <c r="D2655" t="s">
        <v>113</v>
      </c>
      <c r="E2655">
        <v>5</v>
      </c>
      <c r="H2655">
        <v>163</v>
      </c>
      <c r="I2655" t="s">
        <v>114</v>
      </c>
      <c r="J2655" t="s">
        <v>115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ref="S2655:S2660" si="971">"06:19:43.164"</f>
        <v>06:19:43.164</v>
      </c>
      <c r="T2655" t="str">
        <f t="shared" ref="T2655:T2660" si="972">"06:19:42.764"</f>
        <v>06:19:42.764</v>
      </c>
      <c r="U2655" t="str">
        <f t="shared" si="953"/>
        <v>A7E2E0</v>
      </c>
      <c r="V2655">
        <v>0</v>
      </c>
      <c r="W2655">
        <v>0</v>
      </c>
      <c r="X2655">
        <v>1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0</v>
      </c>
      <c r="AI2655" t="s">
        <v>1395</v>
      </c>
      <c r="AJ2655">
        <v>38.898918999999999</v>
      </c>
      <c r="AK2655" t="s">
        <v>1376</v>
      </c>
      <c r="AL2655">
        <v>-87.610838000000001</v>
      </c>
      <c r="AM2655">
        <v>100</v>
      </c>
      <c r="AN2655">
        <v>2400</v>
      </c>
      <c r="AO2655" t="s">
        <v>118</v>
      </c>
      <c r="AP2655">
        <v>2</v>
      </c>
      <c r="AQ2655">
        <v>-141</v>
      </c>
      <c r="AR2655">
        <v>-128</v>
      </c>
      <c r="AZ2655">
        <v>4552</v>
      </c>
      <c r="BA2655">
        <v>1</v>
      </c>
      <c r="BB2655" t="str">
        <f t="shared" si="954"/>
        <v xml:space="preserve">N607SR  </v>
      </c>
      <c r="BC2655">
        <v>1</v>
      </c>
      <c r="BE2655">
        <v>0</v>
      </c>
      <c r="BF2655">
        <v>0</v>
      </c>
      <c r="BG2655">
        <v>0</v>
      </c>
      <c r="BH2655">
        <v>2175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 t="shared" ref="BW2655:BW2660" si="973">"06:19:43.169"</f>
        <v>06:19:43.169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6</v>
      </c>
      <c r="CP2655" t="s">
        <v>119</v>
      </c>
      <c r="CQ2655">
        <v>465</v>
      </c>
      <c r="CR2655">
        <v>0</v>
      </c>
      <c r="CW2655">
        <v>4727137</v>
      </c>
      <c r="CY2655">
        <v>1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 t="shared" si="970"/>
        <v>08/29/2020 06:19:39.903</v>
      </c>
      <c r="C2656" t="str">
        <f t="shared" si="952"/>
        <v>FFDFD3C0</v>
      </c>
      <c r="D2656" t="s">
        <v>939</v>
      </c>
      <c r="E2656">
        <v>10</v>
      </c>
      <c r="H2656">
        <v>79</v>
      </c>
      <c r="I2656" t="s">
        <v>940</v>
      </c>
      <c r="J2656" t="s">
        <v>130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971"/>
        <v>06:19:43.164</v>
      </c>
      <c r="T2656" t="str">
        <f t="shared" si="972"/>
        <v>06:19:42.764</v>
      </c>
      <c r="U2656" t="str">
        <f t="shared" si="953"/>
        <v>A7E2E0</v>
      </c>
      <c r="V2656">
        <v>0</v>
      </c>
      <c r="W2656">
        <v>0</v>
      </c>
      <c r="X2656">
        <v>1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0</v>
      </c>
      <c r="AI2656" t="s">
        <v>1395</v>
      </c>
      <c r="AJ2656">
        <v>38.898918999999999</v>
      </c>
      <c r="AK2656" t="s">
        <v>1376</v>
      </c>
      <c r="AL2656">
        <v>-87.610838000000001</v>
      </c>
      <c r="AM2656">
        <v>100</v>
      </c>
      <c r="AN2656">
        <v>2400</v>
      </c>
      <c r="AO2656" t="s">
        <v>118</v>
      </c>
      <c r="AP2656">
        <v>2</v>
      </c>
      <c r="AQ2656">
        <v>-141</v>
      </c>
      <c r="AR2656">
        <v>-128</v>
      </c>
      <c r="AZ2656">
        <v>4552</v>
      </c>
      <c r="BA2656">
        <v>1</v>
      </c>
      <c r="BB2656" t="str">
        <f t="shared" si="954"/>
        <v xml:space="preserve">N607SR  </v>
      </c>
      <c r="BC2656">
        <v>1</v>
      </c>
      <c r="BE2656">
        <v>0</v>
      </c>
      <c r="BF2656">
        <v>0</v>
      </c>
      <c r="BG2656">
        <v>0</v>
      </c>
      <c r="BH2656">
        <v>2175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 t="shared" si="973"/>
        <v>06:19:43.169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6</v>
      </c>
      <c r="CP2656" t="s">
        <v>119</v>
      </c>
      <c r="CQ2656">
        <v>465</v>
      </c>
      <c r="CR2656">
        <v>0</v>
      </c>
      <c r="CW2656">
        <v>4727137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 t="shared" si="970"/>
        <v>08/29/2020 06:19:39.903</v>
      </c>
      <c r="C2657" t="str">
        <f t="shared" si="952"/>
        <v>FFDFD3C0</v>
      </c>
      <c r="D2657" t="s">
        <v>128</v>
      </c>
      <c r="E2657">
        <v>5</v>
      </c>
      <c r="H2657">
        <v>241</v>
      </c>
      <c r="I2657" t="s">
        <v>129</v>
      </c>
      <c r="J2657" t="s">
        <v>130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971"/>
        <v>06:19:43.164</v>
      </c>
      <c r="T2657" t="str">
        <f t="shared" si="972"/>
        <v>06:19:42.764</v>
      </c>
      <c r="U2657" t="str">
        <f t="shared" si="953"/>
        <v>A7E2E0</v>
      </c>
      <c r="V2657">
        <v>0</v>
      </c>
      <c r="W2657">
        <v>0</v>
      </c>
      <c r="X2657">
        <v>1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0</v>
      </c>
      <c r="AI2657" t="s">
        <v>1395</v>
      </c>
      <c r="AJ2657">
        <v>38.898918999999999</v>
      </c>
      <c r="AK2657" t="s">
        <v>1376</v>
      </c>
      <c r="AL2657">
        <v>-87.610838000000001</v>
      </c>
      <c r="AM2657">
        <v>100</v>
      </c>
      <c r="AN2657">
        <v>2400</v>
      </c>
      <c r="AO2657" t="s">
        <v>118</v>
      </c>
      <c r="AP2657">
        <v>2</v>
      </c>
      <c r="AQ2657">
        <v>-141</v>
      </c>
      <c r="AR2657">
        <v>-128</v>
      </c>
      <c r="AZ2657">
        <v>4552</v>
      </c>
      <c r="BA2657">
        <v>1</v>
      </c>
      <c r="BB2657" t="str">
        <f t="shared" si="954"/>
        <v xml:space="preserve">N607SR  </v>
      </c>
      <c r="BC2657">
        <v>1</v>
      </c>
      <c r="BE2657">
        <v>0</v>
      </c>
      <c r="BF2657">
        <v>0</v>
      </c>
      <c r="BG2657">
        <v>0</v>
      </c>
      <c r="BH2657">
        <v>2175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 t="shared" si="973"/>
        <v>06:19:43.169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6</v>
      </c>
      <c r="CP2657" t="s">
        <v>119</v>
      </c>
      <c r="CQ2657">
        <v>465</v>
      </c>
      <c r="CR2657">
        <v>0</v>
      </c>
      <c r="CW2657">
        <v>4727137</v>
      </c>
      <c r="CY2657">
        <v>1</v>
      </c>
      <c r="CZ2657">
        <v>0</v>
      </c>
      <c r="DA2657">
        <v>1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 t="shared" si="970"/>
        <v>08/29/2020 06:19:39.903</v>
      </c>
      <c r="C2658" t="str">
        <f t="shared" si="952"/>
        <v>FFDFD3C0</v>
      </c>
      <c r="D2658" t="s">
        <v>121</v>
      </c>
      <c r="E2658">
        <v>10</v>
      </c>
      <c r="F2658">
        <v>1010</v>
      </c>
      <c r="G2658" t="s">
        <v>114</v>
      </c>
      <c r="J2658" t="s">
        <v>123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971"/>
        <v>06:19:43.164</v>
      </c>
      <c r="T2658" t="str">
        <f t="shared" si="972"/>
        <v>06:19:42.764</v>
      </c>
      <c r="U2658" t="str">
        <f t="shared" si="953"/>
        <v>A7E2E0</v>
      </c>
      <c r="V2658">
        <v>0</v>
      </c>
      <c r="W2658">
        <v>0</v>
      </c>
      <c r="X2658">
        <v>1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0</v>
      </c>
      <c r="AI2658" t="s">
        <v>1395</v>
      </c>
      <c r="AJ2658">
        <v>38.898918999999999</v>
      </c>
      <c r="AK2658" t="s">
        <v>1376</v>
      </c>
      <c r="AL2658">
        <v>-87.610838000000001</v>
      </c>
      <c r="AM2658">
        <v>100</v>
      </c>
      <c r="AN2658">
        <v>2400</v>
      </c>
      <c r="AO2658" t="s">
        <v>118</v>
      </c>
      <c r="AP2658">
        <v>2</v>
      </c>
      <c r="AQ2658">
        <v>-141</v>
      </c>
      <c r="AR2658">
        <v>-128</v>
      </c>
      <c r="AZ2658">
        <v>4552</v>
      </c>
      <c r="BA2658">
        <v>1</v>
      </c>
      <c r="BB2658" t="str">
        <f t="shared" si="954"/>
        <v xml:space="preserve">N607SR  </v>
      </c>
      <c r="BC2658">
        <v>1</v>
      </c>
      <c r="BE2658">
        <v>0</v>
      </c>
      <c r="BF2658">
        <v>0</v>
      </c>
      <c r="BG2658">
        <v>0</v>
      </c>
      <c r="BH2658">
        <v>2175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 t="shared" si="973"/>
        <v>06:19:43.169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6</v>
      </c>
      <c r="CP2658" t="s">
        <v>119</v>
      </c>
      <c r="CQ2658">
        <v>465</v>
      </c>
      <c r="CR2658">
        <v>0</v>
      </c>
      <c r="CW2658">
        <v>4727137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 t="shared" si="970"/>
        <v>08/29/2020 06:19:39.903</v>
      </c>
      <c r="C2659" t="str">
        <f t="shared" si="952"/>
        <v>FFDFD3C0</v>
      </c>
      <c r="D2659" t="s">
        <v>121</v>
      </c>
      <c r="E2659">
        <v>13</v>
      </c>
      <c r="F2659">
        <v>1013</v>
      </c>
      <c r="G2659" t="s">
        <v>122</v>
      </c>
      <c r="J2659" t="s">
        <v>123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si="971"/>
        <v>06:19:43.164</v>
      </c>
      <c r="T2659" t="str">
        <f t="shared" si="972"/>
        <v>06:19:42.764</v>
      </c>
      <c r="U2659" t="str">
        <f t="shared" si="953"/>
        <v>A7E2E0</v>
      </c>
      <c r="V2659">
        <v>0</v>
      </c>
      <c r="W2659">
        <v>0</v>
      </c>
      <c r="X2659">
        <v>1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0</v>
      </c>
      <c r="AI2659" t="s">
        <v>1395</v>
      </c>
      <c r="AJ2659">
        <v>38.898918999999999</v>
      </c>
      <c r="AK2659" t="s">
        <v>1376</v>
      </c>
      <c r="AL2659">
        <v>-87.610838000000001</v>
      </c>
      <c r="AM2659">
        <v>100</v>
      </c>
      <c r="AN2659">
        <v>2400</v>
      </c>
      <c r="AO2659" t="s">
        <v>118</v>
      </c>
      <c r="AP2659">
        <v>2</v>
      </c>
      <c r="AQ2659">
        <v>-141</v>
      </c>
      <c r="AR2659">
        <v>-128</v>
      </c>
      <c r="AZ2659">
        <v>4552</v>
      </c>
      <c r="BA2659">
        <v>1</v>
      </c>
      <c r="BB2659" t="str">
        <f t="shared" si="954"/>
        <v xml:space="preserve">N607SR  </v>
      </c>
      <c r="BC2659">
        <v>1</v>
      </c>
      <c r="BE2659">
        <v>0</v>
      </c>
      <c r="BF2659">
        <v>0</v>
      </c>
      <c r="BG2659">
        <v>0</v>
      </c>
      <c r="BH2659">
        <v>2175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 t="shared" si="973"/>
        <v>06:19:43.169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6</v>
      </c>
      <c r="CP2659" t="s">
        <v>119</v>
      </c>
      <c r="CQ2659">
        <v>465</v>
      </c>
      <c r="CR2659">
        <v>0</v>
      </c>
      <c r="CW2659">
        <v>4727137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 t="shared" si="970"/>
        <v>08/29/2020 06:19:39.903</v>
      </c>
      <c r="C2660" t="str">
        <f t="shared" si="952"/>
        <v>FFDFD3C0</v>
      </c>
      <c r="D2660" t="s">
        <v>121</v>
      </c>
      <c r="E2660">
        <v>11</v>
      </c>
      <c r="F2660">
        <v>1011</v>
      </c>
      <c r="G2660" t="s">
        <v>125</v>
      </c>
      <c r="J2660" t="s">
        <v>123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971"/>
        <v>06:19:43.164</v>
      </c>
      <c r="T2660" t="str">
        <f t="shared" si="972"/>
        <v>06:19:42.764</v>
      </c>
      <c r="U2660" t="str">
        <f t="shared" si="953"/>
        <v>A7E2E0</v>
      </c>
      <c r="V2660">
        <v>0</v>
      </c>
      <c r="W2660">
        <v>0</v>
      </c>
      <c r="X2660">
        <v>1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0</v>
      </c>
      <c r="AI2660" t="s">
        <v>1395</v>
      </c>
      <c r="AJ2660">
        <v>38.898918999999999</v>
      </c>
      <c r="AK2660" t="s">
        <v>1376</v>
      </c>
      <c r="AL2660">
        <v>-87.610838000000001</v>
      </c>
      <c r="AM2660">
        <v>100</v>
      </c>
      <c r="AN2660">
        <v>2400</v>
      </c>
      <c r="AO2660" t="s">
        <v>118</v>
      </c>
      <c r="AP2660">
        <v>2</v>
      </c>
      <c r="AQ2660">
        <v>-141</v>
      </c>
      <c r="AR2660">
        <v>-128</v>
      </c>
      <c r="AZ2660">
        <v>4552</v>
      </c>
      <c r="BA2660">
        <v>1</v>
      </c>
      <c r="BB2660" t="str">
        <f t="shared" si="954"/>
        <v xml:space="preserve">N607SR  </v>
      </c>
      <c r="BC2660">
        <v>1</v>
      </c>
      <c r="BE2660">
        <v>0</v>
      </c>
      <c r="BF2660">
        <v>0</v>
      </c>
      <c r="BG2660">
        <v>0</v>
      </c>
      <c r="BH2660">
        <v>2175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 t="shared" si="973"/>
        <v>06:19:43.169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4</v>
      </c>
      <c r="CP2660" t="s">
        <v>119</v>
      </c>
      <c r="CQ2660">
        <v>177</v>
      </c>
      <c r="CR2660">
        <v>2</v>
      </c>
      <c r="CW2660">
        <v>1677920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 t="shared" ref="A2661:A2666" si="974">"08/29/2020 06:19:40.963"</f>
        <v>08/29/2020 06:19:40.963</v>
      </c>
      <c r="C2661" t="str">
        <f t="shared" si="952"/>
        <v>FFDFD3C0</v>
      </c>
      <c r="D2661" t="s">
        <v>939</v>
      </c>
      <c r="E2661">
        <v>10</v>
      </c>
      <c r="H2661">
        <v>79</v>
      </c>
      <c r="I2661" t="s">
        <v>940</v>
      </c>
      <c r="J2661" t="s">
        <v>130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ref="S2661:S2666" si="975">"06:19:44.164"</f>
        <v>06:19:44.164</v>
      </c>
      <c r="T2661" t="str">
        <f t="shared" ref="T2661:T2666" si="976">"06:19:43.664"</f>
        <v>06:19:43.664</v>
      </c>
      <c r="U2661" t="str">
        <f t="shared" si="953"/>
        <v>A7E2E0</v>
      </c>
      <c r="V2661">
        <v>0</v>
      </c>
      <c r="W2661">
        <v>0</v>
      </c>
      <c r="X2661">
        <v>1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0</v>
      </c>
      <c r="AI2661" t="s">
        <v>1396</v>
      </c>
      <c r="AJ2661">
        <v>38.898274999999998</v>
      </c>
      <c r="AK2661" t="s">
        <v>1376</v>
      </c>
      <c r="AL2661">
        <v>-87.610838000000001</v>
      </c>
      <c r="AM2661">
        <v>100</v>
      </c>
      <c r="AN2661">
        <v>2400</v>
      </c>
      <c r="AO2661" t="s">
        <v>118</v>
      </c>
      <c r="AP2661">
        <v>2</v>
      </c>
      <c r="AQ2661">
        <v>-141</v>
      </c>
      <c r="AR2661">
        <v>-192</v>
      </c>
      <c r="AZ2661">
        <v>4552</v>
      </c>
      <c r="BA2661">
        <v>1</v>
      </c>
      <c r="BB2661" t="str">
        <f t="shared" si="954"/>
        <v xml:space="preserve">N607SR  </v>
      </c>
      <c r="BC2661">
        <v>1</v>
      </c>
      <c r="BE2661">
        <v>0</v>
      </c>
      <c r="BF2661">
        <v>0</v>
      </c>
      <c r="BG2661">
        <v>0</v>
      </c>
      <c r="BH2661">
        <v>2175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 t="shared" ref="BW2661:BW2666" si="977">"06:19:44.170"</f>
        <v>06:19:44.170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6</v>
      </c>
      <c r="CP2661" t="s">
        <v>119</v>
      </c>
      <c r="CQ2661">
        <v>465</v>
      </c>
      <c r="CR2661">
        <v>0</v>
      </c>
      <c r="CW2661">
        <v>4727163</v>
      </c>
      <c r="CY2661">
        <v>1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 t="shared" si="974"/>
        <v>08/29/2020 06:19:40.963</v>
      </c>
      <c r="C2662" t="str">
        <f t="shared" si="952"/>
        <v>FFDFD3C0</v>
      </c>
      <c r="D2662" t="s">
        <v>121</v>
      </c>
      <c r="E2662">
        <v>11</v>
      </c>
      <c r="F2662">
        <v>1011</v>
      </c>
      <c r="G2662" t="s">
        <v>125</v>
      </c>
      <c r="J2662" t="s">
        <v>123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975"/>
        <v>06:19:44.164</v>
      </c>
      <c r="T2662" t="str">
        <f t="shared" si="976"/>
        <v>06:19:43.664</v>
      </c>
      <c r="U2662" t="str">
        <f t="shared" si="953"/>
        <v>A7E2E0</v>
      </c>
      <c r="V2662">
        <v>0</v>
      </c>
      <c r="W2662">
        <v>0</v>
      </c>
      <c r="X2662">
        <v>1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0</v>
      </c>
      <c r="AI2662" t="s">
        <v>1396</v>
      </c>
      <c r="AJ2662">
        <v>38.898274999999998</v>
      </c>
      <c r="AK2662" t="s">
        <v>1376</v>
      </c>
      <c r="AL2662">
        <v>-87.610838000000001</v>
      </c>
      <c r="AM2662">
        <v>100</v>
      </c>
      <c r="AN2662">
        <v>2400</v>
      </c>
      <c r="AO2662" t="s">
        <v>118</v>
      </c>
      <c r="AP2662">
        <v>2</v>
      </c>
      <c r="AQ2662">
        <v>-141</v>
      </c>
      <c r="AR2662">
        <v>-192</v>
      </c>
      <c r="AZ2662">
        <v>4552</v>
      </c>
      <c r="BA2662">
        <v>1</v>
      </c>
      <c r="BB2662" t="str">
        <f t="shared" si="954"/>
        <v xml:space="preserve">N607SR  </v>
      </c>
      <c r="BC2662">
        <v>1</v>
      </c>
      <c r="BE2662">
        <v>0</v>
      </c>
      <c r="BF2662">
        <v>0</v>
      </c>
      <c r="BG2662">
        <v>0</v>
      </c>
      <c r="BH2662">
        <v>2175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 t="shared" si="977"/>
        <v>06:19:44.170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4</v>
      </c>
      <c r="CP2662" t="s">
        <v>119</v>
      </c>
      <c r="CQ2662">
        <v>457</v>
      </c>
      <c r="CR2662">
        <v>0</v>
      </c>
      <c r="CW2662">
        <v>15522266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 t="shared" si="974"/>
        <v>08/29/2020 06:19:40.963</v>
      </c>
      <c r="C2663" t="str">
        <f t="shared" si="952"/>
        <v>FFDFD3C0</v>
      </c>
      <c r="D2663" t="s">
        <v>113</v>
      </c>
      <c r="E2663">
        <v>5</v>
      </c>
      <c r="H2663">
        <v>163</v>
      </c>
      <c r="I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975"/>
        <v>06:19:44.164</v>
      </c>
      <c r="T2663" t="str">
        <f t="shared" si="976"/>
        <v>06:19:43.664</v>
      </c>
      <c r="U2663" t="str">
        <f t="shared" si="953"/>
        <v>A7E2E0</v>
      </c>
      <c r="V2663">
        <v>0</v>
      </c>
      <c r="W2663">
        <v>0</v>
      </c>
      <c r="X2663">
        <v>1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0</v>
      </c>
      <c r="AI2663" t="s">
        <v>1396</v>
      </c>
      <c r="AJ2663">
        <v>38.898274999999998</v>
      </c>
      <c r="AK2663" t="s">
        <v>1376</v>
      </c>
      <c r="AL2663">
        <v>-87.610838000000001</v>
      </c>
      <c r="AM2663">
        <v>100</v>
      </c>
      <c r="AN2663">
        <v>2400</v>
      </c>
      <c r="AO2663" t="s">
        <v>118</v>
      </c>
      <c r="AP2663">
        <v>2</v>
      </c>
      <c r="AQ2663">
        <v>-141</v>
      </c>
      <c r="AR2663">
        <v>-192</v>
      </c>
      <c r="AZ2663">
        <v>4552</v>
      </c>
      <c r="BA2663">
        <v>1</v>
      </c>
      <c r="BB2663" t="str">
        <f t="shared" si="954"/>
        <v xml:space="preserve">N607SR  </v>
      </c>
      <c r="BC2663">
        <v>1</v>
      </c>
      <c r="BE2663">
        <v>0</v>
      </c>
      <c r="BF2663">
        <v>0</v>
      </c>
      <c r="BG2663">
        <v>0</v>
      </c>
      <c r="BH2663">
        <v>2175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 t="shared" si="977"/>
        <v>06:19:44.170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6</v>
      </c>
      <c r="CP2663" t="s">
        <v>119</v>
      </c>
      <c r="CQ2663">
        <v>465</v>
      </c>
      <c r="CR2663">
        <v>0</v>
      </c>
      <c r="CW2663">
        <v>4727163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 t="shared" si="974"/>
        <v>08/29/2020 06:19:40.963</v>
      </c>
      <c r="C2664" t="str">
        <f t="shared" si="952"/>
        <v>FFDFD3C0</v>
      </c>
      <c r="D2664" t="s">
        <v>128</v>
      </c>
      <c r="E2664">
        <v>5</v>
      </c>
      <c r="H2664">
        <v>241</v>
      </c>
      <c r="I2664" t="s">
        <v>129</v>
      </c>
      <c r="J2664" t="s">
        <v>130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975"/>
        <v>06:19:44.164</v>
      </c>
      <c r="T2664" t="str">
        <f t="shared" si="976"/>
        <v>06:19:43.664</v>
      </c>
      <c r="U2664" t="str">
        <f t="shared" si="953"/>
        <v>A7E2E0</v>
      </c>
      <c r="V2664">
        <v>0</v>
      </c>
      <c r="W2664">
        <v>0</v>
      </c>
      <c r="X2664">
        <v>1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0</v>
      </c>
      <c r="AI2664" t="s">
        <v>1396</v>
      </c>
      <c r="AJ2664">
        <v>38.898274999999998</v>
      </c>
      <c r="AK2664" t="s">
        <v>1376</v>
      </c>
      <c r="AL2664">
        <v>-87.610838000000001</v>
      </c>
      <c r="AM2664">
        <v>100</v>
      </c>
      <c r="AN2664">
        <v>2400</v>
      </c>
      <c r="AO2664" t="s">
        <v>118</v>
      </c>
      <c r="AP2664">
        <v>2</v>
      </c>
      <c r="AQ2664">
        <v>-141</v>
      </c>
      <c r="AR2664">
        <v>-192</v>
      </c>
      <c r="AZ2664">
        <v>4552</v>
      </c>
      <c r="BA2664">
        <v>1</v>
      </c>
      <c r="BB2664" t="str">
        <f t="shared" si="954"/>
        <v xml:space="preserve">N607SR  </v>
      </c>
      <c r="BC2664">
        <v>1</v>
      </c>
      <c r="BE2664">
        <v>0</v>
      </c>
      <c r="BF2664">
        <v>0</v>
      </c>
      <c r="BG2664">
        <v>0</v>
      </c>
      <c r="BH2664">
        <v>2175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 t="shared" si="977"/>
        <v>06:19:44.170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6</v>
      </c>
      <c r="CP2664" t="s">
        <v>119</v>
      </c>
      <c r="CQ2664">
        <v>465</v>
      </c>
      <c r="CR2664">
        <v>0</v>
      </c>
      <c r="CW2664">
        <v>4727163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 t="shared" si="974"/>
        <v>08/29/2020 06:19:40.963</v>
      </c>
      <c r="C2665" t="str">
        <f t="shared" si="952"/>
        <v>FFDFD3C0</v>
      </c>
      <c r="D2665" t="s">
        <v>121</v>
      </c>
      <c r="E2665">
        <v>10</v>
      </c>
      <c r="F2665">
        <v>1010</v>
      </c>
      <c r="G2665" t="s">
        <v>114</v>
      </c>
      <c r="J2665" t="s">
        <v>123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975"/>
        <v>06:19:44.164</v>
      </c>
      <c r="T2665" t="str">
        <f t="shared" si="976"/>
        <v>06:19:43.664</v>
      </c>
      <c r="U2665" t="str">
        <f t="shared" si="953"/>
        <v>A7E2E0</v>
      </c>
      <c r="V2665">
        <v>0</v>
      </c>
      <c r="W2665">
        <v>0</v>
      </c>
      <c r="X2665">
        <v>1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0</v>
      </c>
      <c r="AI2665" t="s">
        <v>1396</v>
      </c>
      <c r="AJ2665">
        <v>38.898274999999998</v>
      </c>
      <c r="AK2665" t="s">
        <v>1376</v>
      </c>
      <c r="AL2665">
        <v>-87.610838000000001</v>
      </c>
      <c r="AM2665">
        <v>100</v>
      </c>
      <c r="AN2665">
        <v>2400</v>
      </c>
      <c r="AO2665" t="s">
        <v>118</v>
      </c>
      <c r="AP2665">
        <v>2</v>
      </c>
      <c r="AQ2665">
        <v>-141</v>
      </c>
      <c r="AR2665">
        <v>-192</v>
      </c>
      <c r="AZ2665">
        <v>4552</v>
      </c>
      <c r="BA2665">
        <v>1</v>
      </c>
      <c r="BB2665" t="str">
        <f t="shared" si="954"/>
        <v xml:space="preserve">N607SR  </v>
      </c>
      <c r="BC2665">
        <v>1</v>
      </c>
      <c r="BE2665">
        <v>0</v>
      </c>
      <c r="BF2665">
        <v>0</v>
      </c>
      <c r="BG2665">
        <v>0</v>
      </c>
      <c r="BH2665">
        <v>2175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 t="shared" si="977"/>
        <v>06:19:44.170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6</v>
      </c>
      <c r="CP2665" t="s">
        <v>119</v>
      </c>
      <c r="CQ2665">
        <v>465</v>
      </c>
      <c r="CR2665">
        <v>0</v>
      </c>
      <c r="CW2665">
        <v>4727163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 t="shared" si="974"/>
        <v>08/29/2020 06:19:40.963</v>
      </c>
      <c r="C2666" t="str">
        <f t="shared" si="952"/>
        <v>FFDFD3C0</v>
      </c>
      <c r="D2666" t="s">
        <v>121</v>
      </c>
      <c r="E2666">
        <v>13</v>
      </c>
      <c r="F2666">
        <v>1013</v>
      </c>
      <c r="G2666" t="s">
        <v>122</v>
      </c>
      <c r="J2666" t="s">
        <v>123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975"/>
        <v>06:19:44.164</v>
      </c>
      <c r="T2666" t="str">
        <f t="shared" si="976"/>
        <v>06:19:43.664</v>
      </c>
      <c r="U2666" t="str">
        <f t="shared" si="953"/>
        <v>A7E2E0</v>
      </c>
      <c r="V2666">
        <v>0</v>
      </c>
      <c r="W2666">
        <v>0</v>
      </c>
      <c r="X2666">
        <v>1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0</v>
      </c>
      <c r="AI2666" t="s">
        <v>1396</v>
      </c>
      <c r="AJ2666">
        <v>38.898274999999998</v>
      </c>
      <c r="AK2666" t="s">
        <v>1376</v>
      </c>
      <c r="AL2666">
        <v>-87.610838000000001</v>
      </c>
      <c r="AM2666">
        <v>100</v>
      </c>
      <c r="AN2666">
        <v>2400</v>
      </c>
      <c r="AO2666" t="s">
        <v>118</v>
      </c>
      <c r="AP2666">
        <v>2</v>
      </c>
      <c r="AQ2666">
        <v>-141</v>
      </c>
      <c r="AR2666">
        <v>-192</v>
      </c>
      <c r="AZ2666">
        <v>4552</v>
      </c>
      <c r="BA2666">
        <v>1</v>
      </c>
      <c r="BB2666" t="str">
        <f t="shared" si="954"/>
        <v xml:space="preserve">N607SR  </v>
      </c>
      <c r="BC2666">
        <v>1</v>
      </c>
      <c r="BE2666">
        <v>0</v>
      </c>
      <c r="BF2666">
        <v>0</v>
      </c>
      <c r="BG2666">
        <v>0</v>
      </c>
      <c r="BH2666">
        <v>2175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 t="shared" si="977"/>
        <v>06:19:44.170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6</v>
      </c>
      <c r="CP2666" t="s">
        <v>119</v>
      </c>
      <c r="CQ2666">
        <v>465</v>
      </c>
      <c r="CR2666">
        <v>0</v>
      </c>
      <c r="CW2666">
        <v>4727163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 t="shared" ref="A2667:A2672" si="978">"08/29/2020 06:19:42.121"</f>
        <v>08/29/2020 06:19:42.121</v>
      </c>
      <c r="C2667" t="str">
        <f t="shared" si="952"/>
        <v>FFDFD3C0</v>
      </c>
      <c r="D2667" t="s">
        <v>939</v>
      </c>
      <c r="E2667">
        <v>10</v>
      </c>
      <c r="H2667">
        <v>79</v>
      </c>
      <c r="I2667" t="s">
        <v>940</v>
      </c>
      <c r="J2667" t="s">
        <v>130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"06:19:45.320"</f>
        <v>06:19:45.320</v>
      </c>
      <c r="T2667" t="str">
        <f>"06:19:44.820"</f>
        <v>06:19:44.820</v>
      </c>
      <c r="U2667" t="str">
        <f t="shared" si="953"/>
        <v>A7E2E0</v>
      </c>
      <c r="V2667">
        <v>0</v>
      </c>
      <c r="W2667">
        <v>0</v>
      </c>
      <c r="X2667">
        <v>1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0</v>
      </c>
      <c r="AI2667" t="s">
        <v>1397</v>
      </c>
      <c r="AJ2667">
        <v>38.897502000000003</v>
      </c>
      <c r="AK2667" t="s">
        <v>1379</v>
      </c>
      <c r="AL2667">
        <v>-87.610774000000006</v>
      </c>
      <c r="AM2667">
        <v>100</v>
      </c>
      <c r="AN2667">
        <v>2400</v>
      </c>
      <c r="AO2667" t="s">
        <v>118</v>
      </c>
      <c r="AP2667">
        <v>2</v>
      </c>
      <c r="AQ2667">
        <v>-140</v>
      </c>
      <c r="AR2667">
        <v>-192</v>
      </c>
      <c r="AZ2667">
        <v>4552</v>
      </c>
      <c r="BA2667">
        <v>1</v>
      </c>
      <c r="BB2667" t="str">
        <f t="shared" si="954"/>
        <v xml:space="preserve">N607SR  </v>
      </c>
      <c r="BC2667">
        <v>1</v>
      </c>
      <c r="BE2667">
        <v>0</v>
      </c>
      <c r="BF2667">
        <v>0</v>
      </c>
      <c r="BG2667">
        <v>0</v>
      </c>
      <c r="BH2667">
        <v>2175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 t="shared" ref="BW2667:BW2672" si="979">"06:19:45.328"</f>
        <v>06:19:45.328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6</v>
      </c>
      <c r="CP2667" t="s">
        <v>119</v>
      </c>
      <c r="CQ2667">
        <v>465</v>
      </c>
      <c r="CR2667">
        <v>0</v>
      </c>
      <c r="CW2667">
        <v>4727199</v>
      </c>
      <c r="CY2667">
        <v>1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 t="shared" si="978"/>
        <v>08/29/2020 06:19:42.121</v>
      </c>
      <c r="C2668" t="str">
        <f t="shared" si="952"/>
        <v>FFDFD3C0</v>
      </c>
      <c r="D2668" t="s">
        <v>121</v>
      </c>
      <c r="E2668">
        <v>11</v>
      </c>
      <c r="F2668">
        <v>1011</v>
      </c>
      <c r="G2668" t="s">
        <v>125</v>
      </c>
      <c r="J2668" t="s">
        <v>123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"06:19:45.328"</f>
        <v>06:19:45.328</v>
      </c>
      <c r="T2668" t="str">
        <f>"06:19:44.828"</f>
        <v>06:19:44.828</v>
      </c>
      <c r="U2668" t="str">
        <f t="shared" si="953"/>
        <v>A7E2E0</v>
      </c>
      <c r="V2668">
        <v>0</v>
      </c>
      <c r="W2668">
        <v>0</v>
      </c>
      <c r="X2668">
        <v>1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0</v>
      </c>
      <c r="AI2668" t="s">
        <v>1397</v>
      </c>
      <c r="AJ2668">
        <v>38.897502000000003</v>
      </c>
      <c r="AK2668" t="s">
        <v>1379</v>
      </c>
      <c r="AL2668">
        <v>-87.610774000000006</v>
      </c>
      <c r="AM2668">
        <v>100</v>
      </c>
      <c r="AN2668">
        <v>2400</v>
      </c>
      <c r="AO2668" t="s">
        <v>118</v>
      </c>
      <c r="AP2668">
        <v>2</v>
      </c>
      <c r="AQ2668">
        <v>-140</v>
      </c>
      <c r="AR2668">
        <v>-192</v>
      </c>
      <c r="AZ2668">
        <v>4552</v>
      </c>
      <c r="BA2668">
        <v>1</v>
      </c>
      <c r="BB2668" t="str">
        <f t="shared" si="954"/>
        <v xml:space="preserve">N607SR  </v>
      </c>
      <c r="BC2668">
        <v>1</v>
      </c>
      <c r="BE2668">
        <v>0</v>
      </c>
      <c r="BF2668">
        <v>0</v>
      </c>
      <c r="BG2668">
        <v>0</v>
      </c>
      <c r="BH2668">
        <v>2175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 t="shared" si="979"/>
        <v>06:19:45.328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5</v>
      </c>
      <c r="CP2668" t="s">
        <v>119</v>
      </c>
      <c r="CQ2668">
        <v>177</v>
      </c>
      <c r="CR2668">
        <v>2</v>
      </c>
      <c r="CW2668">
        <v>1678300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 t="shared" si="978"/>
        <v>08/29/2020 06:19:42.121</v>
      </c>
      <c r="C2669" t="str">
        <f t="shared" si="952"/>
        <v>FFDFD3C0</v>
      </c>
      <c r="D2669" t="s">
        <v>113</v>
      </c>
      <c r="E2669">
        <v>5</v>
      </c>
      <c r="H2669">
        <v>163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"06:19:45.320"</f>
        <v>06:19:45.320</v>
      </c>
      <c r="T2669" t="str">
        <f>"06:19:44.820"</f>
        <v>06:19:44.820</v>
      </c>
      <c r="U2669" t="str">
        <f t="shared" si="953"/>
        <v>A7E2E0</v>
      </c>
      <c r="V2669">
        <v>0</v>
      </c>
      <c r="W2669">
        <v>0</v>
      </c>
      <c r="X2669">
        <v>1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0</v>
      </c>
      <c r="AI2669" t="s">
        <v>1397</v>
      </c>
      <c r="AJ2669">
        <v>38.897502000000003</v>
      </c>
      <c r="AK2669" t="s">
        <v>1379</v>
      </c>
      <c r="AL2669">
        <v>-87.610774000000006</v>
      </c>
      <c r="AM2669">
        <v>100</v>
      </c>
      <c r="AN2669">
        <v>2400</v>
      </c>
      <c r="AO2669" t="s">
        <v>118</v>
      </c>
      <c r="AP2669">
        <v>2</v>
      </c>
      <c r="AQ2669">
        <v>-140</v>
      </c>
      <c r="AR2669">
        <v>-192</v>
      </c>
      <c r="AZ2669">
        <v>4552</v>
      </c>
      <c r="BA2669">
        <v>1</v>
      </c>
      <c r="BB2669" t="str">
        <f t="shared" si="954"/>
        <v xml:space="preserve">N607SR  </v>
      </c>
      <c r="BC2669">
        <v>1</v>
      </c>
      <c r="BE2669">
        <v>0</v>
      </c>
      <c r="BF2669">
        <v>0</v>
      </c>
      <c r="BG2669">
        <v>0</v>
      </c>
      <c r="BH2669">
        <v>2175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 t="shared" si="979"/>
        <v>06:19:45.328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6</v>
      </c>
      <c r="CP2669" t="s">
        <v>119</v>
      </c>
      <c r="CQ2669">
        <v>465</v>
      </c>
      <c r="CR2669">
        <v>0</v>
      </c>
      <c r="CW2669">
        <v>4727199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 t="shared" si="978"/>
        <v>08/29/2020 06:19:42.121</v>
      </c>
      <c r="C2670" t="str">
        <f t="shared" si="952"/>
        <v>FFDFD3C0</v>
      </c>
      <c r="D2670" t="s">
        <v>128</v>
      </c>
      <c r="E2670">
        <v>5</v>
      </c>
      <c r="H2670">
        <v>241</v>
      </c>
      <c r="I2670" t="s">
        <v>129</v>
      </c>
      <c r="J2670" t="s">
        <v>130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"06:19:45.320"</f>
        <v>06:19:45.320</v>
      </c>
      <c r="T2670" t="str">
        <f>"06:19:44.820"</f>
        <v>06:19:44.820</v>
      </c>
      <c r="U2670" t="str">
        <f t="shared" si="953"/>
        <v>A7E2E0</v>
      </c>
      <c r="V2670">
        <v>0</v>
      </c>
      <c r="W2670">
        <v>0</v>
      </c>
      <c r="X2670">
        <v>1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0</v>
      </c>
      <c r="AI2670" t="s">
        <v>1397</v>
      </c>
      <c r="AJ2670">
        <v>38.897502000000003</v>
      </c>
      <c r="AK2670" t="s">
        <v>1379</v>
      </c>
      <c r="AL2670">
        <v>-87.610774000000006</v>
      </c>
      <c r="AM2670">
        <v>100</v>
      </c>
      <c r="AN2670">
        <v>2400</v>
      </c>
      <c r="AO2670" t="s">
        <v>118</v>
      </c>
      <c r="AP2670">
        <v>2</v>
      </c>
      <c r="AQ2670">
        <v>-140</v>
      </c>
      <c r="AR2670">
        <v>-192</v>
      </c>
      <c r="AZ2670">
        <v>4552</v>
      </c>
      <c r="BA2670">
        <v>1</v>
      </c>
      <c r="BB2670" t="str">
        <f t="shared" si="954"/>
        <v xml:space="preserve">N607SR  </v>
      </c>
      <c r="BC2670">
        <v>1</v>
      </c>
      <c r="BE2670">
        <v>0</v>
      </c>
      <c r="BF2670">
        <v>0</v>
      </c>
      <c r="BG2670">
        <v>0</v>
      </c>
      <c r="BH2670">
        <v>2175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 t="shared" si="979"/>
        <v>06:19:45.328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6</v>
      </c>
      <c r="CP2670" t="s">
        <v>119</v>
      </c>
      <c r="CQ2670">
        <v>465</v>
      </c>
      <c r="CR2670">
        <v>0</v>
      </c>
      <c r="CW2670">
        <v>4727199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 t="shared" si="978"/>
        <v>08/29/2020 06:19:42.121</v>
      </c>
      <c r="C2671" t="str">
        <f t="shared" si="952"/>
        <v>FFDFD3C0</v>
      </c>
      <c r="D2671" t="s">
        <v>121</v>
      </c>
      <c r="E2671">
        <v>10</v>
      </c>
      <c r="F2671">
        <v>1010</v>
      </c>
      <c r="G2671" t="s">
        <v>114</v>
      </c>
      <c r="J2671" t="s">
        <v>123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"06:19:45.320"</f>
        <v>06:19:45.320</v>
      </c>
      <c r="T2671" t="str">
        <f>"06:19:44.820"</f>
        <v>06:19:44.820</v>
      </c>
      <c r="U2671" t="str">
        <f t="shared" si="953"/>
        <v>A7E2E0</v>
      </c>
      <c r="V2671">
        <v>0</v>
      </c>
      <c r="W2671">
        <v>0</v>
      </c>
      <c r="X2671">
        <v>1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0</v>
      </c>
      <c r="AI2671" t="s">
        <v>1397</v>
      </c>
      <c r="AJ2671">
        <v>38.897502000000003</v>
      </c>
      <c r="AK2671" t="s">
        <v>1379</v>
      </c>
      <c r="AL2671">
        <v>-87.610774000000006</v>
      </c>
      <c r="AM2671">
        <v>100</v>
      </c>
      <c r="AN2671">
        <v>2400</v>
      </c>
      <c r="AO2671" t="s">
        <v>118</v>
      </c>
      <c r="AP2671">
        <v>2</v>
      </c>
      <c r="AQ2671">
        <v>-140</v>
      </c>
      <c r="AR2671">
        <v>-192</v>
      </c>
      <c r="AZ2671">
        <v>4552</v>
      </c>
      <c r="BA2671">
        <v>1</v>
      </c>
      <c r="BB2671" t="str">
        <f t="shared" si="954"/>
        <v xml:space="preserve">N607SR  </v>
      </c>
      <c r="BC2671">
        <v>1</v>
      </c>
      <c r="BE2671">
        <v>0</v>
      </c>
      <c r="BF2671">
        <v>0</v>
      </c>
      <c r="BG2671">
        <v>0</v>
      </c>
      <c r="BH2671">
        <v>2175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 t="shared" si="979"/>
        <v>06:19:45.328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6</v>
      </c>
      <c r="CP2671" t="s">
        <v>119</v>
      </c>
      <c r="CQ2671">
        <v>465</v>
      </c>
      <c r="CR2671">
        <v>0</v>
      </c>
      <c r="CW2671">
        <v>4727199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 t="shared" si="978"/>
        <v>08/29/2020 06:19:42.121</v>
      </c>
      <c r="C2672" t="str">
        <f t="shared" si="952"/>
        <v>FFDFD3C0</v>
      </c>
      <c r="D2672" t="s">
        <v>121</v>
      </c>
      <c r="E2672">
        <v>13</v>
      </c>
      <c r="F2672">
        <v>1013</v>
      </c>
      <c r="G2672" t="s">
        <v>122</v>
      </c>
      <c r="J2672" t="s">
        <v>123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"06:19:45.320"</f>
        <v>06:19:45.320</v>
      </c>
      <c r="T2672" t="str">
        <f>"06:19:44.820"</f>
        <v>06:19:44.820</v>
      </c>
      <c r="U2672" t="str">
        <f t="shared" si="953"/>
        <v>A7E2E0</v>
      </c>
      <c r="V2672">
        <v>0</v>
      </c>
      <c r="W2672">
        <v>0</v>
      </c>
      <c r="X2672">
        <v>1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0</v>
      </c>
      <c r="AI2672" t="s">
        <v>1397</v>
      </c>
      <c r="AJ2672">
        <v>38.897502000000003</v>
      </c>
      <c r="AK2672" t="s">
        <v>1379</v>
      </c>
      <c r="AL2672">
        <v>-87.610774000000006</v>
      </c>
      <c r="AM2672">
        <v>100</v>
      </c>
      <c r="AN2672">
        <v>2400</v>
      </c>
      <c r="AO2672" t="s">
        <v>118</v>
      </c>
      <c r="AP2672">
        <v>2</v>
      </c>
      <c r="AQ2672">
        <v>-140</v>
      </c>
      <c r="AR2672">
        <v>-192</v>
      </c>
      <c r="AZ2672">
        <v>4552</v>
      </c>
      <c r="BA2672">
        <v>1</v>
      </c>
      <c r="BB2672" t="str">
        <f t="shared" si="954"/>
        <v xml:space="preserve">N607SR  </v>
      </c>
      <c r="BC2672">
        <v>1</v>
      </c>
      <c r="BE2672">
        <v>0</v>
      </c>
      <c r="BF2672">
        <v>0</v>
      </c>
      <c r="BG2672">
        <v>0</v>
      </c>
      <c r="BH2672">
        <v>2175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 t="shared" si="979"/>
        <v>06:19:45.328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6</v>
      </c>
      <c r="CP2672" t="s">
        <v>119</v>
      </c>
      <c r="CQ2672">
        <v>465</v>
      </c>
      <c r="CR2672">
        <v>0</v>
      </c>
      <c r="CW2672">
        <v>4727199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 t="shared" ref="A2673:A2678" si="980">"08/29/2020 06:19:43.076"</f>
        <v>08/29/2020 06:19:43.076</v>
      </c>
      <c r="C2673" t="str">
        <f t="shared" si="952"/>
        <v>FFDFD3C0</v>
      </c>
      <c r="D2673" t="s">
        <v>939</v>
      </c>
      <c r="E2673">
        <v>10</v>
      </c>
      <c r="H2673">
        <v>79</v>
      </c>
      <c r="I2673" t="s">
        <v>940</v>
      </c>
      <c r="J2673" t="s">
        <v>130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ref="S2673:S2678" si="981">"06:19:46.289"</f>
        <v>06:19:46.289</v>
      </c>
      <c r="T2673" t="str">
        <f t="shared" ref="T2673:T2678" si="982">"06:19:45.789"</f>
        <v>06:19:45.789</v>
      </c>
      <c r="U2673" t="str">
        <f t="shared" si="953"/>
        <v>A7E2E0</v>
      </c>
      <c r="V2673">
        <v>0</v>
      </c>
      <c r="W2673">
        <v>0</v>
      </c>
      <c r="X2673">
        <v>1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0</v>
      </c>
      <c r="AI2673" t="s">
        <v>1398</v>
      </c>
      <c r="AJ2673">
        <v>38.896901999999997</v>
      </c>
      <c r="AK2673" t="s">
        <v>1379</v>
      </c>
      <c r="AL2673">
        <v>-87.610774000000006</v>
      </c>
      <c r="AM2673">
        <v>100</v>
      </c>
      <c r="AN2673">
        <v>2400</v>
      </c>
      <c r="AO2673" t="s">
        <v>118</v>
      </c>
      <c r="AP2673">
        <v>2</v>
      </c>
      <c r="AQ2673">
        <v>-140</v>
      </c>
      <c r="AR2673">
        <v>-64</v>
      </c>
      <c r="AZ2673">
        <v>4552</v>
      </c>
      <c r="BA2673">
        <v>1</v>
      </c>
      <c r="BB2673" t="str">
        <f t="shared" si="954"/>
        <v xml:space="preserve">N607SR  </v>
      </c>
      <c r="BC2673">
        <v>1</v>
      </c>
      <c r="BE2673">
        <v>0</v>
      </c>
      <c r="BF2673">
        <v>0</v>
      </c>
      <c r="BG2673">
        <v>0</v>
      </c>
      <c r="BH2673">
        <v>2175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 t="shared" ref="BW2673:BW2678" si="983">"06:19:46.296"</f>
        <v>06:19:46.296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6</v>
      </c>
      <c r="CP2673" t="s">
        <v>119</v>
      </c>
      <c r="CQ2673">
        <v>465</v>
      </c>
      <c r="CR2673">
        <v>0</v>
      </c>
      <c r="CW2673">
        <v>4727224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 t="shared" si="980"/>
        <v>08/29/2020 06:19:43.076</v>
      </c>
      <c r="C2674" t="str">
        <f t="shared" si="952"/>
        <v>FFDFD3C0</v>
      </c>
      <c r="D2674" t="s">
        <v>121</v>
      </c>
      <c r="E2674">
        <v>11</v>
      </c>
      <c r="F2674">
        <v>1011</v>
      </c>
      <c r="G2674" t="s">
        <v>125</v>
      </c>
      <c r="J2674" t="s">
        <v>123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981"/>
        <v>06:19:46.289</v>
      </c>
      <c r="T2674" t="str">
        <f t="shared" si="982"/>
        <v>06:19:45.789</v>
      </c>
      <c r="U2674" t="str">
        <f t="shared" si="953"/>
        <v>A7E2E0</v>
      </c>
      <c r="V2674">
        <v>0</v>
      </c>
      <c r="W2674">
        <v>0</v>
      </c>
      <c r="X2674">
        <v>1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0</v>
      </c>
      <c r="AI2674" t="s">
        <v>1398</v>
      </c>
      <c r="AJ2674">
        <v>38.896901999999997</v>
      </c>
      <c r="AK2674" t="s">
        <v>1379</v>
      </c>
      <c r="AL2674">
        <v>-87.610774000000006</v>
      </c>
      <c r="AM2674">
        <v>100</v>
      </c>
      <c r="AN2674">
        <v>2400</v>
      </c>
      <c r="AO2674" t="s">
        <v>118</v>
      </c>
      <c r="AP2674">
        <v>2</v>
      </c>
      <c r="AQ2674">
        <v>-140</v>
      </c>
      <c r="AR2674">
        <v>-64</v>
      </c>
      <c r="AZ2674">
        <v>4552</v>
      </c>
      <c r="BA2674">
        <v>1</v>
      </c>
      <c r="BB2674" t="str">
        <f t="shared" si="954"/>
        <v xml:space="preserve">N607SR  </v>
      </c>
      <c r="BC2674">
        <v>1</v>
      </c>
      <c r="BE2674">
        <v>0</v>
      </c>
      <c r="BF2674">
        <v>0</v>
      </c>
      <c r="BG2674">
        <v>0</v>
      </c>
      <c r="BH2674">
        <v>2175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 t="shared" si="983"/>
        <v>06:19:46.296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4</v>
      </c>
      <c r="CP2674" t="s">
        <v>119</v>
      </c>
      <c r="CQ2674">
        <v>177</v>
      </c>
      <c r="CR2674">
        <v>2</v>
      </c>
      <c r="CW2674">
        <v>1678445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 t="shared" si="980"/>
        <v>08/29/2020 06:19:43.076</v>
      </c>
      <c r="C2675" t="str">
        <f t="shared" si="952"/>
        <v>FFDFD3C0</v>
      </c>
      <c r="D2675" t="s">
        <v>128</v>
      </c>
      <c r="E2675">
        <v>5</v>
      </c>
      <c r="H2675">
        <v>241</v>
      </c>
      <c r="I2675" t="s">
        <v>129</v>
      </c>
      <c r="J2675" t="s">
        <v>130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981"/>
        <v>06:19:46.289</v>
      </c>
      <c r="T2675" t="str">
        <f t="shared" si="982"/>
        <v>06:19:45.789</v>
      </c>
      <c r="U2675" t="str">
        <f t="shared" si="953"/>
        <v>A7E2E0</v>
      </c>
      <c r="V2675">
        <v>0</v>
      </c>
      <c r="W2675">
        <v>0</v>
      </c>
      <c r="X2675">
        <v>1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0</v>
      </c>
      <c r="AI2675" t="s">
        <v>1398</v>
      </c>
      <c r="AJ2675">
        <v>38.896901999999997</v>
      </c>
      <c r="AK2675" t="s">
        <v>1379</v>
      </c>
      <c r="AL2675">
        <v>-87.610774000000006</v>
      </c>
      <c r="AM2675">
        <v>100</v>
      </c>
      <c r="AN2675">
        <v>2400</v>
      </c>
      <c r="AO2675" t="s">
        <v>118</v>
      </c>
      <c r="AP2675">
        <v>2</v>
      </c>
      <c r="AQ2675">
        <v>-140</v>
      </c>
      <c r="AR2675">
        <v>-64</v>
      </c>
      <c r="AZ2675">
        <v>4552</v>
      </c>
      <c r="BA2675">
        <v>1</v>
      </c>
      <c r="BB2675" t="str">
        <f t="shared" si="954"/>
        <v xml:space="preserve">N607SR  </v>
      </c>
      <c r="BC2675">
        <v>1</v>
      </c>
      <c r="BE2675">
        <v>0</v>
      </c>
      <c r="BF2675">
        <v>0</v>
      </c>
      <c r="BG2675">
        <v>0</v>
      </c>
      <c r="BH2675">
        <v>2175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 t="shared" si="983"/>
        <v>06:19:46.296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6</v>
      </c>
      <c r="CP2675" t="s">
        <v>119</v>
      </c>
      <c r="CQ2675">
        <v>465</v>
      </c>
      <c r="CR2675">
        <v>0</v>
      </c>
      <c r="CW2675">
        <v>4727224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 t="shared" si="980"/>
        <v>08/29/2020 06:19:43.076</v>
      </c>
      <c r="C2676" t="str">
        <f t="shared" si="952"/>
        <v>FFDFD3C0</v>
      </c>
      <c r="D2676" t="s">
        <v>113</v>
      </c>
      <c r="E2676">
        <v>5</v>
      </c>
      <c r="H2676">
        <v>163</v>
      </c>
      <c r="I2676" t="s">
        <v>114</v>
      </c>
      <c r="J2676" t="s">
        <v>115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981"/>
        <v>06:19:46.289</v>
      </c>
      <c r="T2676" t="str">
        <f t="shared" si="982"/>
        <v>06:19:45.789</v>
      </c>
      <c r="U2676" t="str">
        <f t="shared" si="953"/>
        <v>A7E2E0</v>
      </c>
      <c r="V2676">
        <v>0</v>
      </c>
      <c r="W2676">
        <v>0</v>
      </c>
      <c r="X2676">
        <v>1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0</v>
      </c>
      <c r="AI2676" t="s">
        <v>1398</v>
      </c>
      <c r="AJ2676">
        <v>38.896901999999997</v>
      </c>
      <c r="AK2676" t="s">
        <v>1379</v>
      </c>
      <c r="AL2676">
        <v>-87.610774000000006</v>
      </c>
      <c r="AM2676">
        <v>100</v>
      </c>
      <c r="AN2676">
        <v>2400</v>
      </c>
      <c r="AO2676" t="s">
        <v>118</v>
      </c>
      <c r="AP2676">
        <v>2</v>
      </c>
      <c r="AQ2676">
        <v>-140</v>
      </c>
      <c r="AR2676">
        <v>-64</v>
      </c>
      <c r="AZ2676">
        <v>4552</v>
      </c>
      <c r="BA2676">
        <v>1</v>
      </c>
      <c r="BB2676" t="str">
        <f t="shared" si="954"/>
        <v xml:space="preserve">N607SR  </v>
      </c>
      <c r="BC2676">
        <v>1</v>
      </c>
      <c r="BE2676">
        <v>0</v>
      </c>
      <c r="BF2676">
        <v>0</v>
      </c>
      <c r="BG2676">
        <v>0</v>
      </c>
      <c r="BH2676">
        <v>2175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 t="shared" si="983"/>
        <v>06:19:46.296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6</v>
      </c>
      <c r="CP2676" t="s">
        <v>119</v>
      </c>
      <c r="CQ2676">
        <v>465</v>
      </c>
      <c r="CR2676">
        <v>0</v>
      </c>
      <c r="CW2676">
        <v>4727224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 t="shared" si="980"/>
        <v>08/29/2020 06:19:43.076</v>
      </c>
      <c r="C2677" t="str">
        <f t="shared" si="952"/>
        <v>FFDFD3C0</v>
      </c>
      <c r="D2677" t="s">
        <v>121</v>
      </c>
      <c r="E2677">
        <v>10</v>
      </c>
      <c r="F2677">
        <v>1010</v>
      </c>
      <c r="G2677" t="s">
        <v>114</v>
      </c>
      <c r="J2677" t="s">
        <v>123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981"/>
        <v>06:19:46.289</v>
      </c>
      <c r="T2677" t="str">
        <f t="shared" si="982"/>
        <v>06:19:45.789</v>
      </c>
      <c r="U2677" t="str">
        <f t="shared" si="953"/>
        <v>A7E2E0</v>
      </c>
      <c r="V2677">
        <v>0</v>
      </c>
      <c r="W2677">
        <v>0</v>
      </c>
      <c r="X2677">
        <v>1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0</v>
      </c>
      <c r="AI2677" t="s">
        <v>1398</v>
      </c>
      <c r="AJ2677">
        <v>38.896901999999997</v>
      </c>
      <c r="AK2677" t="s">
        <v>1379</v>
      </c>
      <c r="AL2677">
        <v>-87.610774000000006</v>
      </c>
      <c r="AM2677">
        <v>100</v>
      </c>
      <c r="AN2677">
        <v>2400</v>
      </c>
      <c r="AO2677" t="s">
        <v>118</v>
      </c>
      <c r="AP2677">
        <v>2</v>
      </c>
      <c r="AQ2677">
        <v>-140</v>
      </c>
      <c r="AR2677">
        <v>-64</v>
      </c>
      <c r="AZ2677">
        <v>4552</v>
      </c>
      <c r="BA2677">
        <v>1</v>
      </c>
      <c r="BB2677" t="str">
        <f t="shared" si="954"/>
        <v xml:space="preserve">N607SR  </v>
      </c>
      <c r="BC2677">
        <v>1</v>
      </c>
      <c r="BE2677">
        <v>0</v>
      </c>
      <c r="BF2677">
        <v>0</v>
      </c>
      <c r="BG2677">
        <v>0</v>
      </c>
      <c r="BH2677">
        <v>2175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 t="shared" si="983"/>
        <v>06:19:46.296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6</v>
      </c>
      <c r="CP2677" t="s">
        <v>119</v>
      </c>
      <c r="CQ2677">
        <v>465</v>
      </c>
      <c r="CR2677">
        <v>0</v>
      </c>
      <c r="CW2677">
        <v>4727224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 t="shared" si="980"/>
        <v>08/29/2020 06:19:43.076</v>
      </c>
      <c r="C2678" t="str">
        <f t="shared" si="952"/>
        <v>FFDFD3C0</v>
      </c>
      <c r="D2678" t="s">
        <v>121</v>
      </c>
      <c r="E2678">
        <v>13</v>
      </c>
      <c r="F2678">
        <v>1013</v>
      </c>
      <c r="G2678" t="s">
        <v>122</v>
      </c>
      <c r="J2678" t="s">
        <v>123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981"/>
        <v>06:19:46.289</v>
      </c>
      <c r="T2678" t="str">
        <f t="shared" si="982"/>
        <v>06:19:45.789</v>
      </c>
      <c r="U2678" t="str">
        <f t="shared" si="953"/>
        <v>A7E2E0</v>
      </c>
      <c r="V2678">
        <v>0</v>
      </c>
      <c r="W2678">
        <v>0</v>
      </c>
      <c r="X2678">
        <v>1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0</v>
      </c>
      <c r="AI2678" t="s">
        <v>1398</v>
      </c>
      <c r="AJ2678">
        <v>38.896901999999997</v>
      </c>
      <c r="AK2678" t="s">
        <v>1379</v>
      </c>
      <c r="AL2678">
        <v>-87.610774000000006</v>
      </c>
      <c r="AM2678">
        <v>100</v>
      </c>
      <c r="AN2678">
        <v>2400</v>
      </c>
      <c r="AO2678" t="s">
        <v>118</v>
      </c>
      <c r="AP2678">
        <v>2</v>
      </c>
      <c r="AQ2678">
        <v>-140</v>
      </c>
      <c r="AR2678">
        <v>-64</v>
      </c>
      <c r="AZ2678">
        <v>4552</v>
      </c>
      <c r="BA2678">
        <v>1</v>
      </c>
      <c r="BB2678" t="str">
        <f t="shared" si="954"/>
        <v xml:space="preserve">N607SR  </v>
      </c>
      <c r="BC2678">
        <v>1</v>
      </c>
      <c r="BE2678">
        <v>0</v>
      </c>
      <c r="BF2678">
        <v>0</v>
      </c>
      <c r="BG2678">
        <v>0</v>
      </c>
      <c r="BH2678">
        <v>2175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 t="shared" si="983"/>
        <v>06:19:46.296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6</v>
      </c>
      <c r="CP2678" t="s">
        <v>119</v>
      </c>
      <c r="CQ2678">
        <v>465</v>
      </c>
      <c r="CR2678">
        <v>0</v>
      </c>
      <c r="CW2678">
        <v>4727224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 t="shared" ref="A2679:A2684" si="984">"08/29/2020 06:19:44.030"</f>
        <v>08/29/2020 06:19:44.030</v>
      </c>
      <c r="C2679" t="str">
        <f t="shared" si="952"/>
        <v>FFDFD3C0</v>
      </c>
      <c r="D2679" t="s">
        <v>121</v>
      </c>
      <c r="E2679">
        <v>13</v>
      </c>
      <c r="F2679">
        <v>1013</v>
      </c>
      <c r="G2679" t="s">
        <v>122</v>
      </c>
      <c r="J2679" t="s">
        <v>123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 t="shared" ref="S2679:S2684" si="985">"06:19:47.242"</f>
        <v>06:19:47.242</v>
      </c>
      <c r="T2679" t="str">
        <f t="shared" ref="T2679:T2684" si="986">"06:19:46.842"</f>
        <v>06:19:46.842</v>
      </c>
      <c r="U2679" t="str">
        <f t="shared" si="953"/>
        <v>A7E2E0</v>
      </c>
      <c r="V2679">
        <v>0</v>
      </c>
      <c r="W2679">
        <v>0</v>
      </c>
      <c r="X2679">
        <v>1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0</v>
      </c>
      <c r="AI2679" t="s">
        <v>1399</v>
      </c>
      <c r="AJ2679">
        <v>38.896301000000001</v>
      </c>
      <c r="AK2679" t="s">
        <v>1379</v>
      </c>
      <c r="AL2679">
        <v>-87.610774000000006</v>
      </c>
      <c r="AM2679">
        <v>100</v>
      </c>
      <c r="AN2679">
        <v>2400</v>
      </c>
      <c r="AO2679" t="s">
        <v>118</v>
      </c>
      <c r="AP2679">
        <v>1</v>
      </c>
      <c r="AQ2679">
        <v>-139</v>
      </c>
      <c r="AR2679">
        <v>64</v>
      </c>
      <c r="AZ2679">
        <v>4552</v>
      </c>
      <c r="BA2679">
        <v>1</v>
      </c>
      <c r="BB2679" t="str">
        <f t="shared" si="954"/>
        <v xml:space="preserve">N607SR  </v>
      </c>
      <c r="BC2679">
        <v>1</v>
      </c>
      <c r="BE2679">
        <v>0</v>
      </c>
      <c r="BF2679">
        <v>0</v>
      </c>
      <c r="BG2679">
        <v>0</v>
      </c>
      <c r="BH2679">
        <v>2175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 t="shared" ref="BW2679:BW2684" si="987">"06:19:47.243"</f>
        <v>06:19:47.243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6</v>
      </c>
      <c r="CP2679" t="s">
        <v>119</v>
      </c>
      <c r="CQ2679">
        <v>465</v>
      </c>
      <c r="CR2679">
        <v>0</v>
      </c>
      <c r="CW2679">
        <v>4727252</v>
      </c>
      <c r="CY2679">
        <v>1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 t="shared" si="984"/>
        <v>08/29/2020 06:19:44.030</v>
      </c>
      <c r="C2680" t="str">
        <f t="shared" si="952"/>
        <v>FFDFD3C0</v>
      </c>
      <c r="D2680" t="s">
        <v>939</v>
      </c>
      <c r="E2680">
        <v>10</v>
      </c>
      <c r="H2680">
        <v>79</v>
      </c>
      <c r="I2680" t="s">
        <v>940</v>
      </c>
      <c r="J2680" t="s">
        <v>130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si="985"/>
        <v>06:19:47.242</v>
      </c>
      <c r="T2680" t="str">
        <f t="shared" si="986"/>
        <v>06:19:46.842</v>
      </c>
      <c r="U2680" t="str">
        <f t="shared" si="953"/>
        <v>A7E2E0</v>
      </c>
      <c r="V2680">
        <v>0</v>
      </c>
      <c r="W2680">
        <v>0</v>
      </c>
      <c r="X2680">
        <v>1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0</v>
      </c>
      <c r="AI2680" t="s">
        <v>1399</v>
      </c>
      <c r="AJ2680">
        <v>38.896301000000001</v>
      </c>
      <c r="AK2680" t="s">
        <v>1379</v>
      </c>
      <c r="AL2680">
        <v>-87.610774000000006</v>
      </c>
      <c r="AM2680">
        <v>100</v>
      </c>
      <c r="AN2680">
        <v>2400</v>
      </c>
      <c r="AO2680" t="s">
        <v>118</v>
      </c>
      <c r="AP2680">
        <v>1</v>
      </c>
      <c r="AQ2680">
        <v>-139</v>
      </c>
      <c r="AR2680">
        <v>64</v>
      </c>
      <c r="AZ2680">
        <v>4552</v>
      </c>
      <c r="BA2680">
        <v>1</v>
      </c>
      <c r="BB2680" t="str">
        <f t="shared" si="954"/>
        <v xml:space="preserve">N607SR  </v>
      </c>
      <c r="BC2680">
        <v>1</v>
      </c>
      <c r="BE2680">
        <v>0</v>
      </c>
      <c r="BF2680">
        <v>0</v>
      </c>
      <c r="BG2680">
        <v>0</v>
      </c>
      <c r="BH2680">
        <v>2175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 t="shared" si="987"/>
        <v>06:19:47.243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6</v>
      </c>
      <c r="CP2680" t="s">
        <v>119</v>
      </c>
      <c r="CQ2680">
        <v>465</v>
      </c>
      <c r="CR2680">
        <v>0</v>
      </c>
      <c r="CW2680">
        <v>4727252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 t="shared" si="984"/>
        <v>08/29/2020 06:19:44.030</v>
      </c>
      <c r="C2681" t="str">
        <f t="shared" si="952"/>
        <v>FFDFD3C0</v>
      </c>
      <c r="D2681" t="s">
        <v>121</v>
      </c>
      <c r="E2681">
        <v>11</v>
      </c>
      <c r="F2681">
        <v>1011</v>
      </c>
      <c r="G2681" t="s">
        <v>125</v>
      </c>
      <c r="J2681" t="s">
        <v>123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985"/>
        <v>06:19:47.242</v>
      </c>
      <c r="T2681" t="str">
        <f t="shared" si="986"/>
        <v>06:19:46.842</v>
      </c>
      <c r="U2681" t="str">
        <f t="shared" si="953"/>
        <v>A7E2E0</v>
      </c>
      <c r="V2681">
        <v>0</v>
      </c>
      <c r="W2681">
        <v>0</v>
      </c>
      <c r="X2681">
        <v>1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0</v>
      </c>
      <c r="AI2681" t="s">
        <v>1399</v>
      </c>
      <c r="AJ2681">
        <v>38.896301000000001</v>
      </c>
      <c r="AK2681" t="s">
        <v>1379</v>
      </c>
      <c r="AL2681">
        <v>-87.610774000000006</v>
      </c>
      <c r="AM2681">
        <v>100</v>
      </c>
      <c r="AN2681">
        <v>2400</v>
      </c>
      <c r="AO2681" t="s">
        <v>118</v>
      </c>
      <c r="AP2681">
        <v>1</v>
      </c>
      <c r="AQ2681">
        <v>-139</v>
      </c>
      <c r="AR2681">
        <v>64</v>
      </c>
      <c r="AZ2681">
        <v>4552</v>
      </c>
      <c r="BA2681">
        <v>1</v>
      </c>
      <c r="BB2681" t="str">
        <f t="shared" si="954"/>
        <v xml:space="preserve">N607SR  </v>
      </c>
      <c r="BC2681">
        <v>1</v>
      </c>
      <c r="BE2681">
        <v>0</v>
      </c>
      <c r="BF2681">
        <v>0</v>
      </c>
      <c r="BG2681">
        <v>0</v>
      </c>
      <c r="BH2681">
        <v>2175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 t="shared" si="987"/>
        <v>06:19:47.243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5</v>
      </c>
      <c r="CP2681" t="s">
        <v>119</v>
      </c>
      <c r="CQ2681">
        <v>177</v>
      </c>
      <c r="CR2681">
        <v>2</v>
      </c>
      <c r="CW2681">
        <v>1678593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 t="shared" si="984"/>
        <v>08/29/2020 06:19:44.030</v>
      </c>
      <c r="C2682" t="str">
        <f t="shared" si="952"/>
        <v>FFDFD3C0</v>
      </c>
      <c r="D2682" t="s">
        <v>113</v>
      </c>
      <c r="E2682">
        <v>5</v>
      </c>
      <c r="H2682">
        <v>163</v>
      </c>
      <c r="I2682" t="s">
        <v>114</v>
      </c>
      <c r="J2682" t="s">
        <v>115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985"/>
        <v>06:19:47.242</v>
      </c>
      <c r="T2682" t="str">
        <f t="shared" si="986"/>
        <v>06:19:46.842</v>
      </c>
      <c r="U2682" t="str">
        <f t="shared" si="953"/>
        <v>A7E2E0</v>
      </c>
      <c r="V2682">
        <v>0</v>
      </c>
      <c r="W2682">
        <v>0</v>
      </c>
      <c r="X2682">
        <v>1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0</v>
      </c>
      <c r="AI2682" t="s">
        <v>1399</v>
      </c>
      <c r="AJ2682">
        <v>38.896301000000001</v>
      </c>
      <c r="AK2682" t="s">
        <v>1379</v>
      </c>
      <c r="AL2682">
        <v>-87.610774000000006</v>
      </c>
      <c r="AM2682">
        <v>100</v>
      </c>
      <c r="AN2682">
        <v>2400</v>
      </c>
      <c r="AO2682" t="s">
        <v>118</v>
      </c>
      <c r="AP2682">
        <v>1</v>
      </c>
      <c r="AQ2682">
        <v>-139</v>
      </c>
      <c r="AR2682">
        <v>64</v>
      </c>
      <c r="AZ2682">
        <v>4552</v>
      </c>
      <c r="BA2682">
        <v>1</v>
      </c>
      <c r="BB2682" t="str">
        <f t="shared" si="954"/>
        <v xml:space="preserve">N607SR  </v>
      </c>
      <c r="BC2682">
        <v>1</v>
      </c>
      <c r="BE2682">
        <v>0</v>
      </c>
      <c r="BF2682">
        <v>0</v>
      </c>
      <c r="BG2682">
        <v>0</v>
      </c>
      <c r="BH2682">
        <v>2175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 t="shared" si="987"/>
        <v>06:19:47.243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6</v>
      </c>
      <c r="CP2682" t="s">
        <v>119</v>
      </c>
      <c r="CQ2682">
        <v>465</v>
      </c>
      <c r="CR2682">
        <v>0</v>
      </c>
      <c r="CW2682">
        <v>4727252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 t="shared" si="984"/>
        <v>08/29/2020 06:19:44.030</v>
      </c>
      <c r="C2683" t="str">
        <f t="shared" si="952"/>
        <v>FFDFD3C0</v>
      </c>
      <c r="D2683" t="s">
        <v>121</v>
      </c>
      <c r="E2683">
        <v>10</v>
      </c>
      <c r="F2683">
        <v>1010</v>
      </c>
      <c r="G2683" t="s">
        <v>114</v>
      </c>
      <c r="J2683" t="s">
        <v>123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985"/>
        <v>06:19:47.242</v>
      </c>
      <c r="T2683" t="str">
        <f t="shared" si="986"/>
        <v>06:19:46.842</v>
      </c>
      <c r="U2683" t="str">
        <f t="shared" si="953"/>
        <v>A7E2E0</v>
      </c>
      <c r="V2683">
        <v>0</v>
      </c>
      <c r="W2683">
        <v>0</v>
      </c>
      <c r="X2683">
        <v>1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0</v>
      </c>
      <c r="AI2683" t="s">
        <v>1399</v>
      </c>
      <c r="AJ2683">
        <v>38.896301000000001</v>
      </c>
      <c r="AK2683" t="s">
        <v>1379</v>
      </c>
      <c r="AL2683">
        <v>-87.610774000000006</v>
      </c>
      <c r="AM2683">
        <v>100</v>
      </c>
      <c r="AN2683">
        <v>2400</v>
      </c>
      <c r="AO2683" t="s">
        <v>118</v>
      </c>
      <c r="AP2683">
        <v>1</v>
      </c>
      <c r="AQ2683">
        <v>-139</v>
      </c>
      <c r="AR2683">
        <v>64</v>
      </c>
      <c r="AZ2683">
        <v>4552</v>
      </c>
      <c r="BA2683">
        <v>1</v>
      </c>
      <c r="BB2683" t="str">
        <f t="shared" si="954"/>
        <v xml:space="preserve">N607SR  </v>
      </c>
      <c r="BC2683">
        <v>1</v>
      </c>
      <c r="BE2683">
        <v>0</v>
      </c>
      <c r="BF2683">
        <v>0</v>
      </c>
      <c r="BG2683">
        <v>0</v>
      </c>
      <c r="BH2683">
        <v>2175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 t="shared" si="987"/>
        <v>06:19:47.243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6</v>
      </c>
      <c r="CP2683" t="s">
        <v>119</v>
      </c>
      <c r="CQ2683">
        <v>465</v>
      </c>
      <c r="CR2683">
        <v>0</v>
      </c>
      <c r="CW2683">
        <v>4727252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 t="shared" si="984"/>
        <v>08/29/2020 06:19:44.030</v>
      </c>
      <c r="C2684" t="str">
        <f t="shared" si="952"/>
        <v>FFDFD3C0</v>
      </c>
      <c r="D2684" t="s">
        <v>128</v>
      </c>
      <c r="E2684">
        <v>5</v>
      </c>
      <c r="H2684">
        <v>241</v>
      </c>
      <c r="I2684" t="s">
        <v>129</v>
      </c>
      <c r="J2684" t="s">
        <v>130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985"/>
        <v>06:19:47.242</v>
      </c>
      <c r="T2684" t="str">
        <f t="shared" si="986"/>
        <v>06:19:46.842</v>
      </c>
      <c r="U2684" t="str">
        <f t="shared" si="953"/>
        <v>A7E2E0</v>
      </c>
      <c r="V2684">
        <v>0</v>
      </c>
      <c r="W2684">
        <v>0</v>
      </c>
      <c r="X2684">
        <v>1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0</v>
      </c>
      <c r="AI2684" t="s">
        <v>1399</v>
      </c>
      <c r="AJ2684">
        <v>38.896301000000001</v>
      </c>
      <c r="AK2684" t="s">
        <v>1379</v>
      </c>
      <c r="AL2684">
        <v>-87.610774000000006</v>
      </c>
      <c r="AM2684">
        <v>100</v>
      </c>
      <c r="AN2684">
        <v>2400</v>
      </c>
      <c r="AO2684" t="s">
        <v>118</v>
      </c>
      <c r="AP2684">
        <v>1</v>
      </c>
      <c r="AQ2684">
        <v>-139</v>
      </c>
      <c r="AR2684">
        <v>64</v>
      </c>
      <c r="AZ2684">
        <v>4552</v>
      </c>
      <c r="BA2684">
        <v>1</v>
      </c>
      <c r="BB2684" t="str">
        <f t="shared" si="954"/>
        <v xml:space="preserve">N607SR  </v>
      </c>
      <c r="BC2684">
        <v>1</v>
      </c>
      <c r="BE2684">
        <v>0</v>
      </c>
      <c r="BF2684">
        <v>0</v>
      </c>
      <c r="BG2684">
        <v>0</v>
      </c>
      <c r="BH2684">
        <v>2175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 t="shared" si="987"/>
        <v>06:19:47.243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6</v>
      </c>
      <c r="CP2684" t="s">
        <v>119</v>
      </c>
      <c r="CQ2684">
        <v>465</v>
      </c>
      <c r="CR2684">
        <v>0</v>
      </c>
      <c r="CW2684">
        <v>4727252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 t="shared" ref="A2685:A2690" si="988">"08/29/2020 06:19:45.032"</f>
        <v>08/29/2020 06:19:45.032</v>
      </c>
      <c r="C2685" t="str">
        <f t="shared" si="952"/>
        <v>FFDFD3C0</v>
      </c>
      <c r="D2685" t="s">
        <v>128</v>
      </c>
      <c r="E2685">
        <v>5</v>
      </c>
      <c r="H2685">
        <v>241</v>
      </c>
      <c r="I2685" t="s">
        <v>129</v>
      </c>
      <c r="J2685" t="s">
        <v>130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ref="S2685:S2690" si="989">"06:19:48.273"</f>
        <v>06:19:48.273</v>
      </c>
      <c r="T2685" t="str">
        <f t="shared" ref="T2685:T2690" si="990">"06:19:47.873"</f>
        <v>06:19:47.873</v>
      </c>
      <c r="U2685" t="str">
        <f t="shared" si="953"/>
        <v>A7E2E0</v>
      </c>
      <c r="V2685">
        <v>0</v>
      </c>
      <c r="W2685">
        <v>0</v>
      </c>
      <c r="X2685">
        <v>1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0</v>
      </c>
      <c r="AI2685" t="s">
        <v>1400</v>
      </c>
      <c r="AJ2685">
        <v>38.895657</v>
      </c>
      <c r="AK2685" t="s">
        <v>1379</v>
      </c>
      <c r="AL2685">
        <v>-87.610774000000006</v>
      </c>
      <c r="AM2685">
        <v>100</v>
      </c>
      <c r="AN2685">
        <v>2400</v>
      </c>
      <c r="AO2685" t="s">
        <v>118</v>
      </c>
      <c r="AP2685">
        <v>1</v>
      </c>
      <c r="AQ2685">
        <v>-138</v>
      </c>
      <c r="AR2685">
        <v>64</v>
      </c>
      <c r="AZ2685">
        <v>4552</v>
      </c>
      <c r="BA2685">
        <v>1</v>
      </c>
      <c r="BB2685" t="str">
        <f t="shared" si="954"/>
        <v xml:space="preserve">N607SR  </v>
      </c>
      <c r="BC2685">
        <v>1</v>
      </c>
      <c r="BE2685">
        <v>0</v>
      </c>
      <c r="BF2685">
        <v>0</v>
      </c>
      <c r="BG2685">
        <v>0</v>
      </c>
      <c r="BH2685">
        <v>2175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 t="shared" ref="BW2685:BW2690" si="991">"06:19:48.281"</f>
        <v>06:19:48.281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5</v>
      </c>
      <c r="CP2685" t="s">
        <v>119</v>
      </c>
      <c r="CQ2685">
        <v>177</v>
      </c>
      <c r="CR2685">
        <v>2</v>
      </c>
      <c r="CW2685">
        <v>1678764</v>
      </c>
      <c r="CY2685">
        <v>1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 t="shared" si="988"/>
        <v>08/29/2020 06:19:45.032</v>
      </c>
      <c r="C2686" t="str">
        <f t="shared" si="952"/>
        <v>FFDFD3C0</v>
      </c>
      <c r="D2686" t="s">
        <v>939</v>
      </c>
      <c r="E2686">
        <v>10</v>
      </c>
      <c r="H2686">
        <v>79</v>
      </c>
      <c r="I2686" t="s">
        <v>940</v>
      </c>
      <c r="J2686" t="s">
        <v>130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989"/>
        <v>06:19:48.273</v>
      </c>
      <c r="T2686" t="str">
        <f t="shared" si="990"/>
        <v>06:19:47.873</v>
      </c>
      <c r="U2686" t="str">
        <f t="shared" si="953"/>
        <v>A7E2E0</v>
      </c>
      <c r="V2686">
        <v>0</v>
      </c>
      <c r="W2686">
        <v>0</v>
      </c>
      <c r="X2686">
        <v>1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0</v>
      </c>
      <c r="AI2686" t="s">
        <v>1400</v>
      </c>
      <c r="AJ2686">
        <v>38.895657</v>
      </c>
      <c r="AK2686" t="s">
        <v>1379</v>
      </c>
      <c r="AL2686">
        <v>-87.610774000000006</v>
      </c>
      <c r="AM2686">
        <v>100</v>
      </c>
      <c r="AN2686">
        <v>2400</v>
      </c>
      <c r="AO2686" t="s">
        <v>118</v>
      </c>
      <c r="AP2686">
        <v>1</v>
      </c>
      <c r="AQ2686">
        <v>-138</v>
      </c>
      <c r="AR2686">
        <v>64</v>
      </c>
      <c r="AZ2686">
        <v>4552</v>
      </c>
      <c r="BA2686">
        <v>1</v>
      </c>
      <c r="BB2686" t="str">
        <f t="shared" si="954"/>
        <v xml:space="preserve">N607SR  </v>
      </c>
      <c r="BC2686">
        <v>1</v>
      </c>
      <c r="BE2686">
        <v>0</v>
      </c>
      <c r="BF2686">
        <v>0</v>
      </c>
      <c r="BG2686">
        <v>0</v>
      </c>
      <c r="BH2686">
        <v>2175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 t="shared" si="991"/>
        <v>06:19:48.281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4</v>
      </c>
      <c r="CP2686" t="s">
        <v>119</v>
      </c>
      <c r="CQ2686">
        <v>465</v>
      </c>
      <c r="CR2686">
        <v>1</v>
      </c>
      <c r="CW2686">
        <v>4727281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 t="shared" si="988"/>
        <v>08/29/2020 06:19:45.032</v>
      </c>
      <c r="C2687" t="str">
        <f t="shared" si="952"/>
        <v>FFDFD3C0</v>
      </c>
      <c r="D2687" t="s">
        <v>121</v>
      </c>
      <c r="E2687">
        <v>13</v>
      </c>
      <c r="F2687">
        <v>1013</v>
      </c>
      <c r="G2687" t="s">
        <v>122</v>
      </c>
      <c r="J2687" t="s">
        <v>123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989"/>
        <v>06:19:48.273</v>
      </c>
      <c r="T2687" t="str">
        <f t="shared" si="990"/>
        <v>06:19:47.873</v>
      </c>
      <c r="U2687" t="str">
        <f t="shared" si="953"/>
        <v>A7E2E0</v>
      </c>
      <c r="V2687">
        <v>0</v>
      </c>
      <c r="W2687">
        <v>0</v>
      </c>
      <c r="X2687">
        <v>1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0</v>
      </c>
      <c r="AI2687" t="s">
        <v>1400</v>
      </c>
      <c r="AJ2687">
        <v>38.895657</v>
      </c>
      <c r="AK2687" t="s">
        <v>1379</v>
      </c>
      <c r="AL2687">
        <v>-87.610774000000006</v>
      </c>
      <c r="AM2687">
        <v>100</v>
      </c>
      <c r="AN2687">
        <v>2400</v>
      </c>
      <c r="AO2687" t="s">
        <v>118</v>
      </c>
      <c r="AP2687">
        <v>1</v>
      </c>
      <c r="AQ2687">
        <v>-138</v>
      </c>
      <c r="AR2687">
        <v>64</v>
      </c>
      <c r="AZ2687">
        <v>4552</v>
      </c>
      <c r="BA2687">
        <v>1</v>
      </c>
      <c r="BB2687" t="str">
        <f t="shared" si="954"/>
        <v xml:space="preserve">N607SR  </v>
      </c>
      <c r="BC2687">
        <v>1</v>
      </c>
      <c r="BE2687">
        <v>0</v>
      </c>
      <c r="BF2687">
        <v>0</v>
      </c>
      <c r="BG2687">
        <v>0</v>
      </c>
      <c r="BH2687">
        <v>2175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 t="shared" si="991"/>
        <v>06:19:48.281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5</v>
      </c>
      <c r="CP2687" t="s">
        <v>119</v>
      </c>
      <c r="CQ2687">
        <v>177</v>
      </c>
      <c r="CR2687">
        <v>2</v>
      </c>
      <c r="CW2687">
        <v>1678764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 t="shared" si="988"/>
        <v>08/29/2020 06:19:45.032</v>
      </c>
      <c r="C2688" t="str">
        <f t="shared" si="952"/>
        <v>FFDFD3C0</v>
      </c>
      <c r="D2688" t="s">
        <v>121</v>
      </c>
      <c r="E2688">
        <v>11</v>
      </c>
      <c r="F2688">
        <v>1011</v>
      </c>
      <c r="G2688" t="s">
        <v>125</v>
      </c>
      <c r="J2688" t="s">
        <v>123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989"/>
        <v>06:19:48.273</v>
      </c>
      <c r="T2688" t="str">
        <f t="shared" si="990"/>
        <v>06:19:47.873</v>
      </c>
      <c r="U2688" t="str">
        <f t="shared" si="953"/>
        <v>A7E2E0</v>
      </c>
      <c r="V2688">
        <v>0</v>
      </c>
      <c r="W2688">
        <v>0</v>
      </c>
      <c r="X2688">
        <v>1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0</v>
      </c>
      <c r="AI2688" t="s">
        <v>1400</v>
      </c>
      <c r="AJ2688">
        <v>38.895657</v>
      </c>
      <c r="AK2688" t="s">
        <v>1379</v>
      </c>
      <c r="AL2688">
        <v>-87.610774000000006</v>
      </c>
      <c r="AM2688">
        <v>100</v>
      </c>
      <c r="AN2688">
        <v>2400</v>
      </c>
      <c r="AO2688" t="s">
        <v>118</v>
      </c>
      <c r="AP2688">
        <v>1</v>
      </c>
      <c r="AQ2688">
        <v>-138</v>
      </c>
      <c r="AR2688">
        <v>64</v>
      </c>
      <c r="AZ2688">
        <v>4552</v>
      </c>
      <c r="BA2688">
        <v>1</v>
      </c>
      <c r="BB2688" t="str">
        <f t="shared" si="954"/>
        <v xml:space="preserve">N607SR  </v>
      </c>
      <c r="BC2688">
        <v>1</v>
      </c>
      <c r="BE2688">
        <v>0</v>
      </c>
      <c r="BF2688">
        <v>0</v>
      </c>
      <c r="BG2688">
        <v>0</v>
      </c>
      <c r="BH2688">
        <v>2175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 t="shared" si="991"/>
        <v>06:19:48.281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5</v>
      </c>
      <c r="CP2688" t="s">
        <v>119</v>
      </c>
      <c r="CQ2688">
        <v>177</v>
      </c>
      <c r="CR2688">
        <v>2</v>
      </c>
      <c r="CW2688">
        <v>1678764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 t="shared" si="988"/>
        <v>08/29/2020 06:19:45.032</v>
      </c>
      <c r="C2689" t="str">
        <f t="shared" si="952"/>
        <v>FFDFD3C0</v>
      </c>
      <c r="D2689" t="s">
        <v>113</v>
      </c>
      <c r="E2689">
        <v>5</v>
      </c>
      <c r="H2689">
        <v>163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989"/>
        <v>06:19:48.273</v>
      </c>
      <c r="T2689" t="str">
        <f t="shared" si="990"/>
        <v>06:19:47.873</v>
      </c>
      <c r="U2689" t="str">
        <f t="shared" si="953"/>
        <v>A7E2E0</v>
      </c>
      <c r="V2689">
        <v>0</v>
      </c>
      <c r="W2689">
        <v>0</v>
      </c>
      <c r="X2689">
        <v>1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0</v>
      </c>
      <c r="AI2689" t="s">
        <v>1400</v>
      </c>
      <c r="AJ2689">
        <v>38.895657</v>
      </c>
      <c r="AK2689" t="s">
        <v>1379</v>
      </c>
      <c r="AL2689">
        <v>-87.610774000000006</v>
      </c>
      <c r="AM2689">
        <v>100</v>
      </c>
      <c r="AN2689">
        <v>2400</v>
      </c>
      <c r="AO2689" t="s">
        <v>118</v>
      </c>
      <c r="AP2689">
        <v>1</v>
      </c>
      <c r="AQ2689">
        <v>-138</v>
      </c>
      <c r="AR2689">
        <v>64</v>
      </c>
      <c r="AZ2689">
        <v>4552</v>
      </c>
      <c r="BA2689">
        <v>1</v>
      </c>
      <c r="BB2689" t="str">
        <f t="shared" si="954"/>
        <v xml:space="preserve">N607SR  </v>
      </c>
      <c r="BC2689">
        <v>1</v>
      </c>
      <c r="BE2689">
        <v>0</v>
      </c>
      <c r="BF2689">
        <v>0</v>
      </c>
      <c r="BG2689">
        <v>0</v>
      </c>
      <c r="BH2689">
        <v>2175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 t="shared" si="991"/>
        <v>06:19:48.281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5</v>
      </c>
      <c r="CP2689" t="s">
        <v>119</v>
      </c>
      <c r="CQ2689">
        <v>177</v>
      </c>
      <c r="CR2689">
        <v>2</v>
      </c>
      <c r="CW2689">
        <v>1678764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 t="shared" si="988"/>
        <v>08/29/2020 06:19:45.032</v>
      </c>
      <c r="C2690" t="str">
        <f t="shared" ref="C2690:C2753" si="992">"FFDFD3C0"</f>
        <v>FFDFD3C0</v>
      </c>
      <c r="D2690" t="s">
        <v>121</v>
      </c>
      <c r="E2690">
        <v>10</v>
      </c>
      <c r="F2690">
        <v>1010</v>
      </c>
      <c r="G2690" t="s">
        <v>114</v>
      </c>
      <c r="J2690" t="s">
        <v>123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989"/>
        <v>06:19:48.273</v>
      </c>
      <c r="T2690" t="str">
        <f t="shared" si="990"/>
        <v>06:19:47.873</v>
      </c>
      <c r="U2690" t="str">
        <f t="shared" ref="U2690:U2753" si="993">"A7E2E0"</f>
        <v>A7E2E0</v>
      </c>
      <c r="V2690">
        <v>0</v>
      </c>
      <c r="W2690">
        <v>0</v>
      </c>
      <c r="X2690">
        <v>1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0</v>
      </c>
      <c r="AI2690" t="s">
        <v>1400</v>
      </c>
      <c r="AJ2690">
        <v>38.895657</v>
      </c>
      <c r="AK2690" t="s">
        <v>1379</v>
      </c>
      <c r="AL2690">
        <v>-87.610774000000006</v>
      </c>
      <c r="AM2690">
        <v>100</v>
      </c>
      <c r="AN2690">
        <v>2400</v>
      </c>
      <c r="AO2690" t="s">
        <v>118</v>
      </c>
      <c r="AP2690">
        <v>1</v>
      </c>
      <c r="AQ2690">
        <v>-138</v>
      </c>
      <c r="AR2690">
        <v>64</v>
      </c>
      <c r="AZ2690">
        <v>4552</v>
      </c>
      <c r="BA2690">
        <v>1</v>
      </c>
      <c r="BB2690" t="str">
        <f t="shared" ref="BB2690:BB2753" si="994">"N607SR  "</f>
        <v xml:space="preserve">N607SR  </v>
      </c>
      <c r="BC2690">
        <v>1</v>
      </c>
      <c r="BE2690">
        <v>0</v>
      </c>
      <c r="BF2690">
        <v>0</v>
      </c>
      <c r="BG2690">
        <v>0</v>
      </c>
      <c r="BH2690">
        <v>2175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 t="shared" si="991"/>
        <v>06:19:48.281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5</v>
      </c>
      <c r="CP2690" t="s">
        <v>119</v>
      </c>
      <c r="CQ2690">
        <v>177</v>
      </c>
      <c r="CR2690">
        <v>2</v>
      </c>
      <c r="CW2690">
        <v>1678764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 t="shared" ref="A2691:A2696" si="995">"08/29/2020 06:19:45.938"</f>
        <v>08/29/2020 06:19:45.938</v>
      </c>
      <c r="C2691" t="str">
        <f t="shared" si="992"/>
        <v>FFDFD3C0</v>
      </c>
      <c r="D2691" t="s">
        <v>113</v>
      </c>
      <c r="E2691">
        <v>5</v>
      </c>
      <c r="H2691">
        <v>163</v>
      </c>
      <c r="I2691" t="s">
        <v>114</v>
      </c>
      <c r="J2691" t="s">
        <v>115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ref="S2691:S2696" si="996">"06:19:49.133"</f>
        <v>06:19:49.133</v>
      </c>
      <c r="T2691" t="str">
        <f t="shared" ref="T2691:T2696" si="997">"06:19:48.733"</f>
        <v>06:19:48.733</v>
      </c>
      <c r="U2691" t="str">
        <f t="shared" si="993"/>
        <v>A7E2E0</v>
      </c>
      <c r="V2691">
        <v>0</v>
      </c>
      <c r="W2691">
        <v>0</v>
      </c>
      <c r="X2691">
        <v>1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0</v>
      </c>
      <c r="AI2691" t="s">
        <v>1401</v>
      </c>
      <c r="AJ2691">
        <v>38.895077999999998</v>
      </c>
      <c r="AK2691" t="s">
        <v>1379</v>
      </c>
      <c r="AL2691">
        <v>-87.610774000000006</v>
      </c>
      <c r="AM2691">
        <v>100</v>
      </c>
      <c r="AN2691">
        <v>2400</v>
      </c>
      <c r="AO2691" t="s">
        <v>118</v>
      </c>
      <c r="AP2691">
        <v>1</v>
      </c>
      <c r="AQ2691">
        <v>-137</v>
      </c>
      <c r="AR2691">
        <v>64</v>
      </c>
      <c r="AZ2691">
        <v>4552</v>
      </c>
      <c r="BA2691">
        <v>1</v>
      </c>
      <c r="BB2691" t="str">
        <f t="shared" si="994"/>
        <v xml:space="preserve">N607SR  </v>
      </c>
      <c r="BC2691">
        <v>1</v>
      </c>
      <c r="BE2691">
        <v>0</v>
      </c>
      <c r="BF2691">
        <v>0</v>
      </c>
      <c r="BG2691">
        <v>0</v>
      </c>
      <c r="BH2691">
        <v>2175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 t="shared" ref="BW2691:BW2696" si="998">"06:19:49.136"</f>
        <v>06:19:49.136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6</v>
      </c>
      <c r="CP2691" t="s">
        <v>119</v>
      </c>
      <c r="CQ2691">
        <v>465</v>
      </c>
      <c r="CR2691">
        <v>0</v>
      </c>
      <c r="CW2691">
        <v>4727304</v>
      </c>
      <c r="CY2691">
        <v>1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 t="shared" si="995"/>
        <v>08/29/2020 06:19:45.938</v>
      </c>
      <c r="C2692" t="str">
        <f t="shared" si="992"/>
        <v>FFDFD3C0</v>
      </c>
      <c r="D2692" t="s">
        <v>121</v>
      </c>
      <c r="E2692">
        <v>11</v>
      </c>
      <c r="F2692">
        <v>1011</v>
      </c>
      <c r="G2692" t="s">
        <v>125</v>
      </c>
      <c r="J2692" t="s">
        <v>123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996"/>
        <v>06:19:49.133</v>
      </c>
      <c r="T2692" t="str">
        <f t="shared" si="997"/>
        <v>06:19:48.733</v>
      </c>
      <c r="U2692" t="str">
        <f t="shared" si="993"/>
        <v>A7E2E0</v>
      </c>
      <c r="V2692">
        <v>0</v>
      </c>
      <c r="W2692">
        <v>0</v>
      </c>
      <c r="X2692">
        <v>1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0</v>
      </c>
      <c r="AI2692" t="s">
        <v>1401</v>
      </c>
      <c r="AJ2692">
        <v>38.895077999999998</v>
      </c>
      <c r="AK2692" t="s">
        <v>1379</v>
      </c>
      <c r="AL2692">
        <v>-87.610774000000006</v>
      </c>
      <c r="AM2692">
        <v>100</v>
      </c>
      <c r="AN2692">
        <v>2400</v>
      </c>
      <c r="AO2692" t="s">
        <v>118</v>
      </c>
      <c r="AP2692">
        <v>1</v>
      </c>
      <c r="AQ2692">
        <v>-137</v>
      </c>
      <c r="AR2692">
        <v>64</v>
      </c>
      <c r="AZ2692">
        <v>4552</v>
      </c>
      <c r="BA2692">
        <v>1</v>
      </c>
      <c r="BB2692" t="str">
        <f t="shared" si="994"/>
        <v xml:space="preserve">N607SR  </v>
      </c>
      <c r="BC2692">
        <v>1</v>
      </c>
      <c r="BE2692">
        <v>0</v>
      </c>
      <c r="BF2692">
        <v>0</v>
      </c>
      <c r="BG2692">
        <v>0</v>
      </c>
      <c r="BH2692">
        <v>2175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 t="shared" si="998"/>
        <v>06:19:49.136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5</v>
      </c>
      <c r="CP2692" t="s">
        <v>119</v>
      </c>
      <c r="CQ2692">
        <v>177</v>
      </c>
      <c r="CR2692">
        <v>2</v>
      </c>
      <c r="CW2692">
        <v>1678934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 t="shared" si="995"/>
        <v>08/29/2020 06:19:45.938</v>
      </c>
      <c r="C2693" t="str">
        <f t="shared" si="992"/>
        <v>FFDFD3C0</v>
      </c>
      <c r="D2693" t="s">
        <v>121</v>
      </c>
      <c r="E2693">
        <v>10</v>
      </c>
      <c r="F2693">
        <v>1010</v>
      </c>
      <c r="G2693" t="s">
        <v>114</v>
      </c>
      <c r="J2693" t="s">
        <v>123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si="996"/>
        <v>06:19:49.133</v>
      </c>
      <c r="T2693" t="str">
        <f t="shared" si="997"/>
        <v>06:19:48.733</v>
      </c>
      <c r="U2693" t="str">
        <f t="shared" si="993"/>
        <v>A7E2E0</v>
      </c>
      <c r="V2693">
        <v>0</v>
      </c>
      <c r="W2693">
        <v>0</v>
      </c>
      <c r="X2693">
        <v>1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0</v>
      </c>
      <c r="AI2693" t="s">
        <v>1401</v>
      </c>
      <c r="AJ2693">
        <v>38.895077999999998</v>
      </c>
      <c r="AK2693" t="s">
        <v>1379</v>
      </c>
      <c r="AL2693">
        <v>-87.610774000000006</v>
      </c>
      <c r="AM2693">
        <v>100</v>
      </c>
      <c r="AN2693">
        <v>2400</v>
      </c>
      <c r="AO2693" t="s">
        <v>118</v>
      </c>
      <c r="AP2693">
        <v>1</v>
      </c>
      <c r="AQ2693">
        <v>-137</v>
      </c>
      <c r="AR2693">
        <v>64</v>
      </c>
      <c r="AZ2693">
        <v>4552</v>
      </c>
      <c r="BA2693">
        <v>1</v>
      </c>
      <c r="BB2693" t="str">
        <f t="shared" si="994"/>
        <v xml:space="preserve">N607SR  </v>
      </c>
      <c r="BC2693">
        <v>1</v>
      </c>
      <c r="BE2693">
        <v>0</v>
      </c>
      <c r="BF2693">
        <v>0</v>
      </c>
      <c r="BG2693">
        <v>0</v>
      </c>
      <c r="BH2693">
        <v>2175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 t="shared" si="998"/>
        <v>06:19:49.136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6</v>
      </c>
      <c r="CP2693" t="s">
        <v>119</v>
      </c>
      <c r="CQ2693">
        <v>465</v>
      </c>
      <c r="CR2693">
        <v>0</v>
      </c>
      <c r="CW2693">
        <v>4727304</v>
      </c>
      <c r="CY2693">
        <v>1</v>
      </c>
      <c r="CZ2693">
        <v>0</v>
      </c>
      <c r="DA2693">
        <v>1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 t="shared" si="995"/>
        <v>08/29/2020 06:19:45.938</v>
      </c>
      <c r="C2694" t="str">
        <f t="shared" si="992"/>
        <v>FFDFD3C0</v>
      </c>
      <c r="D2694" t="s">
        <v>128</v>
      </c>
      <c r="E2694">
        <v>5</v>
      </c>
      <c r="H2694">
        <v>241</v>
      </c>
      <c r="I2694" t="s">
        <v>129</v>
      </c>
      <c r="J2694" t="s">
        <v>130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996"/>
        <v>06:19:49.133</v>
      </c>
      <c r="T2694" t="str">
        <f t="shared" si="997"/>
        <v>06:19:48.733</v>
      </c>
      <c r="U2694" t="str">
        <f t="shared" si="993"/>
        <v>A7E2E0</v>
      </c>
      <c r="V2694">
        <v>0</v>
      </c>
      <c r="W2694">
        <v>0</v>
      </c>
      <c r="X2694">
        <v>1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0</v>
      </c>
      <c r="AI2694" t="s">
        <v>1401</v>
      </c>
      <c r="AJ2694">
        <v>38.895077999999998</v>
      </c>
      <c r="AK2694" t="s">
        <v>1379</v>
      </c>
      <c r="AL2694">
        <v>-87.610774000000006</v>
      </c>
      <c r="AM2694">
        <v>100</v>
      </c>
      <c r="AN2694">
        <v>2400</v>
      </c>
      <c r="AO2694" t="s">
        <v>118</v>
      </c>
      <c r="AP2694">
        <v>1</v>
      </c>
      <c r="AQ2694">
        <v>-137</v>
      </c>
      <c r="AR2694">
        <v>64</v>
      </c>
      <c r="AZ2694">
        <v>4552</v>
      </c>
      <c r="BA2694">
        <v>1</v>
      </c>
      <c r="BB2694" t="str">
        <f t="shared" si="994"/>
        <v xml:space="preserve">N607SR  </v>
      </c>
      <c r="BC2694">
        <v>1</v>
      </c>
      <c r="BE2694">
        <v>0</v>
      </c>
      <c r="BF2694">
        <v>0</v>
      </c>
      <c r="BG2694">
        <v>0</v>
      </c>
      <c r="BH2694">
        <v>2175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 t="shared" si="998"/>
        <v>06:19:49.136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6</v>
      </c>
      <c r="CP2694" t="s">
        <v>119</v>
      </c>
      <c r="CQ2694">
        <v>465</v>
      </c>
      <c r="CR2694">
        <v>0</v>
      </c>
      <c r="CW2694">
        <v>4727304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 t="shared" si="995"/>
        <v>08/29/2020 06:19:45.938</v>
      </c>
      <c r="C2695" t="str">
        <f t="shared" si="992"/>
        <v>FFDFD3C0</v>
      </c>
      <c r="D2695" t="s">
        <v>939</v>
      </c>
      <c r="E2695">
        <v>10</v>
      </c>
      <c r="H2695">
        <v>79</v>
      </c>
      <c r="I2695" t="s">
        <v>940</v>
      </c>
      <c r="J2695" t="s">
        <v>130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996"/>
        <v>06:19:49.133</v>
      </c>
      <c r="T2695" t="str">
        <f t="shared" si="997"/>
        <v>06:19:48.733</v>
      </c>
      <c r="U2695" t="str">
        <f t="shared" si="993"/>
        <v>A7E2E0</v>
      </c>
      <c r="V2695">
        <v>0</v>
      </c>
      <c r="W2695">
        <v>0</v>
      </c>
      <c r="X2695">
        <v>1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0</v>
      </c>
      <c r="AI2695" t="s">
        <v>1401</v>
      </c>
      <c r="AJ2695">
        <v>38.895077999999998</v>
      </c>
      <c r="AK2695" t="s">
        <v>1379</v>
      </c>
      <c r="AL2695">
        <v>-87.610774000000006</v>
      </c>
      <c r="AM2695">
        <v>100</v>
      </c>
      <c r="AN2695">
        <v>2400</v>
      </c>
      <c r="AO2695" t="s">
        <v>118</v>
      </c>
      <c r="AP2695">
        <v>1</v>
      </c>
      <c r="AQ2695">
        <v>-137</v>
      </c>
      <c r="AR2695">
        <v>64</v>
      </c>
      <c r="AZ2695">
        <v>4552</v>
      </c>
      <c r="BA2695">
        <v>1</v>
      </c>
      <c r="BB2695" t="str">
        <f t="shared" si="994"/>
        <v xml:space="preserve">N607SR  </v>
      </c>
      <c r="BC2695">
        <v>1</v>
      </c>
      <c r="BE2695">
        <v>0</v>
      </c>
      <c r="BF2695">
        <v>0</v>
      </c>
      <c r="BG2695">
        <v>0</v>
      </c>
      <c r="BH2695">
        <v>2175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 t="shared" si="998"/>
        <v>06:19:49.136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6</v>
      </c>
      <c r="CP2695" t="s">
        <v>119</v>
      </c>
      <c r="CQ2695">
        <v>465</v>
      </c>
      <c r="CR2695">
        <v>0</v>
      </c>
      <c r="CW2695">
        <v>4727304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 t="shared" si="995"/>
        <v>08/29/2020 06:19:45.938</v>
      </c>
      <c r="C2696" t="str">
        <f t="shared" si="992"/>
        <v>FFDFD3C0</v>
      </c>
      <c r="D2696" t="s">
        <v>121</v>
      </c>
      <c r="E2696">
        <v>13</v>
      </c>
      <c r="F2696">
        <v>1013</v>
      </c>
      <c r="G2696" t="s">
        <v>122</v>
      </c>
      <c r="J2696" t="s">
        <v>123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996"/>
        <v>06:19:49.133</v>
      </c>
      <c r="T2696" t="str">
        <f t="shared" si="997"/>
        <v>06:19:48.733</v>
      </c>
      <c r="U2696" t="str">
        <f t="shared" si="993"/>
        <v>A7E2E0</v>
      </c>
      <c r="V2696">
        <v>0</v>
      </c>
      <c r="W2696">
        <v>0</v>
      </c>
      <c r="X2696">
        <v>1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0</v>
      </c>
      <c r="AI2696" t="s">
        <v>1401</v>
      </c>
      <c r="AJ2696">
        <v>38.895077999999998</v>
      </c>
      <c r="AK2696" t="s">
        <v>1379</v>
      </c>
      <c r="AL2696">
        <v>-87.610774000000006</v>
      </c>
      <c r="AM2696">
        <v>100</v>
      </c>
      <c r="AN2696">
        <v>2400</v>
      </c>
      <c r="AO2696" t="s">
        <v>118</v>
      </c>
      <c r="AP2696">
        <v>1</v>
      </c>
      <c r="AQ2696">
        <v>-137</v>
      </c>
      <c r="AR2696">
        <v>64</v>
      </c>
      <c r="AZ2696">
        <v>4552</v>
      </c>
      <c r="BA2696">
        <v>1</v>
      </c>
      <c r="BB2696" t="str">
        <f t="shared" si="994"/>
        <v xml:space="preserve">N607SR  </v>
      </c>
      <c r="BC2696">
        <v>1</v>
      </c>
      <c r="BE2696">
        <v>0</v>
      </c>
      <c r="BF2696">
        <v>0</v>
      </c>
      <c r="BG2696">
        <v>0</v>
      </c>
      <c r="BH2696">
        <v>2175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 t="shared" si="998"/>
        <v>06:19:49.136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6</v>
      </c>
      <c r="CP2696" t="s">
        <v>119</v>
      </c>
      <c r="CQ2696">
        <v>465</v>
      </c>
      <c r="CR2696">
        <v>0</v>
      </c>
      <c r="CW2696">
        <v>4727304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 t="shared" ref="A2697:A2702" si="999">"08/29/2020 06:19:46.918"</f>
        <v>08/29/2020 06:19:46.918</v>
      </c>
      <c r="C2697" t="str">
        <f t="shared" si="992"/>
        <v>FFDFD3C0</v>
      </c>
      <c r="D2697" t="s">
        <v>121</v>
      </c>
      <c r="E2697">
        <v>13</v>
      </c>
      <c r="F2697">
        <v>1013</v>
      </c>
      <c r="G2697" t="s">
        <v>122</v>
      </c>
      <c r="J2697" t="s">
        <v>123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ref="S2697:S2702" si="1000">"06:19:50.172"</f>
        <v>06:19:50.172</v>
      </c>
      <c r="T2697" t="str">
        <f t="shared" ref="T2697:T2702" si="1001">"06:19:49.672"</f>
        <v>06:19:49.672</v>
      </c>
      <c r="U2697" t="str">
        <f t="shared" si="993"/>
        <v>A7E2E0</v>
      </c>
      <c r="V2697">
        <v>0</v>
      </c>
      <c r="W2697">
        <v>0</v>
      </c>
      <c r="X2697">
        <v>1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0</v>
      </c>
      <c r="AI2697" t="s">
        <v>1402</v>
      </c>
      <c r="AJ2697">
        <v>38.894433999999997</v>
      </c>
      <c r="AK2697" t="s">
        <v>1379</v>
      </c>
      <c r="AL2697">
        <v>-87.610774000000006</v>
      </c>
      <c r="AM2697">
        <v>100</v>
      </c>
      <c r="AN2697">
        <v>2400</v>
      </c>
      <c r="AO2697" t="s">
        <v>118</v>
      </c>
      <c r="AP2697">
        <v>1</v>
      </c>
      <c r="AQ2697">
        <v>-137</v>
      </c>
      <c r="AR2697">
        <v>128</v>
      </c>
      <c r="AZ2697">
        <v>4552</v>
      </c>
      <c r="BA2697">
        <v>1</v>
      </c>
      <c r="BB2697" t="str">
        <f t="shared" si="994"/>
        <v xml:space="preserve">N607SR  </v>
      </c>
      <c r="BC2697">
        <v>1</v>
      </c>
      <c r="BE2697">
        <v>0</v>
      </c>
      <c r="BF2697">
        <v>0</v>
      </c>
      <c r="BG2697">
        <v>0</v>
      </c>
      <c r="BH2697">
        <v>2175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 t="shared" ref="BW2697:BW2702" si="1002">"06:19:50.176"</f>
        <v>06:19:50.176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6</v>
      </c>
      <c r="CP2697" t="s">
        <v>119</v>
      </c>
      <c r="CQ2697">
        <v>465</v>
      </c>
      <c r="CR2697">
        <v>0</v>
      </c>
      <c r="CW2697">
        <v>4727333</v>
      </c>
      <c r="CY2697">
        <v>1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 t="shared" si="999"/>
        <v>08/29/2020 06:19:46.918</v>
      </c>
      <c r="C2698" t="str">
        <f t="shared" si="992"/>
        <v>FFDFD3C0</v>
      </c>
      <c r="D2698" t="s">
        <v>121</v>
      </c>
      <c r="E2698">
        <v>11</v>
      </c>
      <c r="F2698">
        <v>1011</v>
      </c>
      <c r="G2698" t="s">
        <v>125</v>
      </c>
      <c r="J2698" t="s">
        <v>123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000"/>
        <v>06:19:50.172</v>
      </c>
      <c r="T2698" t="str">
        <f t="shared" si="1001"/>
        <v>06:19:49.672</v>
      </c>
      <c r="U2698" t="str">
        <f t="shared" si="993"/>
        <v>A7E2E0</v>
      </c>
      <c r="V2698">
        <v>0</v>
      </c>
      <c r="W2698">
        <v>0</v>
      </c>
      <c r="X2698">
        <v>1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0</v>
      </c>
      <c r="AI2698" t="s">
        <v>1402</v>
      </c>
      <c r="AJ2698">
        <v>38.894433999999997</v>
      </c>
      <c r="AK2698" t="s">
        <v>1379</v>
      </c>
      <c r="AL2698">
        <v>-87.610774000000006</v>
      </c>
      <c r="AM2698">
        <v>100</v>
      </c>
      <c r="AN2698">
        <v>2400</v>
      </c>
      <c r="AO2698" t="s">
        <v>118</v>
      </c>
      <c r="AP2698">
        <v>1</v>
      </c>
      <c r="AQ2698">
        <v>-137</v>
      </c>
      <c r="AR2698">
        <v>128</v>
      </c>
      <c r="AZ2698">
        <v>4552</v>
      </c>
      <c r="BA2698">
        <v>1</v>
      </c>
      <c r="BB2698" t="str">
        <f t="shared" si="994"/>
        <v xml:space="preserve">N607SR  </v>
      </c>
      <c r="BC2698">
        <v>1</v>
      </c>
      <c r="BE2698">
        <v>0</v>
      </c>
      <c r="BF2698">
        <v>0</v>
      </c>
      <c r="BG2698">
        <v>0</v>
      </c>
      <c r="BH2698">
        <v>2175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 t="shared" si="1002"/>
        <v>06:19:50.176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4</v>
      </c>
      <c r="CP2698" t="s">
        <v>119</v>
      </c>
      <c r="CQ2698">
        <v>177</v>
      </c>
      <c r="CR2698">
        <v>2</v>
      </c>
      <c r="CW2698">
        <v>1679104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 t="shared" si="999"/>
        <v>08/29/2020 06:19:46.918</v>
      </c>
      <c r="C2699" t="str">
        <f t="shared" si="992"/>
        <v>FFDFD3C0</v>
      </c>
      <c r="D2699" t="s">
        <v>121</v>
      </c>
      <c r="E2699">
        <v>10</v>
      </c>
      <c r="F2699">
        <v>1010</v>
      </c>
      <c r="G2699" t="s">
        <v>114</v>
      </c>
      <c r="J2699" t="s">
        <v>123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000"/>
        <v>06:19:50.172</v>
      </c>
      <c r="T2699" t="str">
        <f t="shared" si="1001"/>
        <v>06:19:49.672</v>
      </c>
      <c r="U2699" t="str">
        <f t="shared" si="993"/>
        <v>A7E2E0</v>
      </c>
      <c r="V2699">
        <v>0</v>
      </c>
      <c r="W2699">
        <v>0</v>
      </c>
      <c r="X2699">
        <v>1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0</v>
      </c>
      <c r="AI2699" t="s">
        <v>1402</v>
      </c>
      <c r="AJ2699">
        <v>38.894433999999997</v>
      </c>
      <c r="AK2699" t="s">
        <v>1379</v>
      </c>
      <c r="AL2699">
        <v>-87.610774000000006</v>
      </c>
      <c r="AM2699">
        <v>100</v>
      </c>
      <c r="AN2699">
        <v>2400</v>
      </c>
      <c r="AO2699" t="s">
        <v>118</v>
      </c>
      <c r="AP2699">
        <v>1</v>
      </c>
      <c r="AQ2699">
        <v>-137</v>
      </c>
      <c r="AR2699">
        <v>128</v>
      </c>
      <c r="AZ2699">
        <v>4552</v>
      </c>
      <c r="BA2699">
        <v>1</v>
      </c>
      <c r="BB2699" t="str">
        <f t="shared" si="994"/>
        <v xml:space="preserve">N607SR  </v>
      </c>
      <c r="BC2699">
        <v>1</v>
      </c>
      <c r="BE2699">
        <v>0</v>
      </c>
      <c r="BF2699">
        <v>0</v>
      </c>
      <c r="BG2699">
        <v>0</v>
      </c>
      <c r="BH2699">
        <v>2175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 t="shared" si="1002"/>
        <v>06:19:50.176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6</v>
      </c>
      <c r="CP2699" t="s">
        <v>119</v>
      </c>
      <c r="CQ2699">
        <v>465</v>
      </c>
      <c r="CR2699">
        <v>0</v>
      </c>
      <c r="CW2699">
        <v>4727333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 t="shared" si="999"/>
        <v>08/29/2020 06:19:46.918</v>
      </c>
      <c r="C2700" t="str">
        <f t="shared" si="992"/>
        <v>FFDFD3C0</v>
      </c>
      <c r="D2700" t="s">
        <v>113</v>
      </c>
      <c r="E2700">
        <v>5</v>
      </c>
      <c r="H2700">
        <v>163</v>
      </c>
      <c r="I2700" t="s">
        <v>114</v>
      </c>
      <c r="J2700" t="s">
        <v>115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000"/>
        <v>06:19:50.172</v>
      </c>
      <c r="T2700" t="str">
        <f t="shared" si="1001"/>
        <v>06:19:49.672</v>
      </c>
      <c r="U2700" t="str">
        <f t="shared" si="993"/>
        <v>A7E2E0</v>
      </c>
      <c r="V2700">
        <v>0</v>
      </c>
      <c r="W2700">
        <v>0</v>
      </c>
      <c r="X2700">
        <v>1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0</v>
      </c>
      <c r="AI2700" t="s">
        <v>1402</v>
      </c>
      <c r="AJ2700">
        <v>38.894433999999997</v>
      </c>
      <c r="AK2700" t="s">
        <v>1379</v>
      </c>
      <c r="AL2700">
        <v>-87.610774000000006</v>
      </c>
      <c r="AM2700">
        <v>100</v>
      </c>
      <c r="AN2700">
        <v>2400</v>
      </c>
      <c r="AO2700" t="s">
        <v>118</v>
      </c>
      <c r="AP2700">
        <v>1</v>
      </c>
      <c r="AQ2700">
        <v>-137</v>
      </c>
      <c r="AR2700">
        <v>128</v>
      </c>
      <c r="AZ2700">
        <v>4552</v>
      </c>
      <c r="BA2700">
        <v>1</v>
      </c>
      <c r="BB2700" t="str">
        <f t="shared" si="994"/>
        <v xml:space="preserve">N607SR  </v>
      </c>
      <c r="BC2700">
        <v>1</v>
      </c>
      <c r="BE2700">
        <v>0</v>
      </c>
      <c r="BF2700">
        <v>0</v>
      </c>
      <c r="BG2700">
        <v>0</v>
      </c>
      <c r="BH2700">
        <v>2175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 t="shared" si="1002"/>
        <v>06:19:50.176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6</v>
      </c>
      <c r="CP2700" t="s">
        <v>119</v>
      </c>
      <c r="CQ2700">
        <v>465</v>
      </c>
      <c r="CR2700">
        <v>0</v>
      </c>
      <c r="CW2700">
        <v>4727333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 t="shared" si="999"/>
        <v>08/29/2020 06:19:46.918</v>
      </c>
      <c r="C2701" t="str">
        <f t="shared" si="992"/>
        <v>FFDFD3C0</v>
      </c>
      <c r="D2701" t="s">
        <v>939</v>
      </c>
      <c r="E2701">
        <v>10</v>
      </c>
      <c r="H2701">
        <v>79</v>
      </c>
      <c r="I2701" t="s">
        <v>940</v>
      </c>
      <c r="J2701" t="s">
        <v>130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000"/>
        <v>06:19:50.172</v>
      </c>
      <c r="T2701" t="str">
        <f t="shared" si="1001"/>
        <v>06:19:49.672</v>
      </c>
      <c r="U2701" t="str">
        <f t="shared" si="993"/>
        <v>A7E2E0</v>
      </c>
      <c r="V2701">
        <v>0</v>
      </c>
      <c r="W2701">
        <v>0</v>
      </c>
      <c r="X2701">
        <v>1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0</v>
      </c>
      <c r="AI2701" t="s">
        <v>1402</v>
      </c>
      <c r="AJ2701">
        <v>38.894433999999997</v>
      </c>
      <c r="AK2701" t="s">
        <v>1379</v>
      </c>
      <c r="AL2701">
        <v>-87.610774000000006</v>
      </c>
      <c r="AM2701">
        <v>100</v>
      </c>
      <c r="AN2701">
        <v>2400</v>
      </c>
      <c r="AO2701" t="s">
        <v>118</v>
      </c>
      <c r="AP2701">
        <v>1</v>
      </c>
      <c r="AQ2701">
        <v>-137</v>
      </c>
      <c r="AR2701">
        <v>128</v>
      </c>
      <c r="AZ2701">
        <v>4552</v>
      </c>
      <c r="BA2701">
        <v>1</v>
      </c>
      <c r="BB2701" t="str">
        <f t="shared" si="994"/>
        <v xml:space="preserve">N607SR  </v>
      </c>
      <c r="BC2701">
        <v>1</v>
      </c>
      <c r="BE2701">
        <v>0</v>
      </c>
      <c r="BF2701">
        <v>0</v>
      </c>
      <c r="BG2701">
        <v>0</v>
      </c>
      <c r="BH2701">
        <v>2175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 t="shared" si="1002"/>
        <v>06:19:50.176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6</v>
      </c>
      <c r="CP2701" t="s">
        <v>119</v>
      </c>
      <c r="CQ2701">
        <v>465</v>
      </c>
      <c r="CR2701">
        <v>0</v>
      </c>
      <c r="CW2701">
        <v>4727333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 t="shared" si="999"/>
        <v>08/29/2020 06:19:46.918</v>
      </c>
      <c r="C2702" t="str">
        <f t="shared" si="992"/>
        <v>FFDFD3C0</v>
      </c>
      <c r="D2702" t="s">
        <v>128</v>
      </c>
      <c r="E2702">
        <v>5</v>
      </c>
      <c r="H2702">
        <v>241</v>
      </c>
      <c r="I2702" t="s">
        <v>129</v>
      </c>
      <c r="J2702" t="s">
        <v>130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000"/>
        <v>06:19:50.172</v>
      </c>
      <c r="T2702" t="str">
        <f t="shared" si="1001"/>
        <v>06:19:49.672</v>
      </c>
      <c r="U2702" t="str">
        <f t="shared" si="993"/>
        <v>A7E2E0</v>
      </c>
      <c r="V2702">
        <v>0</v>
      </c>
      <c r="W2702">
        <v>0</v>
      </c>
      <c r="X2702">
        <v>1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0</v>
      </c>
      <c r="AI2702" t="s">
        <v>1402</v>
      </c>
      <c r="AJ2702">
        <v>38.894433999999997</v>
      </c>
      <c r="AK2702" t="s">
        <v>1379</v>
      </c>
      <c r="AL2702">
        <v>-87.610774000000006</v>
      </c>
      <c r="AM2702">
        <v>100</v>
      </c>
      <c r="AN2702">
        <v>2400</v>
      </c>
      <c r="AO2702" t="s">
        <v>118</v>
      </c>
      <c r="AP2702">
        <v>1</v>
      </c>
      <c r="AQ2702">
        <v>-137</v>
      </c>
      <c r="AR2702">
        <v>128</v>
      </c>
      <c r="AZ2702">
        <v>4552</v>
      </c>
      <c r="BA2702">
        <v>1</v>
      </c>
      <c r="BB2702" t="str">
        <f t="shared" si="994"/>
        <v xml:space="preserve">N607SR  </v>
      </c>
      <c r="BC2702">
        <v>1</v>
      </c>
      <c r="BE2702">
        <v>0</v>
      </c>
      <c r="BF2702">
        <v>0</v>
      </c>
      <c r="BG2702">
        <v>0</v>
      </c>
      <c r="BH2702">
        <v>2175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 t="shared" si="1002"/>
        <v>06:19:50.176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6</v>
      </c>
      <c r="CP2702" t="s">
        <v>119</v>
      </c>
      <c r="CQ2702">
        <v>465</v>
      </c>
      <c r="CR2702">
        <v>0</v>
      </c>
      <c r="CW2702">
        <v>4727333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 t="shared" ref="A2703:A2708" si="1003">"08/29/2020 06:19:47.904"</f>
        <v>08/29/2020 06:19:47.904</v>
      </c>
      <c r="C2703" t="str">
        <f t="shared" si="992"/>
        <v>FFDFD3C0</v>
      </c>
      <c r="D2703" t="s">
        <v>121</v>
      </c>
      <c r="E2703">
        <v>11</v>
      </c>
      <c r="F2703">
        <v>1011</v>
      </c>
      <c r="G2703" t="s">
        <v>125</v>
      </c>
      <c r="J2703" t="s">
        <v>123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ref="S2703:S2708" si="1004">"06:19:51.156"</f>
        <v>06:19:51.156</v>
      </c>
      <c r="T2703" t="str">
        <f t="shared" ref="T2703:T2708" si="1005">"06:19:50.756"</f>
        <v>06:19:50.756</v>
      </c>
      <c r="U2703" t="str">
        <f t="shared" si="993"/>
        <v>A7E2E0</v>
      </c>
      <c r="V2703">
        <v>0</v>
      </c>
      <c r="W2703">
        <v>0</v>
      </c>
      <c r="X2703">
        <v>1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0</v>
      </c>
      <c r="AI2703" t="s">
        <v>1403</v>
      </c>
      <c r="AJ2703">
        <v>38.893790000000003</v>
      </c>
      <c r="AK2703" t="s">
        <v>1379</v>
      </c>
      <c r="AL2703">
        <v>-87.610774000000006</v>
      </c>
      <c r="AM2703">
        <v>100</v>
      </c>
      <c r="AN2703">
        <v>2400</v>
      </c>
      <c r="AO2703" t="s">
        <v>118</v>
      </c>
      <c r="AP2703">
        <v>1</v>
      </c>
      <c r="AQ2703">
        <v>-136</v>
      </c>
      <c r="AR2703">
        <v>64</v>
      </c>
      <c r="AZ2703">
        <v>4552</v>
      </c>
      <c r="BA2703">
        <v>1</v>
      </c>
      <c r="BB2703" t="str">
        <f t="shared" si="994"/>
        <v xml:space="preserve">N607SR  </v>
      </c>
      <c r="BC2703">
        <v>1</v>
      </c>
      <c r="BE2703">
        <v>0</v>
      </c>
      <c r="BF2703">
        <v>0</v>
      </c>
      <c r="BG2703">
        <v>0</v>
      </c>
      <c r="BH2703">
        <v>2175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 t="shared" ref="BW2703:BW2708" si="1006">"06:19:51.159"</f>
        <v>06:19:51.159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5</v>
      </c>
      <c r="CP2703" t="s">
        <v>119</v>
      </c>
      <c r="CQ2703">
        <v>177</v>
      </c>
      <c r="CR2703">
        <v>2</v>
      </c>
      <c r="CW2703">
        <v>1679245</v>
      </c>
      <c r="CY2703">
        <v>1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 t="shared" si="1003"/>
        <v>08/29/2020 06:19:47.904</v>
      </c>
      <c r="C2704" t="str">
        <f t="shared" si="992"/>
        <v>FFDFD3C0</v>
      </c>
      <c r="D2704" t="s">
        <v>121</v>
      </c>
      <c r="E2704">
        <v>10</v>
      </c>
      <c r="F2704">
        <v>1010</v>
      </c>
      <c r="G2704" t="s">
        <v>114</v>
      </c>
      <c r="J2704" t="s">
        <v>123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004"/>
        <v>06:19:51.156</v>
      </c>
      <c r="T2704" t="str">
        <f t="shared" si="1005"/>
        <v>06:19:50.756</v>
      </c>
      <c r="U2704" t="str">
        <f t="shared" si="993"/>
        <v>A7E2E0</v>
      </c>
      <c r="V2704">
        <v>0</v>
      </c>
      <c r="W2704">
        <v>0</v>
      </c>
      <c r="X2704">
        <v>1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0</v>
      </c>
      <c r="AI2704" t="s">
        <v>1403</v>
      </c>
      <c r="AJ2704">
        <v>38.893790000000003</v>
      </c>
      <c r="AK2704" t="s">
        <v>1379</v>
      </c>
      <c r="AL2704">
        <v>-87.610774000000006</v>
      </c>
      <c r="AM2704">
        <v>100</v>
      </c>
      <c r="AN2704">
        <v>2400</v>
      </c>
      <c r="AO2704" t="s">
        <v>118</v>
      </c>
      <c r="AP2704">
        <v>1</v>
      </c>
      <c r="AQ2704">
        <v>-136</v>
      </c>
      <c r="AR2704">
        <v>64</v>
      </c>
      <c r="AZ2704">
        <v>4552</v>
      </c>
      <c r="BA2704">
        <v>1</v>
      </c>
      <c r="BB2704" t="str">
        <f t="shared" si="994"/>
        <v xml:space="preserve">N607SR  </v>
      </c>
      <c r="BC2704">
        <v>1</v>
      </c>
      <c r="BE2704">
        <v>0</v>
      </c>
      <c r="BF2704">
        <v>0</v>
      </c>
      <c r="BG2704">
        <v>0</v>
      </c>
      <c r="BH2704">
        <v>2175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 t="shared" si="1006"/>
        <v>06:19:51.159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5</v>
      </c>
      <c r="CP2704" t="s">
        <v>119</v>
      </c>
      <c r="CQ2704">
        <v>465</v>
      </c>
      <c r="CR2704">
        <v>0</v>
      </c>
      <c r="CW2704">
        <v>4727360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 t="shared" si="1003"/>
        <v>08/29/2020 06:19:47.904</v>
      </c>
      <c r="C2705" t="str">
        <f t="shared" si="992"/>
        <v>FFDFD3C0</v>
      </c>
      <c r="D2705" t="s">
        <v>939</v>
      </c>
      <c r="E2705">
        <v>10</v>
      </c>
      <c r="H2705">
        <v>79</v>
      </c>
      <c r="I2705" t="s">
        <v>940</v>
      </c>
      <c r="J2705" t="s">
        <v>130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004"/>
        <v>06:19:51.156</v>
      </c>
      <c r="T2705" t="str">
        <f t="shared" si="1005"/>
        <v>06:19:50.756</v>
      </c>
      <c r="U2705" t="str">
        <f t="shared" si="993"/>
        <v>A7E2E0</v>
      </c>
      <c r="V2705">
        <v>0</v>
      </c>
      <c r="W2705">
        <v>0</v>
      </c>
      <c r="X2705">
        <v>1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0</v>
      </c>
      <c r="AI2705" t="s">
        <v>1403</v>
      </c>
      <c r="AJ2705">
        <v>38.893790000000003</v>
      </c>
      <c r="AK2705" t="s">
        <v>1379</v>
      </c>
      <c r="AL2705">
        <v>-87.610774000000006</v>
      </c>
      <c r="AM2705">
        <v>100</v>
      </c>
      <c r="AN2705">
        <v>2400</v>
      </c>
      <c r="AO2705" t="s">
        <v>118</v>
      </c>
      <c r="AP2705">
        <v>1</v>
      </c>
      <c r="AQ2705">
        <v>-136</v>
      </c>
      <c r="AR2705">
        <v>64</v>
      </c>
      <c r="AZ2705">
        <v>4552</v>
      </c>
      <c r="BA2705">
        <v>1</v>
      </c>
      <c r="BB2705" t="str">
        <f t="shared" si="994"/>
        <v xml:space="preserve">N607SR  </v>
      </c>
      <c r="BC2705">
        <v>1</v>
      </c>
      <c r="BE2705">
        <v>0</v>
      </c>
      <c r="BF2705">
        <v>0</v>
      </c>
      <c r="BG2705">
        <v>0</v>
      </c>
      <c r="BH2705">
        <v>2175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 t="shared" si="1006"/>
        <v>06:19:51.159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5</v>
      </c>
      <c r="CP2705" t="s">
        <v>119</v>
      </c>
      <c r="CQ2705">
        <v>465</v>
      </c>
      <c r="CR2705">
        <v>0</v>
      </c>
      <c r="CW2705">
        <v>4727360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 t="shared" si="1003"/>
        <v>08/29/2020 06:19:47.904</v>
      </c>
      <c r="C2706" t="str">
        <f t="shared" si="992"/>
        <v>FFDFD3C0</v>
      </c>
      <c r="D2706" t="s">
        <v>113</v>
      </c>
      <c r="E2706">
        <v>5</v>
      </c>
      <c r="H2706">
        <v>163</v>
      </c>
      <c r="I2706" t="s">
        <v>114</v>
      </c>
      <c r="J2706" t="s">
        <v>115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004"/>
        <v>06:19:51.156</v>
      </c>
      <c r="T2706" t="str">
        <f t="shared" si="1005"/>
        <v>06:19:50.756</v>
      </c>
      <c r="U2706" t="str">
        <f t="shared" si="993"/>
        <v>A7E2E0</v>
      </c>
      <c r="V2706">
        <v>0</v>
      </c>
      <c r="W2706">
        <v>0</v>
      </c>
      <c r="X2706">
        <v>1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0</v>
      </c>
      <c r="AI2706" t="s">
        <v>1403</v>
      </c>
      <c r="AJ2706">
        <v>38.893790000000003</v>
      </c>
      <c r="AK2706" t="s">
        <v>1379</v>
      </c>
      <c r="AL2706">
        <v>-87.610774000000006</v>
      </c>
      <c r="AM2706">
        <v>100</v>
      </c>
      <c r="AN2706">
        <v>2400</v>
      </c>
      <c r="AO2706" t="s">
        <v>118</v>
      </c>
      <c r="AP2706">
        <v>1</v>
      </c>
      <c r="AQ2706">
        <v>-136</v>
      </c>
      <c r="AR2706">
        <v>64</v>
      </c>
      <c r="AZ2706">
        <v>4552</v>
      </c>
      <c r="BA2706">
        <v>1</v>
      </c>
      <c r="BB2706" t="str">
        <f t="shared" si="994"/>
        <v xml:space="preserve">N607SR  </v>
      </c>
      <c r="BC2706">
        <v>1</v>
      </c>
      <c r="BE2706">
        <v>0</v>
      </c>
      <c r="BF2706">
        <v>0</v>
      </c>
      <c r="BG2706">
        <v>0</v>
      </c>
      <c r="BH2706">
        <v>2175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 t="shared" si="1006"/>
        <v>06:19:51.159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5</v>
      </c>
      <c r="CP2706" t="s">
        <v>119</v>
      </c>
      <c r="CQ2706">
        <v>465</v>
      </c>
      <c r="CR2706">
        <v>0</v>
      </c>
      <c r="CW2706">
        <v>4727360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 t="shared" si="1003"/>
        <v>08/29/2020 06:19:47.904</v>
      </c>
      <c r="C2707" t="str">
        <f t="shared" si="992"/>
        <v>FFDFD3C0</v>
      </c>
      <c r="D2707" t="s">
        <v>128</v>
      </c>
      <c r="E2707">
        <v>5</v>
      </c>
      <c r="H2707">
        <v>241</v>
      </c>
      <c r="I2707" t="s">
        <v>129</v>
      </c>
      <c r="J2707" t="s">
        <v>130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004"/>
        <v>06:19:51.156</v>
      </c>
      <c r="T2707" t="str">
        <f t="shared" si="1005"/>
        <v>06:19:50.756</v>
      </c>
      <c r="U2707" t="str">
        <f t="shared" si="993"/>
        <v>A7E2E0</v>
      </c>
      <c r="V2707">
        <v>0</v>
      </c>
      <c r="W2707">
        <v>0</v>
      </c>
      <c r="X2707">
        <v>1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0</v>
      </c>
      <c r="AI2707" t="s">
        <v>1403</v>
      </c>
      <c r="AJ2707">
        <v>38.893790000000003</v>
      </c>
      <c r="AK2707" t="s">
        <v>1379</v>
      </c>
      <c r="AL2707">
        <v>-87.610774000000006</v>
      </c>
      <c r="AM2707">
        <v>100</v>
      </c>
      <c r="AN2707">
        <v>2400</v>
      </c>
      <c r="AO2707" t="s">
        <v>118</v>
      </c>
      <c r="AP2707">
        <v>1</v>
      </c>
      <c r="AQ2707">
        <v>-136</v>
      </c>
      <c r="AR2707">
        <v>64</v>
      </c>
      <c r="AZ2707">
        <v>4552</v>
      </c>
      <c r="BA2707">
        <v>1</v>
      </c>
      <c r="BB2707" t="str">
        <f t="shared" si="994"/>
        <v xml:space="preserve">N607SR  </v>
      </c>
      <c r="BC2707">
        <v>1</v>
      </c>
      <c r="BE2707">
        <v>0</v>
      </c>
      <c r="BF2707">
        <v>0</v>
      </c>
      <c r="BG2707">
        <v>0</v>
      </c>
      <c r="BH2707">
        <v>2175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 t="shared" si="1006"/>
        <v>06:19:51.159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5</v>
      </c>
      <c r="CP2707" t="s">
        <v>119</v>
      </c>
      <c r="CQ2707">
        <v>465</v>
      </c>
      <c r="CR2707">
        <v>0</v>
      </c>
      <c r="CW2707">
        <v>4727360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 t="shared" si="1003"/>
        <v>08/29/2020 06:19:47.904</v>
      </c>
      <c r="C2708" t="str">
        <f t="shared" si="992"/>
        <v>FFDFD3C0</v>
      </c>
      <c r="D2708" t="s">
        <v>121</v>
      </c>
      <c r="E2708">
        <v>13</v>
      </c>
      <c r="F2708">
        <v>1013</v>
      </c>
      <c r="G2708" t="s">
        <v>122</v>
      </c>
      <c r="J2708" t="s">
        <v>123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004"/>
        <v>06:19:51.156</v>
      </c>
      <c r="T2708" t="str">
        <f t="shared" si="1005"/>
        <v>06:19:50.756</v>
      </c>
      <c r="U2708" t="str">
        <f t="shared" si="993"/>
        <v>A7E2E0</v>
      </c>
      <c r="V2708">
        <v>0</v>
      </c>
      <c r="W2708">
        <v>0</v>
      </c>
      <c r="X2708">
        <v>1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0</v>
      </c>
      <c r="AI2708" t="s">
        <v>1403</v>
      </c>
      <c r="AJ2708">
        <v>38.893790000000003</v>
      </c>
      <c r="AK2708" t="s">
        <v>1379</v>
      </c>
      <c r="AL2708">
        <v>-87.610774000000006</v>
      </c>
      <c r="AM2708">
        <v>100</v>
      </c>
      <c r="AN2708">
        <v>2400</v>
      </c>
      <c r="AO2708" t="s">
        <v>118</v>
      </c>
      <c r="AP2708">
        <v>1</v>
      </c>
      <c r="AQ2708">
        <v>-136</v>
      </c>
      <c r="AR2708">
        <v>64</v>
      </c>
      <c r="AZ2708">
        <v>4552</v>
      </c>
      <c r="BA2708">
        <v>1</v>
      </c>
      <c r="BB2708" t="str">
        <f t="shared" si="994"/>
        <v xml:space="preserve">N607SR  </v>
      </c>
      <c r="BC2708">
        <v>1</v>
      </c>
      <c r="BE2708">
        <v>0</v>
      </c>
      <c r="BF2708">
        <v>0</v>
      </c>
      <c r="BG2708">
        <v>0</v>
      </c>
      <c r="BH2708">
        <v>2175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 t="shared" si="1006"/>
        <v>06:19:51.159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5</v>
      </c>
      <c r="CP2708" t="s">
        <v>119</v>
      </c>
      <c r="CQ2708">
        <v>465</v>
      </c>
      <c r="CR2708">
        <v>0</v>
      </c>
      <c r="CW2708">
        <v>4727360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 t="shared" ref="A2709:A2714" si="1007">"08/29/2020 06:19:49.066"</f>
        <v>08/29/2020 06:19:49.066</v>
      </c>
      <c r="C2709" t="str">
        <f t="shared" si="992"/>
        <v>FFDFD3C0</v>
      </c>
      <c r="D2709" t="s">
        <v>939</v>
      </c>
      <c r="E2709">
        <v>10</v>
      </c>
      <c r="H2709">
        <v>79</v>
      </c>
      <c r="I2709" t="s">
        <v>940</v>
      </c>
      <c r="J2709" t="s">
        <v>130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ref="S2709:S2714" si="1008">"06:19:52.305"</f>
        <v>06:19:52.305</v>
      </c>
      <c r="T2709" t="str">
        <f t="shared" ref="T2709:T2714" si="1009">"06:19:51.805"</f>
        <v>06:19:51.805</v>
      </c>
      <c r="U2709" t="str">
        <f t="shared" si="993"/>
        <v>A7E2E0</v>
      </c>
      <c r="V2709">
        <v>0</v>
      </c>
      <c r="W2709">
        <v>0</v>
      </c>
      <c r="X2709">
        <v>1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0</v>
      </c>
      <c r="AI2709" t="s">
        <v>1404</v>
      </c>
      <c r="AJ2709">
        <v>38.893146999999999</v>
      </c>
      <c r="AK2709" t="s">
        <v>1405</v>
      </c>
      <c r="AL2709">
        <v>-87.610709999999997</v>
      </c>
      <c r="AM2709">
        <v>100</v>
      </c>
      <c r="AN2709">
        <v>2400</v>
      </c>
      <c r="AO2709" t="s">
        <v>118</v>
      </c>
      <c r="AP2709">
        <v>1</v>
      </c>
      <c r="AQ2709">
        <v>-135</v>
      </c>
      <c r="AR2709">
        <v>64</v>
      </c>
      <c r="AZ2709">
        <v>4552</v>
      </c>
      <c r="BA2709">
        <v>1</v>
      </c>
      <c r="BB2709" t="str">
        <f t="shared" si="994"/>
        <v xml:space="preserve">N607SR  </v>
      </c>
      <c r="BC2709">
        <v>1</v>
      </c>
      <c r="BE2709">
        <v>0</v>
      </c>
      <c r="BF2709">
        <v>0</v>
      </c>
      <c r="BG2709">
        <v>0</v>
      </c>
      <c r="BH2709">
        <v>2175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 t="shared" ref="BW2709:BW2714" si="1010">"06:19:52.308"</f>
        <v>06:19:52.308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6</v>
      </c>
      <c r="CP2709" t="s">
        <v>119</v>
      </c>
      <c r="CQ2709">
        <v>465</v>
      </c>
      <c r="CR2709">
        <v>0</v>
      </c>
      <c r="CW2709">
        <v>4727393</v>
      </c>
      <c r="CY2709">
        <v>1</v>
      </c>
      <c r="CZ2709">
        <v>0</v>
      </c>
      <c r="DA2709">
        <v>0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 t="shared" si="1007"/>
        <v>08/29/2020 06:19:49.066</v>
      </c>
      <c r="C2710" t="str">
        <f t="shared" si="992"/>
        <v>FFDFD3C0</v>
      </c>
      <c r="D2710" t="s">
        <v>121</v>
      </c>
      <c r="E2710">
        <v>11</v>
      </c>
      <c r="F2710">
        <v>1011</v>
      </c>
      <c r="G2710" t="s">
        <v>125</v>
      </c>
      <c r="J2710" t="s">
        <v>123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008"/>
        <v>06:19:52.305</v>
      </c>
      <c r="T2710" t="str">
        <f t="shared" si="1009"/>
        <v>06:19:51.805</v>
      </c>
      <c r="U2710" t="str">
        <f t="shared" si="993"/>
        <v>A7E2E0</v>
      </c>
      <c r="V2710">
        <v>0</v>
      </c>
      <c r="W2710">
        <v>0</v>
      </c>
      <c r="X2710">
        <v>1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0</v>
      </c>
      <c r="AI2710" t="s">
        <v>1404</v>
      </c>
      <c r="AJ2710">
        <v>38.893146999999999</v>
      </c>
      <c r="AK2710" t="s">
        <v>1405</v>
      </c>
      <c r="AL2710">
        <v>-87.610709999999997</v>
      </c>
      <c r="AM2710">
        <v>100</v>
      </c>
      <c r="AN2710">
        <v>2400</v>
      </c>
      <c r="AO2710" t="s">
        <v>118</v>
      </c>
      <c r="AP2710">
        <v>1</v>
      </c>
      <c r="AQ2710">
        <v>-135</v>
      </c>
      <c r="AR2710">
        <v>64</v>
      </c>
      <c r="AZ2710">
        <v>4552</v>
      </c>
      <c r="BA2710">
        <v>1</v>
      </c>
      <c r="BB2710" t="str">
        <f t="shared" si="994"/>
        <v xml:space="preserve">N607SR  </v>
      </c>
      <c r="BC2710">
        <v>1</v>
      </c>
      <c r="BE2710">
        <v>0</v>
      </c>
      <c r="BF2710">
        <v>0</v>
      </c>
      <c r="BG2710">
        <v>0</v>
      </c>
      <c r="BH2710">
        <v>2175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 t="shared" si="1010"/>
        <v>06:19:52.308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4</v>
      </c>
      <c r="CP2710" t="s">
        <v>119</v>
      </c>
      <c r="CQ2710">
        <v>177</v>
      </c>
      <c r="CR2710">
        <v>2</v>
      </c>
      <c r="CW2710">
        <v>1679420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 t="shared" si="1007"/>
        <v>08/29/2020 06:19:49.066</v>
      </c>
      <c r="C2711" t="str">
        <f t="shared" si="992"/>
        <v>FFDFD3C0</v>
      </c>
      <c r="D2711" t="s">
        <v>121</v>
      </c>
      <c r="E2711">
        <v>10</v>
      </c>
      <c r="F2711">
        <v>1010</v>
      </c>
      <c r="G2711" t="s">
        <v>114</v>
      </c>
      <c r="J2711" t="s">
        <v>123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008"/>
        <v>06:19:52.305</v>
      </c>
      <c r="T2711" t="str">
        <f t="shared" si="1009"/>
        <v>06:19:51.805</v>
      </c>
      <c r="U2711" t="str">
        <f t="shared" si="993"/>
        <v>A7E2E0</v>
      </c>
      <c r="V2711">
        <v>0</v>
      </c>
      <c r="W2711">
        <v>0</v>
      </c>
      <c r="X2711">
        <v>1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0</v>
      </c>
      <c r="AI2711" t="s">
        <v>1404</v>
      </c>
      <c r="AJ2711">
        <v>38.893146999999999</v>
      </c>
      <c r="AK2711" t="s">
        <v>1405</v>
      </c>
      <c r="AL2711">
        <v>-87.610709999999997</v>
      </c>
      <c r="AM2711">
        <v>100</v>
      </c>
      <c r="AN2711">
        <v>2400</v>
      </c>
      <c r="AO2711" t="s">
        <v>118</v>
      </c>
      <c r="AP2711">
        <v>1</v>
      </c>
      <c r="AQ2711">
        <v>-135</v>
      </c>
      <c r="AR2711">
        <v>64</v>
      </c>
      <c r="AZ2711">
        <v>4552</v>
      </c>
      <c r="BA2711">
        <v>1</v>
      </c>
      <c r="BB2711" t="str">
        <f t="shared" si="994"/>
        <v xml:space="preserve">N607SR  </v>
      </c>
      <c r="BC2711">
        <v>1</v>
      </c>
      <c r="BE2711">
        <v>0</v>
      </c>
      <c r="BF2711">
        <v>0</v>
      </c>
      <c r="BG2711">
        <v>0</v>
      </c>
      <c r="BH2711">
        <v>2175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 t="shared" si="1010"/>
        <v>06:19:52.308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6</v>
      </c>
      <c r="CP2711" t="s">
        <v>119</v>
      </c>
      <c r="CQ2711">
        <v>465</v>
      </c>
      <c r="CR2711">
        <v>0</v>
      </c>
      <c r="CW2711">
        <v>4727393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 t="shared" si="1007"/>
        <v>08/29/2020 06:19:49.066</v>
      </c>
      <c r="C2712" t="str">
        <f t="shared" si="992"/>
        <v>FFDFD3C0</v>
      </c>
      <c r="D2712" t="s">
        <v>113</v>
      </c>
      <c r="E2712">
        <v>5</v>
      </c>
      <c r="H2712">
        <v>163</v>
      </c>
      <c r="I2712" t="s">
        <v>114</v>
      </c>
      <c r="J2712" t="s">
        <v>115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008"/>
        <v>06:19:52.305</v>
      </c>
      <c r="T2712" t="str">
        <f t="shared" si="1009"/>
        <v>06:19:51.805</v>
      </c>
      <c r="U2712" t="str">
        <f t="shared" si="993"/>
        <v>A7E2E0</v>
      </c>
      <c r="V2712">
        <v>0</v>
      </c>
      <c r="W2712">
        <v>0</v>
      </c>
      <c r="X2712">
        <v>1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0</v>
      </c>
      <c r="AI2712" t="s">
        <v>1404</v>
      </c>
      <c r="AJ2712">
        <v>38.893146999999999</v>
      </c>
      <c r="AK2712" t="s">
        <v>1405</v>
      </c>
      <c r="AL2712">
        <v>-87.610709999999997</v>
      </c>
      <c r="AM2712">
        <v>100</v>
      </c>
      <c r="AN2712">
        <v>2400</v>
      </c>
      <c r="AO2712" t="s">
        <v>118</v>
      </c>
      <c r="AP2712">
        <v>1</v>
      </c>
      <c r="AQ2712">
        <v>-135</v>
      </c>
      <c r="AR2712">
        <v>64</v>
      </c>
      <c r="AZ2712">
        <v>4552</v>
      </c>
      <c r="BA2712">
        <v>1</v>
      </c>
      <c r="BB2712" t="str">
        <f t="shared" si="994"/>
        <v xml:space="preserve">N607SR  </v>
      </c>
      <c r="BC2712">
        <v>1</v>
      </c>
      <c r="BE2712">
        <v>0</v>
      </c>
      <c r="BF2712">
        <v>0</v>
      </c>
      <c r="BG2712">
        <v>0</v>
      </c>
      <c r="BH2712">
        <v>2175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 t="shared" si="1010"/>
        <v>06:19:52.308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6</v>
      </c>
      <c r="CP2712" t="s">
        <v>119</v>
      </c>
      <c r="CQ2712">
        <v>465</v>
      </c>
      <c r="CR2712">
        <v>0</v>
      </c>
      <c r="CW2712">
        <v>4727393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 t="shared" si="1007"/>
        <v>08/29/2020 06:19:49.066</v>
      </c>
      <c r="C2713" t="str">
        <f t="shared" si="992"/>
        <v>FFDFD3C0</v>
      </c>
      <c r="D2713" t="s">
        <v>128</v>
      </c>
      <c r="E2713">
        <v>5</v>
      </c>
      <c r="H2713">
        <v>241</v>
      </c>
      <c r="I2713" t="s">
        <v>129</v>
      </c>
      <c r="J2713" t="s">
        <v>130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008"/>
        <v>06:19:52.305</v>
      </c>
      <c r="T2713" t="str">
        <f t="shared" si="1009"/>
        <v>06:19:51.805</v>
      </c>
      <c r="U2713" t="str">
        <f t="shared" si="993"/>
        <v>A7E2E0</v>
      </c>
      <c r="V2713">
        <v>0</v>
      </c>
      <c r="W2713">
        <v>0</v>
      </c>
      <c r="X2713">
        <v>1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0</v>
      </c>
      <c r="AI2713" t="s">
        <v>1404</v>
      </c>
      <c r="AJ2713">
        <v>38.893146999999999</v>
      </c>
      <c r="AK2713" t="s">
        <v>1405</v>
      </c>
      <c r="AL2713">
        <v>-87.610709999999997</v>
      </c>
      <c r="AM2713">
        <v>100</v>
      </c>
      <c r="AN2713">
        <v>2400</v>
      </c>
      <c r="AO2713" t="s">
        <v>118</v>
      </c>
      <c r="AP2713">
        <v>1</v>
      </c>
      <c r="AQ2713">
        <v>-135</v>
      </c>
      <c r="AR2713">
        <v>64</v>
      </c>
      <c r="AZ2713">
        <v>4552</v>
      </c>
      <c r="BA2713">
        <v>1</v>
      </c>
      <c r="BB2713" t="str">
        <f t="shared" si="994"/>
        <v xml:space="preserve">N607SR  </v>
      </c>
      <c r="BC2713">
        <v>1</v>
      </c>
      <c r="BE2713">
        <v>0</v>
      </c>
      <c r="BF2713">
        <v>0</v>
      </c>
      <c r="BG2713">
        <v>0</v>
      </c>
      <c r="BH2713">
        <v>2175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 t="shared" si="1010"/>
        <v>06:19:52.308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6</v>
      </c>
      <c r="CP2713" t="s">
        <v>119</v>
      </c>
      <c r="CQ2713">
        <v>465</v>
      </c>
      <c r="CR2713">
        <v>0</v>
      </c>
      <c r="CW2713">
        <v>4727393</v>
      </c>
      <c r="CY2713">
        <v>1</v>
      </c>
      <c r="CZ2713">
        <v>0</v>
      </c>
      <c r="DA2713">
        <v>1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 t="shared" si="1007"/>
        <v>08/29/2020 06:19:49.066</v>
      </c>
      <c r="C2714" t="str">
        <f t="shared" si="992"/>
        <v>FFDFD3C0</v>
      </c>
      <c r="D2714" t="s">
        <v>121</v>
      </c>
      <c r="E2714">
        <v>13</v>
      </c>
      <c r="F2714">
        <v>1013</v>
      </c>
      <c r="G2714" t="s">
        <v>122</v>
      </c>
      <c r="J2714" t="s">
        <v>123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008"/>
        <v>06:19:52.305</v>
      </c>
      <c r="T2714" t="str">
        <f t="shared" si="1009"/>
        <v>06:19:51.805</v>
      </c>
      <c r="U2714" t="str">
        <f t="shared" si="993"/>
        <v>A7E2E0</v>
      </c>
      <c r="V2714">
        <v>0</v>
      </c>
      <c r="W2714">
        <v>0</v>
      </c>
      <c r="X2714">
        <v>1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0</v>
      </c>
      <c r="AI2714" t="s">
        <v>1404</v>
      </c>
      <c r="AJ2714">
        <v>38.893146999999999</v>
      </c>
      <c r="AK2714" t="s">
        <v>1405</v>
      </c>
      <c r="AL2714">
        <v>-87.610709999999997</v>
      </c>
      <c r="AM2714">
        <v>100</v>
      </c>
      <c r="AN2714">
        <v>2400</v>
      </c>
      <c r="AO2714" t="s">
        <v>118</v>
      </c>
      <c r="AP2714">
        <v>1</v>
      </c>
      <c r="AQ2714">
        <v>-135</v>
      </c>
      <c r="AR2714">
        <v>64</v>
      </c>
      <c r="AZ2714">
        <v>4552</v>
      </c>
      <c r="BA2714">
        <v>1</v>
      </c>
      <c r="BB2714" t="str">
        <f t="shared" si="994"/>
        <v xml:space="preserve">N607SR  </v>
      </c>
      <c r="BC2714">
        <v>1</v>
      </c>
      <c r="BE2714">
        <v>0</v>
      </c>
      <c r="BF2714">
        <v>0</v>
      </c>
      <c r="BG2714">
        <v>0</v>
      </c>
      <c r="BH2714">
        <v>2175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 t="shared" si="1010"/>
        <v>06:19:52.308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6</v>
      </c>
      <c r="CP2714" t="s">
        <v>119</v>
      </c>
      <c r="CQ2714">
        <v>465</v>
      </c>
      <c r="CR2714">
        <v>0</v>
      </c>
      <c r="CW2714">
        <v>4727393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 t="shared" ref="A2715:A2720" si="1011">"08/29/2020 06:19:50.085"</f>
        <v>08/29/2020 06:19:50.085</v>
      </c>
      <c r="C2715" t="str">
        <f t="shared" si="992"/>
        <v>FFDFD3C0</v>
      </c>
      <c r="D2715" t="s">
        <v>121</v>
      </c>
      <c r="E2715">
        <v>10</v>
      </c>
      <c r="F2715">
        <v>1010</v>
      </c>
      <c r="G2715" t="s">
        <v>114</v>
      </c>
      <c r="J2715" t="s">
        <v>123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ref="S2715:S2720" si="1012">"06:19:53.320"</f>
        <v>06:19:53.320</v>
      </c>
      <c r="T2715" t="str">
        <f t="shared" ref="T2715:T2720" si="1013">"06:19:52.820"</f>
        <v>06:19:52.820</v>
      </c>
      <c r="U2715" t="str">
        <f t="shared" si="993"/>
        <v>A7E2E0</v>
      </c>
      <c r="V2715">
        <v>0</v>
      </c>
      <c r="W2715">
        <v>0</v>
      </c>
      <c r="X2715">
        <v>1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0</v>
      </c>
      <c r="AI2715" t="s">
        <v>1406</v>
      </c>
      <c r="AJ2715">
        <v>38.892417000000002</v>
      </c>
      <c r="AK2715" t="s">
        <v>1405</v>
      </c>
      <c r="AL2715">
        <v>-87.610709999999997</v>
      </c>
      <c r="AM2715">
        <v>100</v>
      </c>
      <c r="AN2715">
        <v>2400</v>
      </c>
      <c r="AO2715" t="s">
        <v>118</v>
      </c>
      <c r="AP2715">
        <v>2</v>
      </c>
      <c r="AQ2715">
        <v>-135</v>
      </c>
      <c r="AR2715">
        <v>128</v>
      </c>
      <c r="AZ2715">
        <v>4552</v>
      </c>
      <c r="BA2715">
        <v>1</v>
      </c>
      <c r="BB2715" t="str">
        <f t="shared" si="994"/>
        <v xml:space="preserve">N607SR  </v>
      </c>
      <c r="BC2715">
        <v>1</v>
      </c>
      <c r="BE2715">
        <v>0</v>
      </c>
      <c r="BF2715">
        <v>0</v>
      </c>
      <c r="BG2715">
        <v>0</v>
      </c>
      <c r="BH2715">
        <v>2175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 t="shared" ref="BW2715:BW2720" si="1014">"06:19:53.325"</f>
        <v>06:19:53.325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6</v>
      </c>
      <c r="CP2715" t="s">
        <v>119</v>
      </c>
      <c r="CQ2715">
        <v>465</v>
      </c>
      <c r="CR2715">
        <v>0</v>
      </c>
      <c r="CW2715">
        <v>4727422</v>
      </c>
      <c r="CY2715">
        <v>1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 t="shared" si="1011"/>
        <v>08/29/2020 06:19:50.085</v>
      </c>
      <c r="C2716" t="str">
        <f t="shared" si="992"/>
        <v>FFDFD3C0</v>
      </c>
      <c r="D2716" t="s">
        <v>121</v>
      </c>
      <c r="E2716">
        <v>11</v>
      </c>
      <c r="F2716">
        <v>1011</v>
      </c>
      <c r="G2716" t="s">
        <v>125</v>
      </c>
      <c r="J2716" t="s">
        <v>123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012"/>
        <v>06:19:53.320</v>
      </c>
      <c r="T2716" t="str">
        <f t="shared" si="1013"/>
        <v>06:19:52.820</v>
      </c>
      <c r="U2716" t="str">
        <f t="shared" si="993"/>
        <v>A7E2E0</v>
      </c>
      <c r="V2716">
        <v>0</v>
      </c>
      <c r="W2716">
        <v>0</v>
      </c>
      <c r="X2716">
        <v>1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0</v>
      </c>
      <c r="AI2716" t="s">
        <v>1406</v>
      </c>
      <c r="AJ2716">
        <v>38.892417000000002</v>
      </c>
      <c r="AK2716" t="s">
        <v>1405</v>
      </c>
      <c r="AL2716">
        <v>-87.610709999999997</v>
      </c>
      <c r="AM2716">
        <v>100</v>
      </c>
      <c r="AN2716">
        <v>2400</v>
      </c>
      <c r="AO2716" t="s">
        <v>118</v>
      </c>
      <c r="AP2716">
        <v>2</v>
      </c>
      <c r="AQ2716">
        <v>-135</v>
      </c>
      <c r="AR2716">
        <v>128</v>
      </c>
      <c r="AZ2716">
        <v>4552</v>
      </c>
      <c r="BA2716">
        <v>1</v>
      </c>
      <c r="BB2716" t="str">
        <f t="shared" si="994"/>
        <v xml:space="preserve">N607SR  </v>
      </c>
      <c r="BC2716">
        <v>1</v>
      </c>
      <c r="BE2716">
        <v>0</v>
      </c>
      <c r="BF2716">
        <v>0</v>
      </c>
      <c r="BG2716">
        <v>0</v>
      </c>
      <c r="BH2716">
        <v>2175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 t="shared" si="1014"/>
        <v>06:19:53.325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4</v>
      </c>
      <c r="CP2716" t="s">
        <v>119</v>
      </c>
      <c r="CQ2716">
        <v>177</v>
      </c>
      <c r="CR2716">
        <v>2</v>
      </c>
      <c r="CW2716">
        <v>1679619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 t="shared" si="1011"/>
        <v>08/29/2020 06:19:50.085</v>
      </c>
      <c r="C2717" t="str">
        <f t="shared" si="992"/>
        <v>FFDFD3C0</v>
      </c>
      <c r="D2717" t="s">
        <v>113</v>
      </c>
      <c r="E2717">
        <v>5</v>
      </c>
      <c r="H2717">
        <v>163</v>
      </c>
      <c r="I2717" t="s">
        <v>114</v>
      </c>
      <c r="J2717" t="s">
        <v>115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012"/>
        <v>06:19:53.320</v>
      </c>
      <c r="T2717" t="str">
        <f t="shared" si="1013"/>
        <v>06:19:52.820</v>
      </c>
      <c r="U2717" t="str">
        <f t="shared" si="993"/>
        <v>A7E2E0</v>
      </c>
      <c r="V2717">
        <v>0</v>
      </c>
      <c r="W2717">
        <v>0</v>
      </c>
      <c r="X2717">
        <v>1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0</v>
      </c>
      <c r="AI2717" t="s">
        <v>1406</v>
      </c>
      <c r="AJ2717">
        <v>38.892417000000002</v>
      </c>
      <c r="AK2717" t="s">
        <v>1405</v>
      </c>
      <c r="AL2717">
        <v>-87.610709999999997</v>
      </c>
      <c r="AM2717">
        <v>100</v>
      </c>
      <c r="AN2717">
        <v>2400</v>
      </c>
      <c r="AO2717" t="s">
        <v>118</v>
      </c>
      <c r="AP2717">
        <v>2</v>
      </c>
      <c r="AQ2717">
        <v>-135</v>
      </c>
      <c r="AR2717">
        <v>128</v>
      </c>
      <c r="AZ2717">
        <v>4552</v>
      </c>
      <c r="BA2717">
        <v>1</v>
      </c>
      <c r="BB2717" t="str">
        <f t="shared" si="994"/>
        <v xml:space="preserve">N607SR  </v>
      </c>
      <c r="BC2717">
        <v>1</v>
      </c>
      <c r="BE2717">
        <v>0</v>
      </c>
      <c r="BF2717">
        <v>0</v>
      </c>
      <c r="BG2717">
        <v>0</v>
      </c>
      <c r="BH2717">
        <v>2175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 t="shared" si="1014"/>
        <v>06:19:53.325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6</v>
      </c>
      <c r="CP2717" t="s">
        <v>119</v>
      </c>
      <c r="CQ2717">
        <v>465</v>
      </c>
      <c r="CR2717">
        <v>0</v>
      </c>
      <c r="CW2717">
        <v>4727422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 t="shared" si="1011"/>
        <v>08/29/2020 06:19:50.085</v>
      </c>
      <c r="C2718" t="str">
        <f t="shared" si="992"/>
        <v>FFDFD3C0</v>
      </c>
      <c r="D2718" t="s">
        <v>128</v>
      </c>
      <c r="E2718">
        <v>5</v>
      </c>
      <c r="H2718">
        <v>241</v>
      </c>
      <c r="I2718" t="s">
        <v>129</v>
      </c>
      <c r="J2718" t="s">
        <v>130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012"/>
        <v>06:19:53.320</v>
      </c>
      <c r="T2718" t="str">
        <f t="shared" si="1013"/>
        <v>06:19:52.820</v>
      </c>
      <c r="U2718" t="str">
        <f t="shared" si="993"/>
        <v>A7E2E0</v>
      </c>
      <c r="V2718">
        <v>0</v>
      </c>
      <c r="W2718">
        <v>0</v>
      </c>
      <c r="X2718">
        <v>1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0</v>
      </c>
      <c r="AI2718" t="s">
        <v>1406</v>
      </c>
      <c r="AJ2718">
        <v>38.892417000000002</v>
      </c>
      <c r="AK2718" t="s">
        <v>1405</v>
      </c>
      <c r="AL2718">
        <v>-87.610709999999997</v>
      </c>
      <c r="AM2718">
        <v>100</v>
      </c>
      <c r="AN2718">
        <v>2400</v>
      </c>
      <c r="AO2718" t="s">
        <v>118</v>
      </c>
      <c r="AP2718">
        <v>2</v>
      </c>
      <c r="AQ2718">
        <v>-135</v>
      </c>
      <c r="AR2718">
        <v>128</v>
      </c>
      <c r="AZ2718">
        <v>4552</v>
      </c>
      <c r="BA2718">
        <v>1</v>
      </c>
      <c r="BB2718" t="str">
        <f t="shared" si="994"/>
        <v xml:space="preserve">N607SR  </v>
      </c>
      <c r="BC2718">
        <v>1</v>
      </c>
      <c r="BE2718">
        <v>0</v>
      </c>
      <c r="BF2718">
        <v>0</v>
      </c>
      <c r="BG2718">
        <v>0</v>
      </c>
      <c r="BH2718">
        <v>2175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 t="shared" si="1014"/>
        <v>06:19:53.325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6</v>
      </c>
      <c r="CP2718" t="s">
        <v>119</v>
      </c>
      <c r="CQ2718">
        <v>465</v>
      </c>
      <c r="CR2718">
        <v>0</v>
      </c>
      <c r="CW2718">
        <v>4727422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 t="shared" si="1011"/>
        <v>08/29/2020 06:19:50.085</v>
      </c>
      <c r="C2719" t="str">
        <f t="shared" si="992"/>
        <v>FFDFD3C0</v>
      </c>
      <c r="D2719" t="s">
        <v>121</v>
      </c>
      <c r="E2719">
        <v>13</v>
      </c>
      <c r="F2719">
        <v>1013</v>
      </c>
      <c r="G2719" t="s">
        <v>122</v>
      </c>
      <c r="J2719" t="s">
        <v>123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012"/>
        <v>06:19:53.320</v>
      </c>
      <c r="T2719" t="str">
        <f t="shared" si="1013"/>
        <v>06:19:52.820</v>
      </c>
      <c r="U2719" t="str">
        <f t="shared" si="993"/>
        <v>A7E2E0</v>
      </c>
      <c r="V2719">
        <v>0</v>
      </c>
      <c r="W2719">
        <v>0</v>
      </c>
      <c r="X2719">
        <v>1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0</v>
      </c>
      <c r="AI2719" t="s">
        <v>1406</v>
      </c>
      <c r="AJ2719">
        <v>38.892417000000002</v>
      </c>
      <c r="AK2719" t="s">
        <v>1405</v>
      </c>
      <c r="AL2719">
        <v>-87.610709999999997</v>
      </c>
      <c r="AM2719">
        <v>100</v>
      </c>
      <c r="AN2719">
        <v>2400</v>
      </c>
      <c r="AO2719" t="s">
        <v>118</v>
      </c>
      <c r="AP2719">
        <v>2</v>
      </c>
      <c r="AQ2719">
        <v>-135</v>
      </c>
      <c r="AR2719">
        <v>128</v>
      </c>
      <c r="AZ2719">
        <v>4552</v>
      </c>
      <c r="BA2719">
        <v>1</v>
      </c>
      <c r="BB2719" t="str">
        <f t="shared" si="994"/>
        <v xml:space="preserve">N607SR  </v>
      </c>
      <c r="BC2719">
        <v>1</v>
      </c>
      <c r="BE2719">
        <v>0</v>
      </c>
      <c r="BF2719">
        <v>0</v>
      </c>
      <c r="BG2719">
        <v>0</v>
      </c>
      <c r="BH2719">
        <v>2175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 t="shared" si="1014"/>
        <v>06:19:53.325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6</v>
      </c>
      <c r="CP2719" t="s">
        <v>119</v>
      </c>
      <c r="CQ2719">
        <v>465</v>
      </c>
      <c r="CR2719">
        <v>0</v>
      </c>
      <c r="CW2719">
        <v>4727422</v>
      </c>
      <c r="CY2719">
        <v>1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 t="shared" si="1011"/>
        <v>08/29/2020 06:19:50.085</v>
      </c>
      <c r="C2720" t="str">
        <f t="shared" si="992"/>
        <v>FFDFD3C0</v>
      </c>
      <c r="D2720" t="s">
        <v>939</v>
      </c>
      <c r="E2720">
        <v>10</v>
      </c>
      <c r="H2720">
        <v>79</v>
      </c>
      <c r="I2720" t="s">
        <v>940</v>
      </c>
      <c r="J2720" t="s">
        <v>130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012"/>
        <v>06:19:53.320</v>
      </c>
      <c r="T2720" t="str">
        <f t="shared" si="1013"/>
        <v>06:19:52.820</v>
      </c>
      <c r="U2720" t="str">
        <f t="shared" si="993"/>
        <v>A7E2E0</v>
      </c>
      <c r="V2720">
        <v>0</v>
      </c>
      <c r="W2720">
        <v>0</v>
      </c>
      <c r="X2720">
        <v>1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0</v>
      </c>
      <c r="AI2720" t="s">
        <v>1406</v>
      </c>
      <c r="AJ2720">
        <v>38.892417000000002</v>
      </c>
      <c r="AK2720" t="s">
        <v>1405</v>
      </c>
      <c r="AL2720">
        <v>-87.610709999999997</v>
      </c>
      <c r="AM2720">
        <v>100</v>
      </c>
      <c r="AN2720">
        <v>2400</v>
      </c>
      <c r="AO2720" t="s">
        <v>118</v>
      </c>
      <c r="AP2720">
        <v>2</v>
      </c>
      <c r="AQ2720">
        <v>-135</v>
      </c>
      <c r="AR2720">
        <v>128</v>
      </c>
      <c r="AZ2720">
        <v>4552</v>
      </c>
      <c r="BA2720">
        <v>1</v>
      </c>
      <c r="BB2720" t="str">
        <f t="shared" si="994"/>
        <v xml:space="preserve">N607SR  </v>
      </c>
      <c r="BC2720">
        <v>1</v>
      </c>
      <c r="BE2720">
        <v>0</v>
      </c>
      <c r="BF2720">
        <v>0</v>
      </c>
      <c r="BG2720">
        <v>0</v>
      </c>
      <c r="BH2720">
        <v>2175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 t="shared" si="1014"/>
        <v>06:19:53.325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6</v>
      </c>
      <c r="CP2720" t="s">
        <v>119</v>
      </c>
      <c r="CQ2720">
        <v>465</v>
      </c>
      <c r="CR2720">
        <v>0</v>
      </c>
      <c r="CW2720">
        <v>4727422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 t="shared" ref="A2721:A2726" si="1015">"08/29/2020 06:19:50.957"</f>
        <v>08/29/2020 06:19:50.957</v>
      </c>
      <c r="C2721" t="str">
        <f t="shared" si="992"/>
        <v>FFDFD3C0</v>
      </c>
      <c r="D2721" t="s">
        <v>113</v>
      </c>
      <c r="E2721">
        <v>5</v>
      </c>
      <c r="H2721">
        <v>163</v>
      </c>
      <c r="I2721" t="s">
        <v>114</v>
      </c>
      <c r="J2721" t="s">
        <v>115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ref="S2721:S2726" si="1016">"06:19:54.188"</f>
        <v>06:19:54.188</v>
      </c>
      <c r="U2721" t="str">
        <f t="shared" si="993"/>
        <v>A7E2E0</v>
      </c>
      <c r="V2721">
        <v>0</v>
      </c>
      <c r="W2721">
        <v>0</v>
      </c>
      <c r="X2721">
        <v>1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0</v>
      </c>
      <c r="AI2721" t="s">
        <v>1407</v>
      </c>
      <c r="AJ2721">
        <v>38.891965999999996</v>
      </c>
      <c r="AK2721" t="s">
        <v>1405</v>
      </c>
      <c r="AL2721">
        <v>-87.610709999999997</v>
      </c>
      <c r="AM2721">
        <v>100</v>
      </c>
      <c r="AN2721">
        <v>2400</v>
      </c>
      <c r="AO2721" t="s">
        <v>118</v>
      </c>
      <c r="AP2721">
        <v>2</v>
      </c>
      <c r="AQ2721">
        <v>-133</v>
      </c>
      <c r="AR2721">
        <v>192</v>
      </c>
      <c r="AZ2721">
        <v>4552</v>
      </c>
      <c r="BA2721">
        <v>1</v>
      </c>
      <c r="BB2721" t="str">
        <f t="shared" si="994"/>
        <v xml:space="preserve">N607SR  </v>
      </c>
      <c r="BC2721">
        <v>1</v>
      </c>
      <c r="BE2721">
        <v>0</v>
      </c>
      <c r="BF2721">
        <v>0</v>
      </c>
      <c r="BG2721">
        <v>0</v>
      </c>
      <c r="BH2721">
        <v>2175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>"06:19:54.190"</f>
        <v>06:19:54.190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6</v>
      </c>
      <c r="CP2721" t="s">
        <v>119</v>
      </c>
      <c r="CQ2721">
        <v>465</v>
      </c>
      <c r="CR2721">
        <v>0</v>
      </c>
      <c r="CW2721">
        <v>4727445</v>
      </c>
      <c r="CY2721">
        <v>1</v>
      </c>
      <c r="CZ2721">
        <v>0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 t="shared" si="1015"/>
        <v>08/29/2020 06:19:50.957</v>
      </c>
      <c r="C2722" t="str">
        <f t="shared" si="992"/>
        <v>FFDFD3C0</v>
      </c>
      <c r="D2722" t="s">
        <v>128</v>
      </c>
      <c r="E2722">
        <v>5</v>
      </c>
      <c r="H2722">
        <v>241</v>
      </c>
      <c r="I2722" t="s">
        <v>129</v>
      </c>
      <c r="J2722" t="s">
        <v>130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si="1016"/>
        <v>06:19:54.188</v>
      </c>
      <c r="U2722" t="str">
        <f t="shared" si="993"/>
        <v>A7E2E0</v>
      </c>
      <c r="V2722">
        <v>0</v>
      </c>
      <c r="W2722">
        <v>0</v>
      </c>
      <c r="X2722">
        <v>1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0</v>
      </c>
      <c r="AI2722" t="s">
        <v>1407</v>
      </c>
      <c r="AJ2722">
        <v>38.891965999999996</v>
      </c>
      <c r="AK2722" t="s">
        <v>1405</v>
      </c>
      <c r="AL2722">
        <v>-87.610709999999997</v>
      </c>
      <c r="AM2722">
        <v>100</v>
      </c>
      <c r="AN2722">
        <v>2400</v>
      </c>
      <c r="AO2722" t="s">
        <v>118</v>
      </c>
      <c r="AP2722">
        <v>2</v>
      </c>
      <c r="AQ2722">
        <v>-133</v>
      </c>
      <c r="AR2722">
        <v>192</v>
      </c>
      <c r="AZ2722">
        <v>4552</v>
      </c>
      <c r="BA2722">
        <v>1</v>
      </c>
      <c r="BB2722" t="str">
        <f t="shared" si="994"/>
        <v xml:space="preserve">N607SR  </v>
      </c>
      <c r="BC2722">
        <v>1</v>
      </c>
      <c r="BE2722">
        <v>0</v>
      </c>
      <c r="BF2722">
        <v>0</v>
      </c>
      <c r="BG2722">
        <v>0</v>
      </c>
      <c r="BH2722">
        <v>2175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>"06:19:54.190"</f>
        <v>06:19:54.190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6</v>
      </c>
      <c r="CP2722" t="s">
        <v>119</v>
      </c>
      <c r="CQ2722">
        <v>465</v>
      </c>
      <c r="CR2722">
        <v>0</v>
      </c>
      <c r="CW2722">
        <v>4727445</v>
      </c>
      <c r="CY2722">
        <v>1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 t="shared" si="1015"/>
        <v>08/29/2020 06:19:50.957</v>
      </c>
      <c r="C2723" t="str">
        <f t="shared" si="992"/>
        <v>FFDFD3C0</v>
      </c>
      <c r="D2723" t="s">
        <v>121</v>
      </c>
      <c r="E2723">
        <v>13</v>
      </c>
      <c r="F2723">
        <v>1013</v>
      </c>
      <c r="G2723" t="s">
        <v>122</v>
      </c>
      <c r="J2723" t="s">
        <v>123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016"/>
        <v>06:19:54.188</v>
      </c>
      <c r="U2723" t="str">
        <f t="shared" si="993"/>
        <v>A7E2E0</v>
      </c>
      <c r="V2723">
        <v>0</v>
      </c>
      <c r="W2723">
        <v>0</v>
      </c>
      <c r="X2723">
        <v>1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0</v>
      </c>
      <c r="AI2723" t="s">
        <v>1407</v>
      </c>
      <c r="AJ2723">
        <v>38.891965999999996</v>
      </c>
      <c r="AK2723" t="s">
        <v>1405</v>
      </c>
      <c r="AL2723">
        <v>-87.610709999999997</v>
      </c>
      <c r="AM2723">
        <v>100</v>
      </c>
      <c r="AN2723">
        <v>2400</v>
      </c>
      <c r="AO2723" t="s">
        <v>118</v>
      </c>
      <c r="AP2723">
        <v>2</v>
      </c>
      <c r="AQ2723">
        <v>-133</v>
      </c>
      <c r="AR2723">
        <v>192</v>
      </c>
      <c r="AZ2723">
        <v>4552</v>
      </c>
      <c r="BA2723">
        <v>1</v>
      </c>
      <c r="BB2723" t="str">
        <f t="shared" si="994"/>
        <v xml:space="preserve">N607SR  </v>
      </c>
      <c r="BC2723">
        <v>1</v>
      </c>
      <c r="BE2723">
        <v>0</v>
      </c>
      <c r="BF2723">
        <v>0</v>
      </c>
      <c r="BG2723">
        <v>0</v>
      </c>
      <c r="BH2723">
        <v>2175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>"06:19:54.190"</f>
        <v>06:19:54.190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6</v>
      </c>
      <c r="CP2723" t="s">
        <v>119</v>
      </c>
      <c r="CQ2723">
        <v>465</v>
      </c>
      <c r="CR2723">
        <v>0</v>
      </c>
      <c r="CW2723">
        <v>4727445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 t="shared" si="1015"/>
        <v>08/29/2020 06:19:50.957</v>
      </c>
      <c r="C2724" t="str">
        <f t="shared" si="992"/>
        <v>FFDFD3C0</v>
      </c>
      <c r="D2724" t="s">
        <v>939</v>
      </c>
      <c r="E2724">
        <v>10</v>
      </c>
      <c r="H2724">
        <v>79</v>
      </c>
      <c r="I2724" t="s">
        <v>940</v>
      </c>
      <c r="J2724" t="s">
        <v>130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016"/>
        <v>06:19:54.188</v>
      </c>
      <c r="U2724" t="str">
        <f t="shared" si="993"/>
        <v>A7E2E0</v>
      </c>
      <c r="V2724">
        <v>0</v>
      </c>
      <c r="W2724">
        <v>0</v>
      </c>
      <c r="X2724">
        <v>1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0</v>
      </c>
      <c r="AI2724" t="s">
        <v>1407</v>
      </c>
      <c r="AJ2724">
        <v>38.891965999999996</v>
      </c>
      <c r="AK2724" t="s">
        <v>1405</v>
      </c>
      <c r="AL2724">
        <v>-87.610709999999997</v>
      </c>
      <c r="AM2724">
        <v>100</v>
      </c>
      <c r="AN2724">
        <v>2400</v>
      </c>
      <c r="AO2724" t="s">
        <v>118</v>
      </c>
      <c r="AP2724">
        <v>2</v>
      </c>
      <c r="AQ2724">
        <v>-133</v>
      </c>
      <c r="AR2724">
        <v>192</v>
      </c>
      <c r="AZ2724">
        <v>4552</v>
      </c>
      <c r="BA2724">
        <v>1</v>
      </c>
      <c r="BB2724" t="str">
        <f t="shared" si="994"/>
        <v xml:space="preserve">N607SR  </v>
      </c>
      <c r="BC2724">
        <v>1</v>
      </c>
      <c r="BE2724">
        <v>0</v>
      </c>
      <c r="BF2724">
        <v>0</v>
      </c>
      <c r="BG2724">
        <v>0</v>
      </c>
      <c r="BH2724">
        <v>2175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>"06:19:54.190"</f>
        <v>06:19:54.190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6</v>
      </c>
      <c r="CP2724" t="s">
        <v>119</v>
      </c>
      <c r="CQ2724">
        <v>465</v>
      </c>
      <c r="CR2724">
        <v>0</v>
      </c>
      <c r="CW2724">
        <v>4727445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 t="shared" si="1015"/>
        <v>08/29/2020 06:19:50.957</v>
      </c>
      <c r="C2725" t="str">
        <f t="shared" si="992"/>
        <v>FFDFD3C0</v>
      </c>
      <c r="D2725" t="s">
        <v>121</v>
      </c>
      <c r="E2725">
        <v>11</v>
      </c>
      <c r="F2725">
        <v>1011</v>
      </c>
      <c r="G2725" t="s">
        <v>125</v>
      </c>
      <c r="J2725" t="s">
        <v>123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016"/>
        <v>06:19:54.188</v>
      </c>
      <c r="T2725" t="str">
        <f>"06:19:53.787"</f>
        <v>06:19:53.787</v>
      </c>
      <c r="U2725" t="str">
        <f t="shared" si="993"/>
        <v>A7E2E0</v>
      </c>
      <c r="V2725">
        <v>0</v>
      </c>
      <c r="W2725">
        <v>0</v>
      </c>
      <c r="X2725">
        <v>1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0</v>
      </c>
      <c r="AI2725" t="s">
        <v>1407</v>
      </c>
      <c r="AJ2725">
        <v>38.891965999999996</v>
      </c>
      <c r="AK2725" t="s">
        <v>1405</v>
      </c>
      <c r="AL2725">
        <v>-87.610709999999997</v>
      </c>
      <c r="AM2725">
        <v>100</v>
      </c>
      <c r="AN2725">
        <v>2400</v>
      </c>
      <c r="AO2725" t="s">
        <v>118</v>
      </c>
      <c r="AP2725">
        <v>2</v>
      </c>
      <c r="AQ2725">
        <v>-134</v>
      </c>
      <c r="AR2725">
        <v>192</v>
      </c>
      <c r="AZ2725">
        <v>4552</v>
      </c>
      <c r="BA2725">
        <v>1</v>
      </c>
      <c r="BB2725" t="str">
        <f t="shared" si="994"/>
        <v xml:space="preserve">N607SR  </v>
      </c>
      <c r="BC2725">
        <v>1</v>
      </c>
      <c r="BE2725">
        <v>0</v>
      </c>
      <c r="BF2725">
        <v>0</v>
      </c>
      <c r="BG2725">
        <v>0</v>
      </c>
      <c r="BH2725">
        <v>2175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>"06:19:54.191"</f>
        <v>06:19:54.191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4</v>
      </c>
      <c r="CP2725" t="s">
        <v>119</v>
      </c>
      <c r="CQ2725">
        <v>177</v>
      </c>
      <c r="CR2725">
        <v>2</v>
      </c>
      <c r="CW2725">
        <v>1679761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 t="shared" si="1015"/>
        <v>08/29/2020 06:19:50.957</v>
      </c>
      <c r="C2726" t="str">
        <f t="shared" si="992"/>
        <v>FFDFD3C0</v>
      </c>
      <c r="D2726" t="s">
        <v>121</v>
      </c>
      <c r="E2726">
        <v>10</v>
      </c>
      <c r="F2726">
        <v>1010</v>
      </c>
      <c r="G2726" t="s">
        <v>114</v>
      </c>
      <c r="J2726" t="s">
        <v>123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016"/>
        <v>06:19:54.188</v>
      </c>
      <c r="U2726" t="str">
        <f t="shared" si="993"/>
        <v>A7E2E0</v>
      </c>
      <c r="V2726">
        <v>0</v>
      </c>
      <c r="W2726">
        <v>0</v>
      </c>
      <c r="X2726">
        <v>1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0</v>
      </c>
      <c r="AI2726" t="s">
        <v>1407</v>
      </c>
      <c r="AJ2726">
        <v>38.891965999999996</v>
      </c>
      <c r="AK2726" t="s">
        <v>1405</v>
      </c>
      <c r="AL2726">
        <v>-87.610709999999997</v>
      </c>
      <c r="AM2726">
        <v>100</v>
      </c>
      <c r="AN2726">
        <v>2400</v>
      </c>
      <c r="AO2726" t="s">
        <v>118</v>
      </c>
      <c r="AP2726">
        <v>2</v>
      </c>
      <c r="AQ2726">
        <v>-133</v>
      </c>
      <c r="AR2726">
        <v>192</v>
      </c>
      <c r="AZ2726">
        <v>4552</v>
      </c>
      <c r="BA2726">
        <v>1</v>
      </c>
      <c r="BB2726" t="str">
        <f t="shared" si="994"/>
        <v xml:space="preserve">N607SR  </v>
      </c>
      <c r="BC2726">
        <v>1</v>
      </c>
      <c r="BE2726">
        <v>0</v>
      </c>
      <c r="BF2726">
        <v>0</v>
      </c>
      <c r="BG2726">
        <v>0</v>
      </c>
      <c r="BH2726">
        <v>2175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>"06:19:54.190"</f>
        <v>06:19:54.190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6</v>
      </c>
      <c r="CP2726" t="s">
        <v>119</v>
      </c>
      <c r="CQ2726">
        <v>465</v>
      </c>
      <c r="CR2726">
        <v>0</v>
      </c>
      <c r="CW2726">
        <v>4727445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 t="shared" ref="A2727:A2732" si="1017">"08/29/2020 06:19:51.929"</f>
        <v>08/29/2020 06:19:51.929</v>
      </c>
      <c r="C2727" t="str">
        <f t="shared" si="992"/>
        <v>FFDFD3C0</v>
      </c>
      <c r="D2727" t="s">
        <v>128</v>
      </c>
      <c r="E2727">
        <v>5</v>
      </c>
      <c r="H2727">
        <v>241</v>
      </c>
      <c r="I2727" t="s">
        <v>129</v>
      </c>
      <c r="J2727" t="s">
        <v>130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ref="S2727:S2732" si="1018">"06:19:55.156"</f>
        <v>06:19:55.156</v>
      </c>
      <c r="T2727" t="str">
        <f t="shared" ref="T2727:T2732" si="1019">"06:19:54.756"</f>
        <v>06:19:54.756</v>
      </c>
      <c r="U2727" t="str">
        <f t="shared" si="993"/>
        <v>A7E2E0</v>
      </c>
      <c r="V2727">
        <v>0</v>
      </c>
      <c r="W2727">
        <v>0</v>
      </c>
      <c r="X2727">
        <v>1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0</v>
      </c>
      <c r="AI2727" t="s">
        <v>1408</v>
      </c>
      <c r="AJ2727">
        <v>38.891323</v>
      </c>
      <c r="AK2727" t="s">
        <v>1405</v>
      </c>
      <c r="AL2727">
        <v>-87.610709999999997</v>
      </c>
      <c r="AM2727">
        <v>100</v>
      </c>
      <c r="AN2727">
        <v>2400</v>
      </c>
      <c r="AO2727" t="s">
        <v>118</v>
      </c>
      <c r="AP2727">
        <v>2</v>
      </c>
      <c r="AQ2727">
        <v>-133</v>
      </c>
      <c r="AR2727">
        <v>192</v>
      </c>
      <c r="AZ2727">
        <v>4552</v>
      </c>
      <c r="BA2727">
        <v>1</v>
      </c>
      <c r="BB2727" t="str">
        <f t="shared" si="994"/>
        <v xml:space="preserve">N607SR  </v>
      </c>
      <c r="BC2727">
        <v>1</v>
      </c>
      <c r="BE2727">
        <v>0</v>
      </c>
      <c r="BF2727">
        <v>0</v>
      </c>
      <c r="BG2727">
        <v>0</v>
      </c>
      <c r="BH2727">
        <v>2175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 t="shared" ref="BW2727:BW2732" si="1020">"06:19:55.164"</f>
        <v>06:19:55.164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6</v>
      </c>
      <c r="CP2727" t="s">
        <v>119</v>
      </c>
      <c r="CQ2727">
        <v>465</v>
      </c>
      <c r="CR2727">
        <v>0</v>
      </c>
      <c r="CW2727">
        <v>4727471</v>
      </c>
      <c r="CY2727">
        <v>1</v>
      </c>
      <c r="CZ2727">
        <v>0</v>
      </c>
      <c r="DA2727">
        <v>0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 t="shared" si="1017"/>
        <v>08/29/2020 06:19:51.929</v>
      </c>
      <c r="C2728" t="str">
        <f t="shared" si="992"/>
        <v>FFDFD3C0</v>
      </c>
      <c r="D2728" t="s">
        <v>121</v>
      </c>
      <c r="E2728">
        <v>13</v>
      </c>
      <c r="F2728">
        <v>1013</v>
      </c>
      <c r="G2728" t="s">
        <v>122</v>
      </c>
      <c r="J2728" t="s">
        <v>123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018"/>
        <v>06:19:55.156</v>
      </c>
      <c r="T2728" t="str">
        <f t="shared" si="1019"/>
        <v>06:19:54.756</v>
      </c>
      <c r="U2728" t="str">
        <f t="shared" si="993"/>
        <v>A7E2E0</v>
      </c>
      <c r="V2728">
        <v>0</v>
      </c>
      <c r="W2728">
        <v>0</v>
      </c>
      <c r="X2728">
        <v>1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0</v>
      </c>
      <c r="AI2728" t="s">
        <v>1408</v>
      </c>
      <c r="AJ2728">
        <v>38.891323</v>
      </c>
      <c r="AK2728" t="s">
        <v>1405</v>
      </c>
      <c r="AL2728">
        <v>-87.610709999999997</v>
      </c>
      <c r="AM2728">
        <v>100</v>
      </c>
      <c r="AN2728">
        <v>2400</v>
      </c>
      <c r="AO2728" t="s">
        <v>118</v>
      </c>
      <c r="AP2728">
        <v>2</v>
      </c>
      <c r="AQ2728">
        <v>-133</v>
      </c>
      <c r="AR2728">
        <v>192</v>
      </c>
      <c r="AZ2728">
        <v>4552</v>
      </c>
      <c r="BA2728">
        <v>1</v>
      </c>
      <c r="BB2728" t="str">
        <f t="shared" si="994"/>
        <v xml:space="preserve">N607SR  </v>
      </c>
      <c r="BC2728">
        <v>1</v>
      </c>
      <c r="BE2728">
        <v>0</v>
      </c>
      <c r="BF2728">
        <v>0</v>
      </c>
      <c r="BG2728">
        <v>0</v>
      </c>
      <c r="BH2728">
        <v>2175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 t="shared" si="1020"/>
        <v>06:19:55.164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6</v>
      </c>
      <c r="CP2728" t="s">
        <v>119</v>
      </c>
      <c r="CQ2728">
        <v>465</v>
      </c>
      <c r="CR2728">
        <v>0</v>
      </c>
      <c r="CW2728">
        <v>4727471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 t="shared" si="1017"/>
        <v>08/29/2020 06:19:51.929</v>
      </c>
      <c r="C2729" t="str">
        <f t="shared" si="992"/>
        <v>FFDFD3C0</v>
      </c>
      <c r="D2729" t="s">
        <v>939</v>
      </c>
      <c r="E2729">
        <v>10</v>
      </c>
      <c r="H2729">
        <v>79</v>
      </c>
      <c r="I2729" t="s">
        <v>940</v>
      </c>
      <c r="J2729" t="s">
        <v>130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018"/>
        <v>06:19:55.156</v>
      </c>
      <c r="T2729" t="str">
        <f t="shared" si="1019"/>
        <v>06:19:54.756</v>
      </c>
      <c r="U2729" t="str">
        <f t="shared" si="993"/>
        <v>A7E2E0</v>
      </c>
      <c r="V2729">
        <v>0</v>
      </c>
      <c r="W2729">
        <v>0</v>
      </c>
      <c r="X2729">
        <v>1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0</v>
      </c>
      <c r="AI2729" t="s">
        <v>1408</v>
      </c>
      <c r="AJ2729">
        <v>38.891323</v>
      </c>
      <c r="AK2729" t="s">
        <v>1405</v>
      </c>
      <c r="AL2729">
        <v>-87.610709999999997</v>
      </c>
      <c r="AM2729">
        <v>100</v>
      </c>
      <c r="AN2729">
        <v>2400</v>
      </c>
      <c r="AO2729" t="s">
        <v>118</v>
      </c>
      <c r="AP2729">
        <v>2</v>
      </c>
      <c r="AQ2729">
        <v>-133</v>
      </c>
      <c r="AR2729">
        <v>192</v>
      </c>
      <c r="AZ2729">
        <v>4552</v>
      </c>
      <c r="BA2729">
        <v>1</v>
      </c>
      <c r="BB2729" t="str">
        <f t="shared" si="994"/>
        <v xml:space="preserve">N607SR  </v>
      </c>
      <c r="BC2729">
        <v>1</v>
      </c>
      <c r="BE2729">
        <v>0</v>
      </c>
      <c r="BF2729">
        <v>0</v>
      </c>
      <c r="BG2729">
        <v>0</v>
      </c>
      <c r="BH2729">
        <v>2175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 t="shared" si="1020"/>
        <v>06:19:55.164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6</v>
      </c>
      <c r="CP2729" t="s">
        <v>119</v>
      </c>
      <c r="CQ2729">
        <v>465</v>
      </c>
      <c r="CR2729">
        <v>0</v>
      </c>
      <c r="CW2729">
        <v>4727471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 t="shared" si="1017"/>
        <v>08/29/2020 06:19:51.929</v>
      </c>
      <c r="C2730" t="str">
        <f t="shared" si="992"/>
        <v>FFDFD3C0</v>
      </c>
      <c r="D2730" t="s">
        <v>121</v>
      </c>
      <c r="E2730">
        <v>10</v>
      </c>
      <c r="F2730">
        <v>1010</v>
      </c>
      <c r="G2730" t="s">
        <v>114</v>
      </c>
      <c r="J2730" t="s">
        <v>123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018"/>
        <v>06:19:55.156</v>
      </c>
      <c r="T2730" t="str">
        <f t="shared" si="1019"/>
        <v>06:19:54.756</v>
      </c>
      <c r="U2730" t="str">
        <f t="shared" si="993"/>
        <v>A7E2E0</v>
      </c>
      <c r="V2730">
        <v>0</v>
      </c>
      <c r="W2730">
        <v>0</v>
      </c>
      <c r="X2730">
        <v>1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0</v>
      </c>
      <c r="AI2730" t="s">
        <v>1408</v>
      </c>
      <c r="AJ2730">
        <v>38.891323</v>
      </c>
      <c r="AK2730" t="s">
        <v>1405</v>
      </c>
      <c r="AL2730">
        <v>-87.610709999999997</v>
      </c>
      <c r="AM2730">
        <v>100</v>
      </c>
      <c r="AN2730">
        <v>2400</v>
      </c>
      <c r="AO2730" t="s">
        <v>118</v>
      </c>
      <c r="AP2730">
        <v>2</v>
      </c>
      <c r="AQ2730">
        <v>-133</v>
      </c>
      <c r="AR2730">
        <v>192</v>
      </c>
      <c r="AZ2730">
        <v>4552</v>
      </c>
      <c r="BA2730">
        <v>1</v>
      </c>
      <c r="BB2730" t="str">
        <f t="shared" si="994"/>
        <v xml:space="preserve">N607SR  </v>
      </c>
      <c r="BC2730">
        <v>1</v>
      </c>
      <c r="BE2730">
        <v>0</v>
      </c>
      <c r="BF2730">
        <v>0</v>
      </c>
      <c r="BG2730">
        <v>0</v>
      </c>
      <c r="BH2730">
        <v>2175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 t="shared" si="1020"/>
        <v>06:19:55.164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6</v>
      </c>
      <c r="CP2730" t="s">
        <v>119</v>
      </c>
      <c r="CQ2730">
        <v>465</v>
      </c>
      <c r="CR2730">
        <v>0</v>
      </c>
      <c r="CW2730">
        <v>4727471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 t="shared" si="1017"/>
        <v>08/29/2020 06:19:51.929</v>
      </c>
      <c r="C2731" t="str">
        <f t="shared" si="992"/>
        <v>FFDFD3C0</v>
      </c>
      <c r="D2731" t="s">
        <v>121</v>
      </c>
      <c r="E2731">
        <v>11</v>
      </c>
      <c r="F2731">
        <v>1011</v>
      </c>
      <c r="G2731" t="s">
        <v>125</v>
      </c>
      <c r="J2731" t="s">
        <v>123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018"/>
        <v>06:19:55.156</v>
      </c>
      <c r="T2731" t="str">
        <f t="shared" si="1019"/>
        <v>06:19:54.756</v>
      </c>
      <c r="U2731" t="str">
        <f t="shared" si="993"/>
        <v>A7E2E0</v>
      </c>
      <c r="V2731">
        <v>0</v>
      </c>
      <c r="W2731">
        <v>0</v>
      </c>
      <c r="X2731">
        <v>1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0</v>
      </c>
      <c r="AI2731" t="s">
        <v>1408</v>
      </c>
      <c r="AJ2731">
        <v>38.891323</v>
      </c>
      <c r="AK2731" t="s">
        <v>1405</v>
      </c>
      <c r="AL2731">
        <v>-87.610709999999997</v>
      </c>
      <c r="AM2731">
        <v>100</v>
      </c>
      <c r="AN2731">
        <v>2400</v>
      </c>
      <c r="AO2731" t="s">
        <v>118</v>
      </c>
      <c r="AP2731">
        <v>2</v>
      </c>
      <c r="AQ2731">
        <v>-133</v>
      </c>
      <c r="AR2731">
        <v>192</v>
      </c>
      <c r="AZ2731">
        <v>4552</v>
      </c>
      <c r="BA2731">
        <v>1</v>
      </c>
      <c r="BB2731" t="str">
        <f t="shared" si="994"/>
        <v xml:space="preserve">N607SR  </v>
      </c>
      <c r="BC2731">
        <v>1</v>
      </c>
      <c r="BE2731">
        <v>0</v>
      </c>
      <c r="BF2731">
        <v>0</v>
      </c>
      <c r="BG2731">
        <v>0</v>
      </c>
      <c r="BH2731">
        <v>2175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 t="shared" si="1020"/>
        <v>06:19:55.164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4</v>
      </c>
      <c r="CP2731" t="s">
        <v>119</v>
      </c>
      <c r="CQ2731">
        <v>177</v>
      </c>
      <c r="CR2731">
        <v>2</v>
      </c>
      <c r="CW2731">
        <v>1679915</v>
      </c>
      <c r="CY2731">
        <v>1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 t="shared" si="1017"/>
        <v>08/29/2020 06:19:51.929</v>
      </c>
      <c r="C2732" t="str">
        <f t="shared" si="992"/>
        <v>FFDFD3C0</v>
      </c>
      <c r="D2732" t="s">
        <v>113</v>
      </c>
      <c r="E2732">
        <v>5</v>
      </c>
      <c r="H2732">
        <v>163</v>
      </c>
      <c r="I2732" t="s">
        <v>114</v>
      </c>
      <c r="J2732" t="s">
        <v>115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018"/>
        <v>06:19:55.156</v>
      </c>
      <c r="T2732" t="str">
        <f t="shared" si="1019"/>
        <v>06:19:54.756</v>
      </c>
      <c r="U2732" t="str">
        <f t="shared" si="993"/>
        <v>A7E2E0</v>
      </c>
      <c r="V2732">
        <v>0</v>
      </c>
      <c r="W2732">
        <v>0</v>
      </c>
      <c r="X2732">
        <v>1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0</v>
      </c>
      <c r="AI2732" t="s">
        <v>1408</v>
      </c>
      <c r="AJ2732">
        <v>38.891323</v>
      </c>
      <c r="AK2732" t="s">
        <v>1405</v>
      </c>
      <c r="AL2732">
        <v>-87.610709999999997</v>
      </c>
      <c r="AM2732">
        <v>100</v>
      </c>
      <c r="AN2732">
        <v>2400</v>
      </c>
      <c r="AO2732" t="s">
        <v>118</v>
      </c>
      <c r="AP2732">
        <v>2</v>
      </c>
      <c r="AQ2732">
        <v>-133</v>
      </c>
      <c r="AR2732">
        <v>192</v>
      </c>
      <c r="AZ2732">
        <v>4552</v>
      </c>
      <c r="BA2732">
        <v>1</v>
      </c>
      <c r="BB2732" t="str">
        <f t="shared" si="994"/>
        <v xml:space="preserve">N607SR  </v>
      </c>
      <c r="BC2732">
        <v>1</v>
      </c>
      <c r="BE2732">
        <v>0</v>
      </c>
      <c r="BF2732">
        <v>0</v>
      </c>
      <c r="BG2732">
        <v>0</v>
      </c>
      <c r="BH2732">
        <v>2175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 t="shared" si="1020"/>
        <v>06:19:55.164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6</v>
      </c>
      <c r="CP2732" t="s">
        <v>119</v>
      </c>
      <c r="CQ2732">
        <v>465</v>
      </c>
      <c r="CR2732">
        <v>0</v>
      </c>
      <c r="CW2732">
        <v>4727471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 t="shared" ref="A2733:A2738" si="1021">"08/29/2020 06:19:53.085"</f>
        <v>08/29/2020 06:19:53.085</v>
      </c>
      <c r="C2733" t="str">
        <f t="shared" si="992"/>
        <v>FFDFD3C0</v>
      </c>
      <c r="D2733" t="s">
        <v>113</v>
      </c>
      <c r="E2733">
        <v>5</v>
      </c>
      <c r="H2733">
        <v>163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ref="S2733:S2738" si="1022">"06:19:56.297"</f>
        <v>06:19:56.297</v>
      </c>
      <c r="T2733" t="str">
        <f t="shared" ref="T2733:T2738" si="1023">"06:19:55.797"</f>
        <v>06:19:55.797</v>
      </c>
      <c r="U2733" t="str">
        <f t="shared" si="993"/>
        <v>A7E2E0</v>
      </c>
      <c r="V2733">
        <v>0</v>
      </c>
      <c r="W2733">
        <v>0</v>
      </c>
      <c r="X2733">
        <v>1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0</v>
      </c>
      <c r="AI2733" t="s">
        <v>1409</v>
      </c>
      <c r="AJ2733">
        <v>38.890678999999999</v>
      </c>
      <c r="AK2733" t="s">
        <v>1405</v>
      </c>
      <c r="AL2733">
        <v>-87.610709999999997</v>
      </c>
      <c r="AM2733">
        <v>100</v>
      </c>
      <c r="AN2733">
        <v>2400</v>
      </c>
      <c r="AO2733" t="s">
        <v>118</v>
      </c>
      <c r="AP2733">
        <v>2</v>
      </c>
      <c r="AQ2733">
        <v>-132</v>
      </c>
      <c r="AR2733">
        <v>128</v>
      </c>
      <c r="AZ2733">
        <v>4552</v>
      </c>
      <c r="BA2733">
        <v>1</v>
      </c>
      <c r="BB2733" t="str">
        <f t="shared" si="994"/>
        <v xml:space="preserve">N607SR  </v>
      </c>
      <c r="BC2733">
        <v>1</v>
      </c>
      <c r="BE2733">
        <v>0</v>
      </c>
      <c r="BF2733">
        <v>0</v>
      </c>
      <c r="BG2733">
        <v>0</v>
      </c>
      <c r="BH2733">
        <v>2175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>"06:19:56.302"</f>
        <v>06:19:56.302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6</v>
      </c>
      <c r="CP2733" t="s">
        <v>119</v>
      </c>
      <c r="CQ2733">
        <v>465</v>
      </c>
      <c r="CR2733">
        <v>0</v>
      </c>
      <c r="CW2733">
        <v>4727500</v>
      </c>
      <c r="CY2733">
        <v>1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 t="shared" si="1021"/>
        <v>08/29/2020 06:19:53.085</v>
      </c>
      <c r="C2734" t="str">
        <f t="shared" si="992"/>
        <v>FFDFD3C0</v>
      </c>
      <c r="D2734" t="s">
        <v>939</v>
      </c>
      <c r="E2734">
        <v>10</v>
      </c>
      <c r="H2734">
        <v>79</v>
      </c>
      <c r="I2734" t="s">
        <v>940</v>
      </c>
      <c r="J2734" t="s">
        <v>130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022"/>
        <v>06:19:56.297</v>
      </c>
      <c r="T2734" t="str">
        <f t="shared" si="1023"/>
        <v>06:19:55.797</v>
      </c>
      <c r="U2734" t="str">
        <f t="shared" si="993"/>
        <v>A7E2E0</v>
      </c>
      <c r="V2734">
        <v>0</v>
      </c>
      <c r="W2734">
        <v>0</v>
      </c>
      <c r="X2734">
        <v>1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0</v>
      </c>
      <c r="AI2734" t="s">
        <v>1409</v>
      </c>
      <c r="AJ2734">
        <v>38.890678999999999</v>
      </c>
      <c r="AK2734" t="s">
        <v>1405</v>
      </c>
      <c r="AL2734">
        <v>-87.610709999999997</v>
      </c>
      <c r="AM2734">
        <v>100</v>
      </c>
      <c r="AN2734">
        <v>2400</v>
      </c>
      <c r="AO2734" t="s">
        <v>118</v>
      </c>
      <c r="AP2734">
        <v>2</v>
      </c>
      <c r="AQ2734">
        <v>-132</v>
      </c>
      <c r="AR2734">
        <v>128</v>
      </c>
      <c r="AZ2734">
        <v>4552</v>
      </c>
      <c r="BA2734">
        <v>1</v>
      </c>
      <c r="BB2734" t="str">
        <f t="shared" si="994"/>
        <v xml:space="preserve">N607SR  </v>
      </c>
      <c r="BC2734">
        <v>1</v>
      </c>
      <c r="BE2734">
        <v>0</v>
      </c>
      <c r="BF2734">
        <v>0</v>
      </c>
      <c r="BG2734">
        <v>0</v>
      </c>
      <c r="BH2734">
        <v>2175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>"06:19:56.302"</f>
        <v>06:19:56.302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6</v>
      </c>
      <c r="CP2734" t="s">
        <v>119</v>
      </c>
      <c r="CQ2734">
        <v>465</v>
      </c>
      <c r="CR2734">
        <v>0</v>
      </c>
      <c r="CW2734">
        <v>4727500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 t="shared" si="1021"/>
        <v>08/29/2020 06:19:53.085</v>
      </c>
      <c r="C2735" t="str">
        <f t="shared" si="992"/>
        <v>FFDFD3C0</v>
      </c>
      <c r="D2735" t="s">
        <v>128</v>
      </c>
      <c r="E2735">
        <v>5</v>
      </c>
      <c r="H2735">
        <v>241</v>
      </c>
      <c r="I2735" t="s">
        <v>129</v>
      </c>
      <c r="J2735" t="s">
        <v>130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022"/>
        <v>06:19:56.297</v>
      </c>
      <c r="T2735" t="str">
        <f t="shared" si="1023"/>
        <v>06:19:55.797</v>
      </c>
      <c r="U2735" t="str">
        <f t="shared" si="993"/>
        <v>A7E2E0</v>
      </c>
      <c r="V2735">
        <v>0</v>
      </c>
      <c r="W2735">
        <v>0</v>
      </c>
      <c r="X2735">
        <v>1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0</v>
      </c>
      <c r="AI2735" t="s">
        <v>1409</v>
      </c>
      <c r="AJ2735">
        <v>38.890678999999999</v>
      </c>
      <c r="AK2735" t="s">
        <v>1405</v>
      </c>
      <c r="AL2735">
        <v>-87.610709999999997</v>
      </c>
      <c r="AM2735">
        <v>100</v>
      </c>
      <c r="AN2735">
        <v>2400</v>
      </c>
      <c r="AO2735" t="s">
        <v>118</v>
      </c>
      <c r="AP2735">
        <v>2</v>
      </c>
      <c r="AQ2735">
        <v>-132</v>
      </c>
      <c r="AR2735">
        <v>128</v>
      </c>
      <c r="AZ2735">
        <v>4552</v>
      </c>
      <c r="BA2735">
        <v>1</v>
      </c>
      <c r="BB2735" t="str">
        <f t="shared" si="994"/>
        <v xml:space="preserve">N607SR  </v>
      </c>
      <c r="BC2735">
        <v>1</v>
      </c>
      <c r="BE2735">
        <v>0</v>
      </c>
      <c r="BF2735">
        <v>0</v>
      </c>
      <c r="BG2735">
        <v>0</v>
      </c>
      <c r="BH2735">
        <v>2175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>"06:19:56.302"</f>
        <v>06:19:56.302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6</v>
      </c>
      <c r="CP2735" t="s">
        <v>119</v>
      </c>
      <c r="CQ2735">
        <v>465</v>
      </c>
      <c r="CR2735">
        <v>0</v>
      </c>
      <c r="CW2735">
        <v>4727500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 t="shared" si="1021"/>
        <v>08/29/2020 06:19:53.085</v>
      </c>
      <c r="C2736" t="str">
        <f t="shared" si="992"/>
        <v>FFDFD3C0</v>
      </c>
      <c r="D2736" t="s">
        <v>121</v>
      </c>
      <c r="E2736">
        <v>13</v>
      </c>
      <c r="F2736">
        <v>1013</v>
      </c>
      <c r="G2736" t="s">
        <v>122</v>
      </c>
      <c r="J2736" t="s">
        <v>123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022"/>
        <v>06:19:56.297</v>
      </c>
      <c r="T2736" t="str">
        <f t="shared" si="1023"/>
        <v>06:19:55.797</v>
      </c>
      <c r="U2736" t="str">
        <f t="shared" si="993"/>
        <v>A7E2E0</v>
      </c>
      <c r="V2736">
        <v>0</v>
      </c>
      <c r="W2736">
        <v>0</v>
      </c>
      <c r="X2736">
        <v>1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0</v>
      </c>
      <c r="AI2736" t="s">
        <v>1409</v>
      </c>
      <c r="AJ2736">
        <v>38.890678999999999</v>
      </c>
      <c r="AK2736" t="s">
        <v>1405</v>
      </c>
      <c r="AL2736">
        <v>-87.610709999999997</v>
      </c>
      <c r="AM2736">
        <v>100</v>
      </c>
      <c r="AN2736">
        <v>2400</v>
      </c>
      <c r="AO2736" t="s">
        <v>118</v>
      </c>
      <c r="AP2736">
        <v>2</v>
      </c>
      <c r="AQ2736">
        <v>-132</v>
      </c>
      <c r="AR2736">
        <v>128</v>
      </c>
      <c r="AZ2736">
        <v>4552</v>
      </c>
      <c r="BA2736">
        <v>1</v>
      </c>
      <c r="BB2736" t="str">
        <f t="shared" si="994"/>
        <v xml:space="preserve">N607SR  </v>
      </c>
      <c r="BC2736">
        <v>1</v>
      </c>
      <c r="BE2736">
        <v>0</v>
      </c>
      <c r="BF2736">
        <v>0</v>
      </c>
      <c r="BG2736">
        <v>0</v>
      </c>
      <c r="BH2736">
        <v>2175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>"06:19:56.302"</f>
        <v>06:19:56.302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6</v>
      </c>
      <c r="CP2736" t="s">
        <v>119</v>
      </c>
      <c r="CQ2736">
        <v>465</v>
      </c>
      <c r="CR2736">
        <v>0</v>
      </c>
      <c r="CW2736">
        <v>4727500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 t="shared" si="1021"/>
        <v>08/29/2020 06:19:53.085</v>
      </c>
      <c r="C2737" t="str">
        <f t="shared" si="992"/>
        <v>FFDFD3C0</v>
      </c>
      <c r="D2737" t="s">
        <v>121</v>
      </c>
      <c r="E2737">
        <v>11</v>
      </c>
      <c r="F2737">
        <v>1011</v>
      </c>
      <c r="G2737" t="s">
        <v>125</v>
      </c>
      <c r="J2737" t="s">
        <v>123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022"/>
        <v>06:19:56.297</v>
      </c>
      <c r="T2737" t="str">
        <f t="shared" si="1023"/>
        <v>06:19:55.797</v>
      </c>
      <c r="U2737" t="str">
        <f t="shared" si="993"/>
        <v>A7E2E0</v>
      </c>
      <c r="V2737">
        <v>0</v>
      </c>
      <c r="W2737">
        <v>0</v>
      </c>
      <c r="X2737">
        <v>1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0</v>
      </c>
      <c r="AI2737" t="s">
        <v>1409</v>
      </c>
      <c r="AJ2737">
        <v>38.890678999999999</v>
      </c>
      <c r="AK2737" t="s">
        <v>1405</v>
      </c>
      <c r="AL2737">
        <v>-87.610709999999997</v>
      </c>
      <c r="AM2737">
        <v>100</v>
      </c>
      <c r="AN2737">
        <v>2400</v>
      </c>
      <c r="AO2737" t="s">
        <v>118</v>
      </c>
      <c r="AP2737">
        <v>2</v>
      </c>
      <c r="AQ2737">
        <v>-132</v>
      </c>
      <c r="AR2737">
        <v>128</v>
      </c>
      <c r="AZ2737">
        <v>4552</v>
      </c>
      <c r="BA2737">
        <v>1</v>
      </c>
      <c r="BB2737" t="str">
        <f t="shared" si="994"/>
        <v xml:space="preserve">N607SR  </v>
      </c>
      <c r="BC2737">
        <v>1</v>
      </c>
      <c r="BE2737">
        <v>0</v>
      </c>
      <c r="BF2737">
        <v>0</v>
      </c>
      <c r="BG2737">
        <v>0</v>
      </c>
      <c r="BH2737">
        <v>2175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>"06:19:56.303"</f>
        <v>06:19:56.303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4</v>
      </c>
      <c r="CP2737" t="s">
        <v>119</v>
      </c>
      <c r="CQ2737">
        <v>177</v>
      </c>
      <c r="CR2737">
        <v>2</v>
      </c>
      <c r="CW2737">
        <v>1680070</v>
      </c>
      <c r="CY2737">
        <v>1</v>
      </c>
      <c r="CZ2737">
        <v>0</v>
      </c>
      <c r="DA2737">
        <v>1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 t="shared" si="1021"/>
        <v>08/29/2020 06:19:53.085</v>
      </c>
      <c r="C2738" t="str">
        <f t="shared" si="992"/>
        <v>FFDFD3C0</v>
      </c>
      <c r="D2738" t="s">
        <v>121</v>
      </c>
      <c r="E2738">
        <v>10</v>
      </c>
      <c r="F2738">
        <v>1010</v>
      </c>
      <c r="G2738" t="s">
        <v>114</v>
      </c>
      <c r="J2738" t="s">
        <v>123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022"/>
        <v>06:19:56.297</v>
      </c>
      <c r="T2738" t="str">
        <f t="shared" si="1023"/>
        <v>06:19:55.797</v>
      </c>
      <c r="U2738" t="str">
        <f t="shared" si="993"/>
        <v>A7E2E0</v>
      </c>
      <c r="V2738">
        <v>0</v>
      </c>
      <c r="W2738">
        <v>0</v>
      </c>
      <c r="X2738">
        <v>1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0</v>
      </c>
      <c r="AI2738" t="s">
        <v>1409</v>
      </c>
      <c r="AJ2738">
        <v>38.890678999999999</v>
      </c>
      <c r="AK2738" t="s">
        <v>1405</v>
      </c>
      <c r="AL2738">
        <v>-87.610709999999997</v>
      </c>
      <c r="AM2738">
        <v>100</v>
      </c>
      <c r="AN2738">
        <v>2400</v>
      </c>
      <c r="AO2738" t="s">
        <v>118</v>
      </c>
      <c r="AP2738">
        <v>2</v>
      </c>
      <c r="AQ2738">
        <v>-132</v>
      </c>
      <c r="AR2738">
        <v>128</v>
      </c>
      <c r="AZ2738">
        <v>4552</v>
      </c>
      <c r="BA2738">
        <v>1</v>
      </c>
      <c r="BB2738" t="str">
        <f t="shared" si="994"/>
        <v xml:space="preserve">N607SR  </v>
      </c>
      <c r="BC2738">
        <v>1</v>
      </c>
      <c r="BE2738">
        <v>0</v>
      </c>
      <c r="BF2738">
        <v>0</v>
      </c>
      <c r="BG2738">
        <v>0</v>
      </c>
      <c r="BH2738">
        <v>2175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>"06:19:56.302"</f>
        <v>06:19:56.302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6</v>
      </c>
      <c r="CP2738" t="s">
        <v>119</v>
      </c>
      <c r="CQ2738">
        <v>465</v>
      </c>
      <c r="CR2738">
        <v>0</v>
      </c>
      <c r="CW2738">
        <v>4727500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 t="shared" ref="A2739:A2744" si="1024">"08/29/2020 06:19:54.209"</f>
        <v>08/29/2020 06:19:54.209</v>
      </c>
      <c r="C2739" t="str">
        <f t="shared" si="992"/>
        <v>FFDFD3C0</v>
      </c>
      <c r="D2739" t="s">
        <v>128</v>
      </c>
      <c r="E2739">
        <v>5</v>
      </c>
      <c r="H2739">
        <v>241</v>
      </c>
      <c r="I2739" t="s">
        <v>129</v>
      </c>
      <c r="J2739" t="s">
        <v>130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ref="S2739:S2744" si="1025">"06:19:57.422"</f>
        <v>06:19:57.422</v>
      </c>
      <c r="T2739" t="str">
        <f t="shared" ref="T2739:T2744" si="1026">"06:19:56.922"</f>
        <v>06:19:56.922</v>
      </c>
      <c r="U2739" t="str">
        <f t="shared" si="993"/>
        <v>A7E2E0</v>
      </c>
      <c r="V2739">
        <v>0</v>
      </c>
      <c r="W2739">
        <v>0</v>
      </c>
      <c r="X2739">
        <v>1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0</v>
      </c>
      <c r="AI2739" t="s">
        <v>1410</v>
      </c>
      <c r="AJ2739">
        <v>38.889927999999998</v>
      </c>
      <c r="AK2739" t="s">
        <v>1411</v>
      </c>
      <c r="AL2739">
        <v>-87.610667000000007</v>
      </c>
      <c r="AM2739">
        <v>100</v>
      </c>
      <c r="AN2739">
        <v>2400</v>
      </c>
      <c r="AO2739" t="s">
        <v>118</v>
      </c>
      <c r="AP2739">
        <v>2</v>
      </c>
      <c r="AQ2739">
        <v>-131</v>
      </c>
      <c r="AR2739">
        <v>128</v>
      </c>
      <c r="AZ2739">
        <v>4552</v>
      </c>
      <c r="BA2739">
        <v>1</v>
      </c>
      <c r="BB2739" t="str">
        <f t="shared" si="994"/>
        <v xml:space="preserve">N607SR  </v>
      </c>
      <c r="BC2739">
        <v>1</v>
      </c>
      <c r="BE2739">
        <v>0</v>
      </c>
      <c r="BF2739">
        <v>0</v>
      </c>
      <c r="BG2739">
        <v>0</v>
      </c>
      <c r="BH2739">
        <v>2200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 t="shared" ref="BW2739:BW2744" si="1027">"06:19:57.428"</f>
        <v>06:19:57.428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6</v>
      </c>
      <c r="CP2739" t="s">
        <v>119</v>
      </c>
      <c r="CQ2739">
        <v>465</v>
      </c>
      <c r="CR2739">
        <v>0</v>
      </c>
      <c r="CW2739">
        <v>4727535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 t="shared" si="1024"/>
        <v>08/29/2020 06:19:54.209</v>
      </c>
      <c r="C2740" t="str">
        <f t="shared" si="992"/>
        <v>FFDFD3C0</v>
      </c>
      <c r="D2740" t="s">
        <v>121</v>
      </c>
      <c r="E2740">
        <v>13</v>
      </c>
      <c r="F2740">
        <v>1013</v>
      </c>
      <c r="G2740" t="s">
        <v>122</v>
      </c>
      <c r="J2740" t="s">
        <v>123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025"/>
        <v>06:19:57.422</v>
      </c>
      <c r="T2740" t="str">
        <f t="shared" si="1026"/>
        <v>06:19:56.922</v>
      </c>
      <c r="U2740" t="str">
        <f t="shared" si="993"/>
        <v>A7E2E0</v>
      </c>
      <c r="V2740">
        <v>0</v>
      </c>
      <c r="W2740">
        <v>0</v>
      </c>
      <c r="X2740">
        <v>1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0</v>
      </c>
      <c r="AI2740" t="s">
        <v>1410</v>
      </c>
      <c r="AJ2740">
        <v>38.889927999999998</v>
      </c>
      <c r="AK2740" t="s">
        <v>1411</v>
      </c>
      <c r="AL2740">
        <v>-87.610667000000007</v>
      </c>
      <c r="AM2740">
        <v>100</v>
      </c>
      <c r="AN2740">
        <v>2400</v>
      </c>
      <c r="AO2740" t="s">
        <v>118</v>
      </c>
      <c r="AP2740">
        <v>2</v>
      </c>
      <c r="AQ2740">
        <v>-131</v>
      </c>
      <c r="AR2740">
        <v>128</v>
      </c>
      <c r="AZ2740">
        <v>4552</v>
      </c>
      <c r="BA2740">
        <v>1</v>
      </c>
      <c r="BB2740" t="str">
        <f t="shared" si="994"/>
        <v xml:space="preserve">N607SR  </v>
      </c>
      <c r="BC2740">
        <v>1</v>
      </c>
      <c r="BE2740">
        <v>0</v>
      </c>
      <c r="BF2740">
        <v>0</v>
      </c>
      <c r="BG2740">
        <v>0</v>
      </c>
      <c r="BH2740">
        <v>2200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 t="shared" si="1027"/>
        <v>06:19:57.428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6</v>
      </c>
      <c r="CP2740" t="s">
        <v>119</v>
      </c>
      <c r="CQ2740">
        <v>465</v>
      </c>
      <c r="CR2740">
        <v>0</v>
      </c>
      <c r="CW2740">
        <v>4727535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 t="shared" si="1024"/>
        <v>08/29/2020 06:19:54.209</v>
      </c>
      <c r="C2741" t="str">
        <f t="shared" si="992"/>
        <v>FFDFD3C0</v>
      </c>
      <c r="D2741" t="s">
        <v>121</v>
      </c>
      <c r="E2741">
        <v>10</v>
      </c>
      <c r="F2741">
        <v>1010</v>
      </c>
      <c r="G2741" t="s">
        <v>114</v>
      </c>
      <c r="J2741" t="s">
        <v>123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025"/>
        <v>06:19:57.422</v>
      </c>
      <c r="T2741" t="str">
        <f t="shared" si="1026"/>
        <v>06:19:56.922</v>
      </c>
      <c r="U2741" t="str">
        <f t="shared" si="993"/>
        <v>A7E2E0</v>
      </c>
      <c r="V2741">
        <v>0</v>
      </c>
      <c r="W2741">
        <v>0</v>
      </c>
      <c r="X2741">
        <v>1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0</v>
      </c>
      <c r="AI2741" t="s">
        <v>1410</v>
      </c>
      <c r="AJ2741">
        <v>38.889927999999998</v>
      </c>
      <c r="AK2741" t="s">
        <v>1411</v>
      </c>
      <c r="AL2741">
        <v>-87.610667000000007</v>
      </c>
      <c r="AM2741">
        <v>100</v>
      </c>
      <c r="AN2741">
        <v>2400</v>
      </c>
      <c r="AO2741" t="s">
        <v>118</v>
      </c>
      <c r="AP2741">
        <v>2</v>
      </c>
      <c r="AQ2741">
        <v>-131</v>
      </c>
      <c r="AR2741">
        <v>128</v>
      </c>
      <c r="AZ2741">
        <v>4552</v>
      </c>
      <c r="BA2741">
        <v>1</v>
      </c>
      <c r="BB2741" t="str">
        <f t="shared" si="994"/>
        <v xml:space="preserve">N607SR  </v>
      </c>
      <c r="BC2741">
        <v>1</v>
      </c>
      <c r="BE2741">
        <v>0</v>
      </c>
      <c r="BF2741">
        <v>0</v>
      </c>
      <c r="BG2741">
        <v>0</v>
      </c>
      <c r="BH2741">
        <v>2200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 t="shared" si="1027"/>
        <v>06:19:57.428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6</v>
      </c>
      <c r="CP2741" t="s">
        <v>119</v>
      </c>
      <c r="CQ2741">
        <v>465</v>
      </c>
      <c r="CR2741">
        <v>0</v>
      </c>
      <c r="CW2741">
        <v>4727535</v>
      </c>
      <c r="CY2741">
        <v>1</v>
      </c>
      <c r="CZ2741">
        <v>0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 t="shared" si="1024"/>
        <v>08/29/2020 06:19:54.209</v>
      </c>
      <c r="C2742" t="str">
        <f t="shared" si="992"/>
        <v>FFDFD3C0</v>
      </c>
      <c r="D2742" t="s">
        <v>121</v>
      </c>
      <c r="E2742">
        <v>11</v>
      </c>
      <c r="F2742">
        <v>1011</v>
      </c>
      <c r="G2742" t="s">
        <v>125</v>
      </c>
      <c r="J2742" t="s">
        <v>123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025"/>
        <v>06:19:57.422</v>
      </c>
      <c r="T2742" t="str">
        <f t="shared" si="1026"/>
        <v>06:19:56.922</v>
      </c>
      <c r="U2742" t="str">
        <f t="shared" si="993"/>
        <v>A7E2E0</v>
      </c>
      <c r="V2742">
        <v>0</v>
      </c>
      <c r="W2742">
        <v>0</v>
      </c>
      <c r="X2742">
        <v>1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0</v>
      </c>
      <c r="AI2742" t="s">
        <v>1410</v>
      </c>
      <c r="AJ2742">
        <v>38.889927999999998</v>
      </c>
      <c r="AK2742" t="s">
        <v>1411</v>
      </c>
      <c r="AL2742">
        <v>-87.610667000000007</v>
      </c>
      <c r="AM2742">
        <v>100</v>
      </c>
      <c r="AN2742">
        <v>2400</v>
      </c>
      <c r="AO2742" t="s">
        <v>118</v>
      </c>
      <c r="AP2742">
        <v>2</v>
      </c>
      <c r="AQ2742">
        <v>-131</v>
      </c>
      <c r="AR2742">
        <v>128</v>
      </c>
      <c r="AZ2742">
        <v>4552</v>
      </c>
      <c r="BA2742">
        <v>1</v>
      </c>
      <c r="BB2742" t="str">
        <f t="shared" si="994"/>
        <v xml:space="preserve">N607SR  </v>
      </c>
      <c r="BC2742">
        <v>1</v>
      </c>
      <c r="BE2742">
        <v>0</v>
      </c>
      <c r="BF2742">
        <v>0</v>
      </c>
      <c r="BG2742">
        <v>0</v>
      </c>
      <c r="BH2742">
        <v>2200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 t="shared" si="1027"/>
        <v>06:19:57.428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4</v>
      </c>
      <c r="CP2742" t="s">
        <v>119</v>
      </c>
      <c r="CQ2742">
        <v>177</v>
      </c>
      <c r="CR2742">
        <v>2</v>
      </c>
      <c r="CW2742">
        <v>1680270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 t="shared" si="1024"/>
        <v>08/29/2020 06:19:54.209</v>
      </c>
      <c r="C2743" t="str">
        <f t="shared" si="992"/>
        <v>FFDFD3C0</v>
      </c>
      <c r="D2743" t="s">
        <v>939</v>
      </c>
      <c r="E2743">
        <v>10</v>
      </c>
      <c r="H2743">
        <v>79</v>
      </c>
      <c r="I2743" t="s">
        <v>940</v>
      </c>
      <c r="J2743" t="s">
        <v>130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025"/>
        <v>06:19:57.422</v>
      </c>
      <c r="T2743" t="str">
        <f t="shared" si="1026"/>
        <v>06:19:56.922</v>
      </c>
      <c r="U2743" t="str">
        <f t="shared" si="993"/>
        <v>A7E2E0</v>
      </c>
      <c r="V2743">
        <v>0</v>
      </c>
      <c r="W2743">
        <v>0</v>
      </c>
      <c r="X2743">
        <v>1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0</v>
      </c>
      <c r="AI2743" t="s">
        <v>1410</v>
      </c>
      <c r="AJ2743">
        <v>38.889927999999998</v>
      </c>
      <c r="AK2743" t="s">
        <v>1411</v>
      </c>
      <c r="AL2743">
        <v>-87.610667000000007</v>
      </c>
      <c r="AM2743">
        <v>100</v>
      </c>
      <c r="AN2743">
        <v>2400</v>
      </c>
      <c r="AO2743" t="s">
        <v>118</v>
      </c>
      <c r="AP2743">
        <v>2</v>
      </c>
      <c r="AQ2743">
        <v>-131</v>
      </c>
      <c r="AR2743">
        <v>128</v>
      </c>
      <c r="AZ2743">
        <v>4552</v>
      </c>
      <c r="BA2743">
        <v>1</v>
      </c>
      <c r="BB2743" t="str">
        <f t="shared" si="994"/>
        <v xml:space="preserve">N607SR  </v>
      </c>
      <c r="BC2743">
        <v>1</v>
      </c>
      <c r="BE2743">
        <v>0</v>
      </c>
      <c r="BF2743">
        <v>0</v>
      </c>
      <c r="BG2743">
        <v>0</v>
      </c>
      <c r="BH2743">
        <v>2200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 t="shared" si="1027"/>
        <v>06:19:57.428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6</v>
      </c>
      <c r="CP2743" t="s">
        <v>119</v>
      </c>
      <c r="CQ2743">
        <v>465</v>
      </c>
      <c r="CR2743">
        <v>0</v>
      </c>
      <c r="CW2743">
        <v>4727535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 t="shared" si="1024"/>
        <v>08/29/2020 06:19:54.209</v>
      </c>
      <c r="C2744" t="str">
        <f t="shared" si="992"/>
        <v>FFDFD3C0</v>
      </c>
      <c r="D2744" t="s">
        <v>113</v>
      </c>
      <c r="E2744">
        <v>5</v>
      </c>
      <c r="H2744">
        <v>163</v>
      </c>
      <c r="I2744" t="s">
        <v>114</v>
      </c>
      <c r="J2744" t="s">
        <v>115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025"/>
        <v>06:19:57.422</v>
      </c>
      <c r="T2744" t="str">
        <f t="shared" si="1026"/>
        <v>06:19:56.922</v>
      </c>
      <c r="U2744" t="str">
        <f t="shared" si="993"/>
        <v>A7E2E0</v>
      </c>
      <c r="V2744">
        <v>0</v>
      </c>
      <c r="W2744">
        <v>0</v>
      </c>
      <c r="X2744">
        <v>1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0</v>
      </c>
      <c r="AI2744" t="s">
        <v>1410</v>
      </c>
      <c r="AJ2744">
        <v>38.889927999999998</v>
      </c>
      <c r="AK2744" t="s">
        <v>1411</v>
      </c>
      <c r="AL2744">
        <v>-87.610667000000007</v>
      </c>
      <c r="AM2744">
        <v>100</v>
      </c>
      <c r="AN2744">
        <v>2400</v>
      </c>
      <c r="AO2744" t="s">
        <v>118</v>
      </c>
      <c r="AP2744">
        <v>2</v>
      </c>
      <c r="AQ2744">
        <v>-131</v>
      </c>
      <c r="AR2744">
        <v>128</v>
      </c>
      <c r="AZ2744">
        <v>4552</v>
      </c>
      <c r="BA2744">
        <v>1</v>
      </c>
      <c r="BB2744" t="str">
        <f t="shared" si="994"/>
        <v xml:space="preserve">N607SR  </v>
      </c>
      <c r="BC2744">
        <v>1</v>
      </c>
      <c r="BE2744">
        <v>0</v>
      </c>
      <c r="BF2744">
        <v>0</v>
      </c>
      <c r="BG2744">
        <v>0</v>
      </c>
      <c r="BH2744">
        <v>2200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 t="shared" si="1027"/>
        <v>06:19:57.428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6</v>
      </c>
      <c r="CP2744" t="s">
        <v>119</v>
      </c>
      <c r="CQ2744">
        <v>465</v>
      </c>
      <c r="CR2744">
        <v>0</v>
      </c>
      <c r="CW2744">
        <v>4727535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 t="shared" ref="A2745:A2750" si="1028">"08/29/2020 06:19:55.176"</f>
        <v>08/29/2020 06:19:55.176</v>
      </c>
      <c r="C2745" t="str">
        <f t="shared" si="992"/>
        <v>FFDFD3C0</v>
      </c>
      <c r="D2745" t="s">
        <v>121</v>
      </c>
      <c r="E2745">
        <v>13</v>
      </c>
      <c r="F2745">
        <v>1013</v>
      </c>
      <c r="G2745" t="s">
        <v>122</v>
      </c>
      <c r="J2745" t="s">
        <v>123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ref="S2745:S2750" si="1029">"06:19:58.430"</f>
        <v>06:19:58.430</v>
      </c>
      <c r="T2745" t="str">
        <f t="shared" ref="T2745:T2750" si="1030">"06:19:58.030"</f>
        <v>06:19:58.030</v>
      </c>
      <c r="U2745" t="str">
        <f t="shared" si="993"/>
        <v>A7E2E0</v>
      </c>
      <c r="V2745">
        <v>0</v>
      </c>
      <c r="W2745">
        <v>0</v>
      </c>
      <c r="X2745">
        <v>1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0</v>
      </c>
      <c r="AI2745" t="s">
        <v>1412</v>
      </c>
      <c r="AJ2745">
        <v>38.889327000000002</v>
      </c>
      <c r="AK2745" t="s">
        <v>1411</v>
      </c>
      <c r="AL2745">
        <v>-87.610667000000007</v>
      </c>
      <c r="AM2745">
        <v>100</v>
      </c>
      <c r="AN2745">
        <v>2400</v>
      </c>
      <c r="AO2745" t="s">
        <v>118</v>
      </c>
      <c r="AP2745">
        <v>2</v>
      </c>
      <c r="AQ2745">
        <v>-131</v>
      </c>
      <c r="AR2745">
        <v>64</v>
      </c>
      <c r="AZ2745">
        <v>4552</v>
      </c>
      <c r="BA2745">
        <v>1</v>
      </c>
      <c r="BB2745" t="str">
        <f t="shared" si="994"/>
        <v xml:space="preserve">N607SR  </v>
      </c>
      <c r="BC2745">
        <v>1</v>
      </c>
      <c r="BE2745">
        <v>0</v>
      </c>
      <c r="BF2745">
        <v>0</v>
      </c>
      <c r="BG2745">
        <v>0</v>
      </c>
      <c r="BH2745">
        <v>2200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 t="shared" ref="BW2745:BW2750" si="1031">"06:19:58.434"</f>
        <v>06:19:58.434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6</v>
      </c>
      <c r="CP2745" t="s">
        <v>119</v>
      </c>
      <c r="CQ2745">
        <v>465</v>
      </c>
      <c r="CR2745">
        <v>0</v>
      </c>
      <c r="CW2745">
        <v>4727563</v>
      </c>
      <c r="CY2745">
        <v>1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 t="shared" si="1028"/>
        <v>08/29/2020 06:19:55.176</v>
      </c>
      <c r="C2746" t="str">
        <f t="shared" si="992"/>
        <v>FFDFD3C0</v>
      </c>
      <c r="D2746" t="s">
        <v>121</v>
      </c>
      <c r="E2746">
        <v>10</v>
      </c>
      <c r="F2746">
        <v>1010</v>
      </c>
      <c r="G2746" t="s">
        <v>114</v>
      </c>
      <c r="J2746" t="s">
        <v>123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si="1029"/>
        <v>06:19:58.430</v>
      </c>
      <c r="T2746" t="str">
        <f t="shared" si="1030"/>
        <v>06:19:58.030</v>
      </c>
      <c r="U2746" t="str">
        <f t="shared" si="993"/>
        <v>A7E2E0</v>
      </c>
      <c r="V2746">
        <v>0</v>
      </c>
      <c r="W2746">
        <v>0</v>
      </c>
      <c r="X2746">
        <v>1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0</v>
      </c>
      <c r="AI2746" t="s">
        <v>1412</v>
      </c>
      <c r="AJ2746">
        <v>38.889327000000002</v>
      </c>
      <c r="AK2746" t="s">
        <v>1411</v>
      </c>
      <c r="AL2746">
        <v>-87.610667000000007</v>
      </c>
      <c r="AM2746">
        <v>100</v>
      </c>
      <c r="AN2746">
        <v>2400</v>
      </c>
      <c r="AO2746" t="s">
        <v>118</v>
      </c>
      <c r="AP2746">
        <v>2</v>
      </c>
      <c r="AQ2746">
        <v>-131</v>
      </c>
      <c r="AR2746">
        <v>64</v>
      </c>
      <c r="AZ2746">
        <v>4552</v>
      </c>
      <c r="BA2746">
        <v>1</v>
      </c>
      <c r="BB2746" t="str">
        <f t="shared" si="994"/>
        <v xml:space="preserve">N607SR  </v>
      </c>
      <c r="BC2746">
        <v>1</v>
      </c>
      <c r="BE2746">
        <v>0</v>
      </c>
      <c r="BF2746">
        <v>0</v>
      </c>
      <c r="BG2746">
        <v>0</v>
      </c>
      <c r="BH2746">
        <v>2200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 t="shared" si="1031"/>
        <v>06:19:58.434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6</v>
      </c>
      <c r="CP2746" t="s">
        <v>119</v>
      </c>
      <c r="CQ2746">
        <v>465</v>
      </c>
      <c r="CR2746">
        <v>0</v>
      </c>
      <c r="CW2746">
        <v>4727563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 t="shared" si="1028"/>
        <v>08/29/2020 06:19:55.176</v>
      </c>
      <c r="C2747" t="str">
        <f t="shared" si="992"/>
        <v>FFDFD3C0</v>
      </c>
      <c r="D2747" t="s">
        <v>939</v>
      </c>
      <c r="E2747">
        <v>10</v>
      </c>
      <c r="H2747">
        <v>79</v>
      </c>
      <c r="I2747" t="s">
        <v>940</v>
      </c>
      <c r="J2747" t="s">
        <v>130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si="1029"/>
        <v>06:19:58.430</v>
      </c>
      <c r="T2747" t="str">
        <f t="shared" si="1030"/>
        <v>06:19:58.030</v>
      </c>
      <c r="U2747" t="str">
        <f t="shared" si="993"/>
        <v>A7E2E0</v>
      </c>
      <c r="V2747">
        <v>0</v>
      </c>
      <c r="W2747">
        <v>0</v>
      </c>
      <c r="X2747">
        <v>1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0</v>
      </c>
      <c r="AI2747" t="s">
        <v>1412</v>
      </c>
      <c r="AJ2747">
        <v>38.889327000000002</v>
      </c>
      <c r="AK2747" t="s">
        <v>1411</v>
      </c>
      <c r="AL2747">
        <v>-87.610667000000007</v>
      </c>
      <c r="AM2747">
        <v>100</v>
      </c>
      <c r="AN2747">
        <v>2400</v>
      </c>
      <c r="AO2747" t="s">
        <v>118</v>
      </c>
      <c r="AP2747">
        <v>2</v>
      </c>
      <c r="AQ2747">
        <v>-131</v>
      </c>
      <c r="AR2747">
        <v>64</v>
      </c>
      <c r="AZ2747">
        <v>4552</v>
      </c>
      <c r="BA2747">
        <v>1</v>
      </c>
      <c r="BB2747" t="str">
        <f t="shared" si="994"/>
        <v xml:space="preserve">N607SR  </v>
      </c>
      <c r="BC2747">
        <v>1</v>
      </c>
      <c r="BE2747">
        <v>0</v>
      </c>
      <c r="BF2747">
        <v>0</v>
      </c>
      <c r="BG2747">
        <v>0</v>
      </c>
      <c r="BH2747">
        <v>2200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 t="shared" si="1031"/>
        <v>06:19:58.434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6</v>
      </c>
      <c r="CP2747" t="s">
        <v>119</v>
      </c>
      <c r="CQ2747">
        <v>465</v>
      </c>
      <c r="CR2747">
        <v>0</v>
      </c>
      <c r="CW2747">
        <v>4727563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 t="shared" si="1028"/>
        <v>08/29/2020 06:19:55.176</v>
      </c>
      <c r="C2748" t="str">
        <f t="shared" si="992"/>
        <v>FFDFD3C0</v>
      </c>
      <c r="D2748" t="s">
        <v>121</v>
      </c>
      <c r="E2748">
        <v>11</v>
      </c>
      <c r="F2748">
        <v>1011</v>
      </c>
      <c r="G2748" t="s">
        <v>125</v>
      </c>
      <c r="J2748" t="s">
        <v>123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029"/>
        <v>06:19:58.430</v>
      </c>
      <c r="T2748" t="str">
        <f t="shared" si="1030"/>
        <v>06:19:58.030</v>
      </c>
      <c r="U2748" t="str">
        <f t="shared" si="993"/>
        <v>A7E2E0</v>
      </c>
      <c r="V2748">
        <v>0</v>
      </c>
      <c r="W2748">
        <v>0</v>
      </c>
      <c r="X2748">
        <v>1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0</v>
      </c>
      <c r="AI2748" t="s">
        <v>1412</v>
      </c>
      <c r="AJ2748">
        <v>38.889327000000002</v>
      </c>
      <c r="AK2748" t="s">
        <v>1411</v>
      </c>
      <c r="AL2748">
        <v>-87.610667000000007</v>
      </c>
      <c r="AM2748">
        <v>100</v>
      </c>
      <c r="AN2748">
        <v>2400</v>
      </c>
      <c r="AO2748" t="s">
        <v>118</v>
      </c>
      <c r="AP2748">
        <v>2</v>
      </c>
      <c r="AQ2748">
        <v>-131</v>
      </c>
      <c r="AR2748">
        <v>64</v>
      </c>
      <c r="AZ2748">
        <v>4552</v>
      </c>
      <c r="BA2748">
        <v>1</v>
      </c>
      <c r="BB2748" t="str">
        <f t="shared" si="994"/>
        <v xml:space="preserve">N607SR  </v>
      </c>
      <c r="BC2748">
        <v>1</v>
      </c>
      <c r="BE2748">
        <v>0</v>
      </c>
      <c r="BF2748">
        <v>0</v>
      </c>
      <c r="BG2748">
        <v>0</v>
      </c>
      <c r="BH2748">
        <v>2200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 t="shared" si="1031"/>
        <v>06:19:58.434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5</v>
      </c>
      <c r="CP2748" t="s">
        <v>119</v>
      </c>
      <c r="CQ2748">
        <v>177</v>
      </c>
      <c r="CR2748">
        <v>2</v>
      </c>
      <c r="CW2748">
        <v>1680463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 t="shared" si="1028"/>
        <v>08/29/2020 06:19:55.176</v>
      </c>
      <c r="C2749" t="str">
        <f t="shared" si="992"/>
        <v>FFDFD3C0</v>
      </c>
      <c r="D2749" t="s">
        <v>113</v>
      </c>
      <c r="E2749">
        <v>5</v>
      </c>
      <c r="H2749">
        <v>163</v>
      </c>
      <c r="I2749" t="s">
        <v>114</v>
      </c>
      <c r="J2749" t="s">
        <v>115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029"/>
        <v>06:19:58.430</v>
      </c>
      <c r="T2749" t="str">
        <f t="shared" si="1030"/>
        <v>06:19:58.030</v>
      </c>
      <c r="U2749" t="str">
        <f t="shared" si="993"/>
        <v>A7E2E0</v>
      </c>
      <c r="V2749">
        <v>0</v>
      </c>
      <c r="W2749">
        <v>0</v>
      </c>
      <c r="X2749">
        <v>1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0</v>
      </c>
      <c r="AI2749" t="s">
        <v>1412</v>
      </c>
      <c r="AJ2749">
        <v>38.889327000000002</v>
      </c>
      <c r="AK2749" t="s">
        <v>1411</v>
      </c>
      <c r="AL2749">
        <v>-87.610667000000007</v>
      </c>
      <c r="AM2749">
        <v>100</v>
      </c>
      <c r="AN2749">
        <v>2400</v>
      </c>
      <c r="AO2749" t="s">
        <v>118</v>
      </c>
      <c r="AP2749">
        <v>2</v>
      </c>
      <c r="AQ2749">
        <v>-131</v>
      </c>
      <c r="AR2749">
        <v>64</v>
      </c>
      <c r="AZ2749">
        <v>4552</v>
      </c>
      <c r="BA2749">
        <v>1</v>
      </c>
      <c r="BB2749" t="str">
        <f t="shared" si="994"/>
        <v xml:space="preserve">N607SR  </v>
      </c>
      <c r="BC2749">
        <v>1</v>
      </c>
      <c r="BE2749">
        <v>0</v>
      </c>
      <c r="BF2749">
        <v>0</v>
      </c>
      <c r="BG2749">
        <v>0</v>
      </c>
      <c r="BH2749">
        <v>2200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 t="shared" si="1031"/>
        <v>06:19:58.434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6</v>
      </c>
      <c r="CP2749" t="s">
        <v>119</v>
      </c>
      <c r="CQ2749">
        <v>465</v>
      </c>
      <c r="CR2749">
        <v>0</v>
      </c>
      <c r="CW2749">
        <v>4727563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 t="shared" si="1028"/>
        <v>08/29/2020 06:19:55.176</v>
      </c>
      <c r="C2750" t="str">
        <f t="shared" si="992"/>
        <v>FFDFD3C0</v>
      </c>
      <c r="D2750" t="s">
        <v>128</v>
      </c>
      <c r="E2750">
        <v>5</v>
      </c>
      <c r="H2750">
        <v>241</v>
      </c>
      <c r="I2750" t="s">
        <v>129</v>
      </c>
      <c r="J2750" t="s">
        <v>130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029"/>
        <v>06:19:58.430</v>
      </c>
      <c r="T2750" t="str">
        <f t="shared" si="1030"/>
        <v>06:19:58.030</v>
      </c>
      <c r="U2750" t="str">
        <f t="shared" si="993"/>
        <v>A7E2E0</v>
      </c>
      <c r="V2750">
        <v>0</v>
      </c>
      <c r="W2750">
        <v>0</v>
      </c>
      <c r="X2750">
        <v>1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0</v>
      </c>
      <c r="AI2750" t="s">
        <v>1412</v>
      </c>
      <c r="AJ2750">
        <v>38.889327000000002</v>
      </c>
      <c r="AK2750" t="s">
        <v>1411</v>
      </c>
      <c r="AL2750">
        <v>-87.610667000000007</v>
      </c>
      <c r="AM2750">
        <v>100</v>
      </c>
      <c r="AN2750">
        <v>2400</v>
      </c>
      <c r="AO2750" t="s">
        <v>118</v>
      </c>
      <c r="AP2750">
        <v>2</v>
      </c>
      <c r="AQ2750">
        <v>-131</v>
      </c>
      <c r="AR2750">
        <v>64</v>
      </c>
      <c r="AZ2750">
        <v>4552</v>
      </c>
      <c r="BA2750">
        <v>1</v>
      </c>
      <c r="BB2750" t="str">
        <f t="shared" si="994"/>
        <v xml:space="preserve">N607SR  </v>
      </c>
      <c r="BC2750">
        <v>1</v>
      </c>
      <c r="BE2750">
        <v>0</v>
      </c>
      <c r="BF2750">
        <v>0</v>
      </c>
      <c r="BG2750">
        <v>0</v>
      </c>
      <c r="BH2750">
        <v>2200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 t="shared" si="1031"/>
        <v>06:19:58.434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6</v>
      </c>
      <c r="CP2750" t="s">
        <v>119</v>
      </c>
      <c r="CQ2750">
        <v>465</v>
      </c>
      <c r="CR2750">
        <v>0</v>
      </c>
      <c r="CW2750">
        <v>4727563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 t="shared" ref="A2751:A2756" si="1032">"08/29/2020 06:19:56.230"</f>
        <v>08/29/2020 06:19:56.230</v>
      </c>
      <c r="C2751" t="str">
        <f t="shared" si="992"/>
        <v>FFDFD3C0</v>
      </c>
      <c r="D2751" t="s">
        <v>113</v>
      </c>
      <c r="E2751">
        <v>5</v>
      </c>
      <c r="H2751">
        <v>163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ref="S2751:S2756" si="1033">"06:19:59.430"</f>
        <v>06:19:59.430</v>
      </c>
      <c r="T2751" t="str">
        <f t="shared" ref="T2751:T2756" si="1034">"06:19:59.030"</f>
        <v>06:19:59.030</v>
      </c>
      <c r="U2751" t="str">
        <f t="shared" si="993"/>
        <v>A7E2E0</v>
      </c>
      <c r="V2751">
        <v>0</v>
      </c>
      <c r="W2751">
        <v>0</v>
      </c>
      <c r="X2751">
        <v>1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0</v>
      </c>
      <c r="AI2751" t="s">
        <v>1413</v>
      </c>
      <c r="AJ2751">
        <v>38.888705000000002</v>
      </c>
      <c r="AK2751" t="s">
        <v>1411</v>
      </c>
      <c r="AL2751">
        <v>-87.610667000000007</v>
      </c>
      <c r="AM2751">
        <v>100</v>
      </c>
      <c r="AN2751">
        <v>2400</v>
      </c>
      <c r="AO2751" t="s">
        <v>118</v>
      </c>
      <c r="AP2751">
        <v>2</v>
      </c>
      <c r="AQ2751">
        <v>-130</v>
      </c>
      <c r="AR2751">
        <v>0</v>
      </c>
      <c r="AZ2751">
        <v>4552</v>
      </c>
      <c r="BA2751">
        <v>1</v>
      </c>
      <c r="BB2751" t="str">
        <f t="shared" si="994"/>
        <v xml:space="preserve">N607SR  </v>
      </c>
      <c r="BC2751">
        <v>1</v>
      </c>
      <c r="BE2751">
        <v>0</v>
      </c>
      <c r="BF2751">
        <v>0</v>
      </c>
      <c r="BG2751">
        <v>0</v>
      </c>
      <c r="BH2751">
        <v>2200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 t="shared" ref="BW2751:BW2756" si="1035">"06:19:59.434"</f>
        <v>06:19:59.434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6</v>
      </c>
      <c r="CP2751" t="s">
        <v>119</v>
      </c>
      <c r="CQ2751">
        <v>465</v>
      </c>
      <c r="CR2751">
        <v>0</v>
      </c>
      <c r="CW2751">
        <v>4727592</v>
      </c>
      <c r="CY2751">
        <v>1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 t="shared" si="1032"/>
        <v>08/29/2020 06:19:56.230</v>
      </c>
      <c r="C2752" t="str">
        <f t="shared" si="992"/>
        <v>FFDFD3C0</v>
      </c>
      <c r="D2752" t="s">
        <v>121</v>
      </c>
      <c r="E2752">
        <v>11</v>
      </c>
      <c r="F2752">
        <v>1011</v>
      </c>
      <c r="G2752" t="s">
        <v>125</v>
      </c>
      <c r="J2752" t="s">
        <v>123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033"/>
        <v>06:19:59.430</v>
      </c>
      <c r="T2752" t="str">
        <f t="shared" si="1034"/>
        <v>06:19:59.030</v>
      </c>
      <c r="U2752" t="str">
        <f t="shared" si="993"/>
        <v>A7E2E0</v>
      </c>
      <c r="V2752">
        <v>0</v>
      </c>
      <c r="W2752">
        <v>0</v>
      </c>
      <c r="X2752">
        <v>1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0</v>
      </c>
      <c r="AI2752" t="s">
        <v>1413</v>
      </c>
      <c r="AJ2752">
        <v>38.888705000000002</v>
      </c>
      <c r="AK2752" t="s">
        <v>1411</v>
      </c>
      <c r="AL2752">
        <v>-87.610667000000007</v>
      </c>
      <c r="AM2752">
        <v>100</v>
      </c>
      <c r="AN2752">
        <v>2400</v>
      </c>
      <c r="AO2752" t="s">
        <v>118</v>
      </c>
      <c r="AP2752">
        <v>2</v>
      </c>
      <c r="AQ2752">
        <v>-130</v>
      </c>
      <c r="AR2752">
        <v>0</v>
      </c>
      <c r="AZ2752">
        <v>4552</v>
      </c>
      <c r="BA2752">
        <v>1</v>
      </c>
      <c r="BB2752" t="str">
        <f t="shared" si="994"/>
        <v xml:space="preserve">N607SR  </v>
      </c>
      <c r="BC2752">
        <v>1</v>
      </c>
      <c r="BE2752">
        <v>0</v>
      </c>
      <c r="BF2752">
        <v>0</v>
      </c>
      <c r="BG2752">
        <v>0</v>
      </c>
      <c r="BH2752">
        <v>2200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 t="shared" si="1035"/>
        <v>06:19:59.434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4</v>
      </c>
      <c r="CP2752" t="s">
        <v>119</v>
      </c>
      <c r="CQ2752">
        <v>177</v>
      </c>
      <c r="CR2752">
        <v>2</v>
      </c>
      <c r="CW2752">
        <v>1680635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 t="shared" si="1032"/>
        <v>08/29/2020 06:19:56.230</v>
      </c>
      <c r="C2753" t="str">
        <f t="shared" si="992"/>
        <v>FFDFD3C0</v>
      </c>
      <c r="D2753" t="s">
        <v>128</v>
      </c>
      <c r="E2753">
        <v>5</v>
      </c>
      <c r="H2753">
        <v>241</v>
      </c>
      <c r="I2753" t="s">
        <v>129</v>
      </c>
      <c r="J2753" t="s">
        <v>130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033"/>
        <v>06:19:59.430</v>
      </c>
      <c r="T2753" t="str">
        <f t="shared" si="1034"/>
        <v>06:19:59.030</v>
      </c>
      <c r="U2753" t="str">
        <f t="shared" si="993"/>
        <v>A7E2E0</v>
      </c>
      <c r="V2753">
        <v>0</v>
      </c>
      <c r="W2753">
        <v>0</v>
      </c>
      <c r="X2753">
        <v>1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0</v>
      </c>
      <c r="AI2753" t="s">
        <v>1413</v>
      </c>
      <c r="AJ2753">
        <v>38.888705000000002</v>
      </c>
      <c r="AK2753" t="s">
        <v>1411</v>
      </c>
      <c r="AL2753">
        <v>-87.610667000000007</v>
      </c>
      <c r="AM2753">
        <v>100</v>
      </c>
      <c r="AN2753">
        <v>2400</v>
      </c>
      <c r="AO2753" t="s">
        <v>118</v>
      </c>
      <c r="AP2753">
        <v>2</v>
      </c>
      <c r="AQ2753">
        <v>-130</v>
      </c>
      <c r="AR2753">
        <v>0</v>
      </c>
      <c r="AZ2753">
        <v>4552</v>
      </c>
      <c r="BA2753">
        <v>1</v>
      </c>
      <c r="BB2753" t="str">
        <f t="shared" si="994"/>
        <v xml:space="preserve">N607SR  </v>
      </c>
      <c r="BC2753">
        <v>1</v>
      </c>
      <c r="BE2753">
        <v>0</v>
      </c>
      <c r="BF2753">
        <v>0</v>
      </c>
      <c r="BG2753">
        <v>0</v>
      </c>
      <c r="BH2753">
        <v>2200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 t="shared" si="1035"/>
        <v>06:19:59.434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6</v>
      </c>
      <c r="CP2753" t="s">
        <v>119</v>
      </c>
      <c r="CQ2753">
        <v>465</v>
      </c>
      <c r="CR2753">
        <v>0</v>
      </c>
      <c r="CW2753">
        <v>4727592</v>
      </c>
      <c r="CY2753">
        <v>1</v>
      </c>
      <c r="CZ2753">
        <v>0</v>
      </c>
      <c r="DA2753">
        <v>1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 t="shared" si="1032"/>
        <v>08/29/2020 06:19:56.230</v>
      </c>
      <c r="C2754" t="str">
        <f t="shared" ref="C2754:C2817" si="1036">"FFDFD3C0"</f>
        <v>FFDFD3C0</v>
      </c>
      <c r="D2754" t="s">
        <v>121</v>
      </c>
      <c r="E2754">
        <v>13</v>
      </c>
      <c r="F2754">
        <v>1013</v>
      </c>
      <c r="G2754" t="s">
        <v>122</v>
      </c>
      <c r="J2754" t="s">
        <v>123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033"/>
        <v>06:19:59.430</v>
      </c>
      <c r="T2754" t="str">
        <f t="shared" si="1034"/>
        <v>06:19:59.030</v>
      </c>
      <c r="U2754" t="str">
        <f t="shared" ref="U2754:U2817" si="1037">"A7E2E0"</f>
        <v>A7E2E0</v>
      </c>
      <c r="V2754">
        <v>0</v>
      </c>
      <c r="W2754">
        <v>0</v>
      </c>
      <c r="X2754">
        <v>1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0</v>
      </c>
      <c r="AI2754" t="s">
        <v>1413</v>
      </c>
      <c r="AJ2754">
        <v>38.888705000000002</v>
      </c>
      <c r="AK2754" t="s">
        <v>1411</v>
      </c>
      <c r="AL2754">
        <v>-87.610667000000007</v>
      </c>
      <c r="AM2754">
        <v>100</v>
      </c>
      <c r="AN2754">
        <v>2400</v>
      </c>
      <c r="AO2754" t="s">
        <v>118</v>
      </c>
      <c r="AP2754">
        <v>2</v>
      </c>
      <c r="AQ2754">
        <v>-130</v>
      </c>
      <c r="AR2754">
        <v>0</v>
      </c>
      <c r="AZ2754">
        <v>4552</v>
      </c>
      <c r="BA2754">
        <v>1</v>
      </c>
      <c r="BB2754" t="str">
        <f t="shared" ref="BB2754:BB2817" si="1038">"N607SR  "</f>
        <v xml:space="preserve">N607SR  </v>
      </c>
      <c r="BC2754">
        <v>1</v>
      </c>
      <c r="BE2754">
        <v>0</v>
      </c>
      <c r="BF2754">
        <v>0</v>
      </c>
      <c r="BG2754">
        <v>0</v>
      </c>
      <c r="BH2754">
        <v>2200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 t="shared" si="1035"/>
        <v>06:19:59.434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6</v>
      </c>
      <c r="CP2754" t="s">
        <v>119</v>
      </c>
      <c r="CQ2754">
        <v>465</v>
      </c>
      <c r="CR2754">
        <v>0</v>
      </c>
      <c r="CW2754">
        <v>4727592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 t="shared" si="1032"/>
        <v>08/29/2020 06:19:56.230</v>
      </c>
      <c r="C2755" t="str">
        <f t="shared" si="1036"/>
        <v>FFDFD3C0</v>
      </c>
      <c r="D2755" t="s">
        <v>121</v>
      </c>
      <c r="E2755">
        <v>10</v>
      </c>
      <c r="F2755">
        <v>1010</v>
      </c>
      <c r="G2755" t="s">
        <v>114</v>
      </c>
      <c r="J2755" t="s">
        <v>123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033"/>
        <v>06:19:59.430</v>
      </c>
      <c r="T2755" t="str">
        <f t="shared" si="1034"/>
        <v>06:19:59.030</v>
      </c>
      <c r="U2755" t="str">
        <f t="shared" si="1037"/>
        <v>A7E2E0</v>
      </c>
      <c r="V2755">
        <v>0</v>
      </c>
      <c r="W2755">
        <v>0</v>
      </c>
      <c r="X2755">
        <v>1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0</v>
      </c>
      <c r="AI2755" t="s">
        <v>1413</v>
      </c>
      <c r="AJ2755">
        <v>38.888705000000002</v>
      </c>
      <c r="AK2755" t="s">
        <v>1411</v>
      </c>
      <c r="AL2755">
        <v>-87.610667000000007</v>
      </c>
      <c r="AM2755">
        <v>100</v>
      </c>
      <c r="AN2755">
        <v>2400</v>
      </c>
      <c r="AO2755" t="s">
        <v>118</v>
      </c>
      <c r="AP2755">
        <v>2</v>
      </c>
      <c r="AQ2755">
        <v>-130</v>
      </c>
      <c r="AR2755">
        <v>0</v>
      </c>
      <c r="AZ2755">
        <v>4552</v>
      </c>
      <c r="BA2755">
        <v>1</v>
      </c>
      <c r="BB2755" t="str">
        <f t="shared" si="1038"/>
        <v xml:space="preserve">N607SR  </v>
      </c>
      <c r="BC2755">
        <v>1</v>
      </c>
      <c r="BE2755">
        <v>0</v>
      </c>
      <c r="BF2755">
        <v>0</v>
      </c>
      <c r="BG2755">
        <v>0</v>
      </c>
      <c r="BH2755">
        <v>2200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 t="shared" si="1035"/>
        <v>06:19:59.434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6</v>
      </c>
      <c r="CP2755" t="s">
        <v>119</v>
      </c>
      <c r="CQ2755">
        <v>465</v>
      </c>
      <c r="CR2755">
        <v>0</v>
      </c>
      <c r="CW2755">
        <v>4727592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 t="shared" si="1032"/>
        <v>08/29/2020 06:19:56.230</v>
      </c>
      <c r="C2756" t="str">
        <f t="shared" si="1036"/>
        <v>FFDFD3C0</v>
      </c>
      <c r="D2756" t="s">
        <v>939</v>
      </c>
      <c r="E2756">
        <v>10</v>
      </c>
      <c r="H2756">
        <v>79</v>
      </c>
      <c r="I2756" t="s">
        <v>940</v>
      </c>
      <c r="J2756" t="s">
        <v>130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033"/>
        <v>06:19:59.430</v>
      </c>
      <c r="T2756" t="str">
        <f t="shared" si="1034"/>
        <v>06:19:59.030</v>
      </c>
      <c r="U2756" t="str">
        <f t="shared" si="1037"/>
        <v>A7E2E0</v>
      </c>
      <c r="V2756">
        <v>0</v>
      </c>
      <c r="W2756">
        <v>0</v>
      </c>
      <c r="X2756">
        <v>1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0</v>
      </c>
      <c r="AI2756" t="s">
        <v>1413</v>
      </c>
      <c r="AJ2756">
        <v>38.888705000000002</v>
      </c>
      <c r="AK2756" t="s">
        <v>1411</v>
      </c>
      <c r="AL2756">
        <v>-87.610667000000007</v>
      </c>
      <c r="AM2756">
        <v>100</v>
      </c>
      <c r="AN2756">
        <v>2400</v>
      </c>
      <c r="AO2756" t="s">
        <v>118</v>
      </c>
      <c r="AP2756">
        <v>2</v>
      </c>
      <c r="AQ2756">
        <v>-130</v>
      </c>
      <c r="AR2756">
        <v>0</v>
      </c>
      <c r="AZ2756">
        <v>4552</v>
      </c>
      <c r="BA2756">
        <v>1</v>
      </c>
      <c r="BB2756" t="str">
        <f t="shared" si="1038"/>
        <v xml:space="preserve">N607SR  </v>
      </c>
      <c r="BC2756">
        <v>1</v>
      </c>
      <c r="BE2756">
        <v>0</v>
      </c>
      <c r="BF2756">
        <v>0</v>
      </c>
      <c r="BG2756">
        <v>0</v>
      </c>
      <c r="BH2756">
        <v>2200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 t="shared" si="1035"/>
        <v>06:19:59.434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6</v>
      </c>
      <c r="CP2756" t="s">
        <v>119</v>
      </c>
      <c r="CQ2756">
        <v>465</v>
      </c>
      <c r="CR2756">
        <v>0</v>
      </c>
      <c r="CW2756">
        <v>4727592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 t="shared" ref="A2757:A2762" si="1039">"08/29/2020 06:19:57.253"</f>
        <v>08/29/2020 06:19:57.253</v>
      </c>
      <c r="C2757" t="str">
        <f t="shared" si="1036"/>
        <v>FFDFD3C0</v>
      </c>
      <c r="D2757" t="s">
        <v>121</v>
      </c>
      <c r="E2757">
        <v>13</v>
      </c>
      <c r="F2757">
        <v>1013</v>
      </c>
      <c r="G2757" t="s">
        <v>122</v>
      </c>
      <c r="J2757" t="s">
        <v>123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ref="S2757:S2762" si="1040">"06:20:00.500"</f>
        <v>06:20:00.500</v>
      </c>
      <c r="T2757" t="str">
        <f t="shared" ref="T2757:T2762" si="1041">"06:20:00.100"</f>
        <v>06:20:00.100</v>
      </c>
      <c r="U2757" t="str">
        <f t="shared" si="1037"/>
        <v>A7E2E0</v>
      </c>
      <c r="V2757">
        <v>0</v>
      </c>
      <c r="W2757">
        <v>0</v>
      </c>
      <c r="X2757">
        <v>1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0</v>
      </c>
      <c r="AI2757" t="s">
        <v>1414</v>
      </c>
      <c r="AJ2757">
        <v>38.888103999999998</v>
      </c>
      <c r="AK2757" t="s">
        <v>1411</v>
      </c>
      <c r="AL2757">
        <v>-87.610667000000007</v>
      </c>
      <c r="AM2757">
        <v>100</v>
      </c>
      <c r="AN2757">
        <v>2400</v>
      </c>
      <c r="AO2757" t="s">
        <v>118</v>
      </c>
      <c r="AP2757">
        <v>3</v>
      </c>
      <c r="AQ2757">
        <v>-130</v>
      </c>
      <c r="AR2757">
        <v>-64</v>
      </c>
      <c r="AZ2757">
        <v>4552</v>
      </c>
      <c r="BA2757">
        <v>1</v>
      </c>
      <c r="BB2757" t="str">
        <f t="shared" si="1038"/>
        <v xml:space="preserve">N607SR  </v>
      </c>
      <c r="BC2757">
        <v>1</v>
      </c>
      <c r="BE2757">
        <v>0</v>
      </c>
      <c r="BF2757">
        <v>0</v>
      </c>
      <c r="BG2757">
        <v>0</v>
      </c>
      <c r="BH2757">
        <v>2175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 t="shared" ref="BW2757:BW2762" si="1042">"06:20:00.502"</f>
        <v>06:20:00.502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6</v>
      </c>
      <c r="CP2757" t="s">
        <v>119</v>
      </c>
      <c r="CQ2757">
        <v>465</v>
      </c>
      <c r="CR2757">
        <v>0</v>
      </c>
      <c r="CW2757">
        <v>4727625</v>
      </c>
      <c r="CY2757">
        <v>1</v>
      </c>
      <c r="CZ2757">
        <v>0</v>
      </c>
      <c r="DA2757">
        <v>0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 t="shared" si="1039"/>
        <v>08/29/2020 06:19:57.253</v>
      </c>
      <c r="C2758" t="str">
        <f t="shared" si="1036"/>
        <v>FFDFD3C0</v>
      </c>
      <c r="D2758" t="s">
        <v>121</v>
      </c>
      <c r="E2758">
        <v>10</v>
      </c>
      <c r="F2758">
        <v>1010</v>
      </c>
      <c r="G2758" t="s">
        <v>114</v>
      </c>
      <c r="J2758" t="s">
        <v>123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040"/>
        <v>06:20:00.500</v>
      </c>
      <c r="T2758" t="str">
        <f t="shared" si="1041"/>
        <v>06:20:00.100</v>
      </c>
      <c r="U2758" t="str">
        <f t="shared" si="1037"/>
        <v>A7E2E0</v>
      </c>
      <c r="V2758">
        <v>0</v>
      </c>
      <c r="W2758">
        <v>0</v>
      </c>
      <c r="X2758">
        <v>1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0</v>
      </c>
      <c r="AI2758" t="s">
        <v>1414</v>
      </c>
      <c r="AJ2758">
        <v>38.888103999999998</v>
      </c>
      <c r="AK2758" t="s">
        <v>1411</v>
      </c>
      <c r="AL2758">
        <v>-87.610667000000007</v>
      </c>
      <c r="AM2758">
        <v>100</v>
      </c>
      <c r="AN2758">
        <v>2400</v>
      </c>
      <c r="AO2758" t="s">
        <v>118</v>
      </c>
      <c r="AP2758">
        <v>3</v>
      </c>
      <c r="AQ2758">
        <v>-130</v>
      </c>
      <c r="AR2758">
        <v>-64</v>
      </c>
      <c r="AZ2758">
        <v>4552</v>
      </c>
      <c r="BA2758">
        <v>1</v>
      </c>
      <c r="BB2758" t="str">
        <f t="shared" si="1038"/>
        <v xml:space="preserve">N607SR  </v>
      </c>
      <c r="BC2758">
        <v>1</v>
      </c>
      <c r="BE2758">
        <v>0</v>
      </c>
      <c r="BF2758">
        <v>0</v>
      </c>
      <c r="BG2758">
        <v>0</v>
      </c>
      <c r="BH2758">
        <v>2175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 t="shared" si="1042"/>
        <v>06:20:00.502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6</v>
      </c>
      <c r="CP2758" t="s">
        <v>119</v>
      </c>
      <c r="CQ2758">
        <v>465</v>
      </c>
      <c r="CR2758">
        <v>0</v>
      </c>
      <c r="CW2758">
        <v>4727625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 t="shared" si="1039"/>
        <v>08/29/2020 06:19:57.253</v>
      </c>
      <c r="C2759" t="str">
        <f t="shared" si="1036"/>
        <v>FFDFD3C0</v>
      </c>
      <c r="D2759" t="s">
        <v>939</v>
      </c>
      <c r="E2759">
        <v>10</v>
      </c>
      <c r="H2759">
        <v>79</v>
      </c>
      <c r="I2759" t="s">
        <v>940</v>
      </c>
      <c r="J2759" t="s">
        <v>130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040"/>
        <v>06:20:00.500</v>
      </c>
      <c r="T2759" t="str">
        <f t="shared" si="1041"/>
        <v>06:20:00.100</v>
      </c>
      <c r="U2759" t="str">
        <f t="shared" si="1037"/>
        <v>A7E2E0</v>
      </c>
      <c r="V2759">
        <v>0</v>
      </c>
      <c r="W2759">
        <v>0</v>
      </c>
      <c r="X2759">
        <v>1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0</v>
      </c>
      <c r="AI2759" t="s">
        <v>1414</v>
      </c>
      <c r="AJ2759">
        <v>38.888103999999998</v>
      </c>
      <c r="AK2759" t="s">
        <v>1411</v>
      </c>
      <c r="AL2759">
        <v>-87.610667000000007</v>
      </c>
      <c r="AM2759">
        <v>100</v>
      </c>
      <c r="AN2759">
        <v>2400</v>
      </c>
      <c r="AO2759" t="s">
        <v>118</v>
      </c>
      <c r="AP2759">
        <v>3</v>
      </c>
      <c r="AQ2759">
        <v>-130</v>
      </c>
      <c r="AR2759">
        <v>-64</v>
      </c>
      <c r="AZ2759">
        <v>4552</v>
      </c>
      <c r="BA2759">
        <v>1</v>
      </c>
      <c r="BB2759" t="str">
        <f t="shared" si="1038"/>
        <v xml:space="preserve">N607SR  </v>
      </c>
      <c r="BC2759">
        <v>1</v>
      </c>
      <c r="BE2759">
        <v>0</v>
      </c>
      <c r="BF2759">
        <v>0</v>
      </c>
      <c r="BG2759">
        <v>0</v>
      </c>
      <c r="BH2759">
        <v>2175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 t="shared" si="1042"/>
        <v>06:20:00.502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6</v>
      </c>
      <c r="CP2759" t="s">
        <v>119</v>
      </c>
      <c r="CQ2759">
        <v>465</v>
      </c>
      <c r="CR2759">
        <v>0</v>
      </c>
      <c r="CW2759">
        <v>4727625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 t="shared" si="1039"/>
        <v>08/29/2020 06:19:57.253</v>
      </c>
      <c r="C2760" t="str">
        <f t="shared" si="1036"/>
        <v>FFDFD3C0</v>
      </c>
      <c r="D2760" t="s">
        <v>121</v>
      </c>
      <c r="E2760">
        <v>11</v>
      </c>
      <c r="F2760">
        <v>1011</v>
      </c>
      <c r="G2760" t="s">
        <v>125</v>
      </c>
      <c r="J2760" t="s">
        <v>123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040"/>
        <v>06:20:00.500</v>
      </c>
      <c r="T2760" t="str">
        <f t="shared" si="1041"/>
        <v>06:20:00.100</v>
      </c>
      <c r="U2760" t="str">
        <f t="shared" si="1037"/>
        <v>A7E2E0</v>
      </c>
      <c r="V2760">
        <v>0</v>
      </c>
      <c r="W2760">
        <v>0</v>
      </c>
      <c r="X2760">
        <v>1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0</v>
      </c>
      <c r="AI2760" t="s">
        <v>1414</v>
      </c>
      <c r="AJ2760">
        <v>38.888103999999998</v>
      </c>
      <c r="AK2760" t="s">
        <v>1411</v>
      </c>
      <c r="AL2760">
        <v>-87.610667000000007</v>
      </c>
      <c r="AM2760">
        <v>100</v>
      </c>
      <c r="AN2760">
        <v>2400</v>
      </c>
      <c r="AO2760" t="s">
        <v>118</v>
      </c>
      <c r="AP2760">
        <v>3</v>
      </c>
      <c r="AQ2760">
        <v>-130</v>
      </c>
      <c r="AR2760">
        <v>-64</v>
      </c>
      <c r="AZ2760">
        <v>4552</v>
      </c>
      <c r="BA2760">
        <v>1</v>
      </c>
      <c r="BB2760" t="str">
        <f t="shared" si="1038"/>
        <v xml:space="preserve">N607SR  </v>
      </c>
      <c r="BC2760">
        <v>1</v>
      </c>
      <c r="BE2760">
        <v>0</v>
      </c>
      <c r="BF2760">
        <v>0</v>
      </c>
      <c r="BG2760">
        <v>0</v>
      </c>
      <c r="BH2760">
        <v>2175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 t="shared" si="1042"/>
        <v>06:20:00.502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5</v>
      </c>
      <c r="CP2760" t="s">
        <v>119</v>
      </c>
      <c r="CQ2760">
        <v>177</v>
      </c>
      <c r="CR2760">
        <v>2</v>
      </c>
      <c r="CW2760">
        <v>1680791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 t="shared" si="1039"/>
        <v>08/29/2020 06:19:57.253</v>
      </c>
      <c r="C2761" t="str">
        <f t="shared" si="1036"/>
        <v>FFDFD3C0</v>
      </c>
      <c r="D2761" t="s">
        <v>113</v>
      </c>
      <c r="E2761">
        <v>5</v>
      </c>
      <c r="H2761">
        <v>163</v>
      </c>
      <c r="I2761" t="s">
        <v>114</v>
      </c>
      <c r="J2761" t="s">
        <v>115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040"/>
        <v>06:20:00.500</v>
      </c>
      <c r="T2761" t="str">
        <f t="shared" si="1041"/>
        <v>06:20:00.100</v>
      </c>
      <c r="U2761" t="str">
        <f t="shared" si="1037"/>
        <v>A7E2E0</v>
      </c>
      <c r="V2761">
        <v>0</v>
      </c>
      <c r="W2761">
        <v>0</v>
      </c>
      <c r="X2761">
        <v>1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0</v>
      </c>
      <c r="AI2761" t="s">
        <v>1414</v>
      </c>
      <c r="AJ2761">
        <v>38.888103999999998</v>
      </c>
      <c r="AK2761" t="s">
        <v>1411</v>
      </c>
      <c r="AL2761">
        <v>-87.610667000000007</v>
      </c>
      <c r="AM2761">
        <v>100</v>
      </c>
      <c r="AN2761">
        <v>2400</v>
      </c>
      <c r="AO2761" t="s">
        <v>118</v>
      </c>
      <c r="AP2761">
        <v>3</v>
      </c>
      <c r="AQ2761">
        <v>-130</v>
      </c>
      <c r="AR2761">
        <v>-64</v>
      </c>
      <c r="AZ2761">
        <v>4552</v>
      </c>
      <c r="BA2761">
        <v>1</v>
      </c>
      <c r="BB2761" t="str">
        <f t="shared" si="1038"/>
        <v xml:space="preserve">N607SR  </v>
      </c>
      <c r="BC2761">
        <v>1</v>
      </c>
      <c r="BE2761">
        <v>0</v>
      </c>
      <c r="BF2761">
        <v>0</v>
      </c>
      <c r="BG2761">
        <v>0</v>
      </c>
      <c r="BH2761">
        <v>2175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 t="shared" si="1042"/>
        <v>06:20:00.502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6</v>
      </c>
      <c r="CP2761" t="s">
        <v>119</v>
      </c>
      <c r="CQ2761">
        <v>465</v>
      </c>
      <c r="CR2761">
        <v>0</v>
      </c>
      <c r="CW2761">
        <v>4727625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 t="shared" si="1039"/>
        <v>08/29/2020 06:19:57.253</v>
      </c>
      <c r="C2762" t="str">
        <f t="shared" si="1036"/>
        <v>FFDFD3C0</v>
      </c>
      <c r="D2762" t="s">
        <v>128</v>
      </c>
      <c r="E2762">
        <v>5</v>
      </c>
      <c r="H2762">
        <v>241</v>
      </c>
      <c r="I2762" t="s">
        <v>129</v>
      </c>
      <c r="J2762" t="s">
        <v>130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040"/>
        <v>06:20:00.500</v>
      </c>
      <c r="T2762" t="str">
        <f t="shared" si="1041"/>
        <v>06:20:00.100</v>
      </c>
      <c r="U2762" t="str">
        <f t="shared" si="1037"/>
        <v>A7E2E0</v>
      </c>
      <c r="V2762">
        <v>0</v>
      </c>
      <c r="W2762">
        <v>0</v>
      </c>
      <c r="X2762">
        <v>1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0</v>
      </c>
      <c r="AI2762" t="s">
        <v>1414</v>
      </c>
      <c r="AJ2762">
        <v>38.888103999999998</v>
      </c>
      <c r="AK2762" t="s">
        <v>1411</v>
      </c>
      <c r="AL2762">
        <v>-87.610667000000007</v>
      </c>
      <c r="AM2762">
        <v>100</v>
      </c>
      <c r="AN2762">
        <v>2400</v>
      </c>
      <c r="AO2762" t="s">
        <v>118</v>
      </c>
      <c r="AP2762">
        <v>3</v>
      </c>
      <c r="AQ2762">
        <v>-130</v>
      </c>
      <c r="AR2762">
        <v>-64</v>
      </c>
      <c r="AZ2762">
        <v>4552</v>
      </c>
      <c r="BA2762">
        <v>1</v>
      </c>
      <c r="BB2762" t="str">
        <f t="shared" si="1038"/>
        <v xml:space="preserve">N607SR  </v>
      </c>
      <c r="BC2762">
        <v>1</v>
      </c>
      <c r="BE2762">
        <v>0</v>
      </c>
      <c r="BF2762">
        <v>0</v>
      </c>
      <c r="BG2762">
        <v>0</v>
      </c>
      <c r="BH2762">
        <v>2175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 t="shared" si="1042"/>
        <v>06:20:00.502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6</v>
      </c>
      <c r="CP2762" t="s">
        <v>119</v>
      </c>
      <c r="CQ2762">
        <v>465</v>
      </c>
      <c r="CR2762">
        <v>0</v>
      </c>
      <c r="CW2762">
        <v>4727625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 t="shared" ref="A2763:A2768" si="1043">"08/29/2020 06:19:58.425"</f>
        <v>08/29/2020 06:19:58.425</v>
      </c>
      <c r="C2763" t="str">
        <f t="shared" si="1036"/>
        <v>FFDFD3C0</v>
      </c>
      <c r="D2763" t="s">
        <v>121</v>
      </c>
      <c r="E2763">
        <v>10</v>
      </c>
      <c r="F2763">
        <v>1010</v>
      </c>
      <c r="G2763" t="s">
        <v>114</v>
      </c>
      <c r="J2763" t="s">
        <v>123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ref="S2763:S2768" si="1044">"06:20:01.641"</f>
        <v>06:20:01.641</v>
      </c>
      <c r="T2763" t="str">
        <f>"06:20:01.141"</f>
        <v>06:20:01.141</v>
      </c>
      <c r="U2763" t="str">
        <f t="shared" si="1037"/>
        <v>A7E2E0</v>
      </c>
      <c r="V2763">
        <v>0</v>
      </c>
      <c r="W2763">
        <v>0</v>
      </c>
      <c r="X2763">
        <v>1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0</v>
      </c>
      <c r="AI2763" t="s">
        <v>1415</v>
      </c>
      <c r="AJ2763">
        <v>38.887416999999999</v>
      </c>
      <c r="AK2763" t="s">
        <v>1416</v>
      </c>
      <c r="AL2763">
        <v>-87.610602</v>
      </c>
      <c r="AM2763">
        <v>100</v>
      </c>
      <c r="AN2763">
        <v>2400</v>
      </c>
      <c r="AO2763" t="s">
        <v>118</v>
      </c>
      <c r="AP2763">
        <v>3</v>
      </c>
      <c r="AQ2763">
        <v>-130</v>
      </c>
      <c r="AR2763">
        <v>-128</v>
      </c>
      <c r="AZ2763">
        <v>4552</v>
      </c>
      <c r="BA2763">
        <v>1</v>
      </c>
      <c r="BB2763" t="str">
        <f t="shared" si="1038"/>
        <v xml:space="preserve">N607SR  </v>
      </c>
      <c r="BC2763">
        <v>1</v>
      </c>
      <c r="BE2763">
        <v>0</v>
      </c>
      <c r="BF2763">
        <v>0</v>
      </c>
      <c r="BG2763">
        <v>0</v>
      </c>
      <c r="BH2763">
        <v>2175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 t="shared" ref="BW2763:BW2768" si="1045">"06:20:01.644"</f>
        <v>06:20:01.644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6</v>
      </c>
      <c r="CP2763" t="s">
        <v>119</v>
      </c>
      <c r="CQ2763">
        <v>465</v>
      </c>
      <c r="CR2763">
        <v>0</v>
      </c>
      <c r="CW2763">
        <v>4727652</v>
      </c>
      <c r="CY2763">
        <v>1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 t="shared" si="1043"/>
        <v>08/29/2020 06:19:58.425</v>
      </c>
      <c r="C2764" t="str">
        <f t="shared" si="1036"/>
        <v>FFDFD3C0</v>
      </c>
      <c r="D2764" t="s">
        <v>939</v>
      </c>
      <c r="E2764">
        <v>10</v>
      </c>
      <c r="H2764">
        <v>79</v>
      </c>
      <c r="I2764" t="s">
        <v>940</v>
      </c>
      <c r="J2764" t="s">
        <v>130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044"/>
        <v>06:20:01.641</v>
      </c>
      <c r="T2764" t="str">
        <f>"06:20:01.141"</f>
        <v>06:20:01.141</v>
      </c>
      <c r="U2764" t="str">
        <f t="shared" si="1037"/>
        <v>A7E2E0</v>
      </c>
      <c r="V2764">
        <v>0</v>
      </c>
      <c r="W2764">
        <v>0</v>
      </c>
      <c r="X2764">
        <v>1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0</v>
      </c>
      <c r="AI2764" t="s">
        <v>1415</v>
      </c>
      <c r="AJ2764">
        <v>38.887416999999999</v>
      </c>
      <c r="AK2764" t="s">
        <v>1416</v>
      </c>
      <c r="AL2764">
        <v>-87.610602</v>
      </c>
      <c r="AM2764">
        <v>100</v>
      </c>
      <c r="AN2764">
        <v>2400</v>
      </c>
      <c r="AO2764" t="s">
        <v>118</v>
      </c>
      <c r="AP2764">
        <v>3</v>
      </c>
      <c r="AQ2764">
        <v>-130</v>
      </c>
      <c r="AR2764">
        <v>-128</v>
      </c>
      <c r="AZ2764">
        <v>4552</v>
      </c>
      <c r="BA2764">
        <v>1</v>
      </c>
      <c r="BB2764" t="str">
        <f t="shared" si="1038"/>
        <v xml:space="preserve">N607SR  </v>
      </c>
      <c r="BC2764">
        <v>1</v>
      </c>
      <c r="BE2764">
        <v>0</v>
      </c>
      <c r="BF2764">
        <v>0</v>
      </c>
      <c r="BG2764">
        <v>0</v>
      </c>
      <c r="BH2764">
        <v>2175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 t="shared" si="1045"/>
        <v>06:20:01.644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6</v>
      </c>
      <c r="CP2764" t="s">
        <v>119</v>
      </c>
      <c r="CQ2764">
        <v>465</v>
      </c>
      <c r="CR2764">
        <v>0</v>
      </c>
      <c r="CW2764">
        <v>4727652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 t="shared" si="1043"/>
        <v>08/29/2020 06:19:58.425</v>
      </c>
      <c r="C2765" t="str">
        <f t="shared" si="1036"/>
        <v>FFDFD3C0</v>
      </c>
      <c r="D2765" t="s">
        <v>121</v>
      </c>
      <c r="E2765">
        <v>11</v>
      </c>
      <c r="F2765">
        <v>1011</v>
      </c>
      <c r="G2765" t="s">
        <v>125</v>
      </c>
      <c r="J2765" t="s">
        <v>123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044"/>
        <v>06:20:01.641</v>
      </c>
      <c r="T2765" t="str">
        <f>"06:20:00.541"</f>
        <v>06:20:00.541</v>
      </c>
      <c r="U2765" t="str">
        <f t="shared" si="1037"/>
        <v>A7E2E0</v>
      </c>
      <c r="V2765">
        <v>0</v>
      </c>
      <c r="W2765">
        <v>0</v>
      </c>
      <c r="X2765">
        <v>1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0</v>
      </c>
      <c r="AI2765" t="s">
        <v>1415</v>
      </c>
      <c r="AJ2765">
        <v>38.887416999999999</v>
      </c>
      <c r="AK2765" t="s">
        <v>1416</v>
      </c>
      <c r="AL2765">
        <v>-87.610602</v>
      </c>
      <c r="AM2765">
        <v>100</v>
      </c>
      <c r="AN2765">
        <v>2400</v>
      </c>
      <c r="AO2765" t="s">
        <v>118</v>
      </c>
      <c r="AP2765">
        <v>3</v>
      </c>
      <c r="AQ2765">
        <v>-130</v>
      </c>
      <c r="AR2765">
        <v>-64</v>
      </c>
      <c r="AZ2765">
        <v>4552</v>
      </c>
      <c r="BA2765">
        <v>1</v>
      </c>
      <c r="BB2765" t="str">
        <f t="shared" si="1038"/>
        <v xml:space="preserve">N607SR  </v>
      </c>
      <c r="BC2765">
        <v>1</v>
      </c>
      <c r="BE2765">
        <v>0</v>
      </c>
      <c r="BF2765">
        <v>0</v>
      </c>
      <c r="BG2765">
        <v>0</v>
      </c>
      <c r="BH2765">
        <v>2175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 t="shared" si="1045"/>
        <v>06:20:01.644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5</v>
      </c>
      <c r="CP2765" t="s">
        <v>119</v>
      </c>
      <c r="CQ2765">
        <v>177</v>
      </c>
      <c r="CR2765">
        <v>2</v>
      </c>
      <c r="CW2765">
        <v>1680964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 t="shared" si="1043"/>
        <v>08/29/2020 06:19:58.425</v>
      </c>
      <c r="C2766" t="str">
        <f t="shared" si="1036"/>
        <v>FFDFD3C0</v>
      </c>
      <c r="D2766" t="s">
        <v>113</v>
      </c>
      <c r="E2766">
        <v>5</v>
      </c>
      <c r="H2766">
        <v>163</v>
      </c>
      <c r="I2766" t="s">
        <v>114</v>
      </c>
      <c r="J2766" t="s">
        <v>115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044"/>
        <v>06:20:01.641</v>
      </c>
      <c r="T2766" t="str">
        <f>"06:20:01.141"</f>
        <v>06:20:01.141</v>
      </c>
      <c r="U2766" t="str">
        <f t="shared" si="1037"/>
        <v>A7E2E0</v>
      </c>
      <c r="V2766">
        <v>0</v>
      </c>
      <c r="W2766">
        <v>0</v>
      </c>
      <c r="X2766">
        <v>1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0</v>
      </c>
      <c r="AI2766" t="s">
        <v>1415</v>
      </c>
      <c r="AJ2766">
        <v>38.887416999999999</v>
      </c>
      <c r="AK2766" t="s">
        <v>1416</v>
      </c>
      <c r="AL2766">
        <v>-87.610602</v>
      </c>
      <c r="AM2766">
        <v>100</v>
      </c>
      <c r="AN2766">
        <v>2400</v>
      </c>
      <c r="AO2766" t="s">
        <v>118</v>
      </c>
      <c r="AP2766">
        <v>3</v>
      </c>
      <c r="AQ2766">
        <v>-130</v>
      </c>
      <c r="AR2766">
        <v>-128</v>
      </c>
      <c r="AZ2766">
        <v>4552</v>
      </c>
      <c r="BA2766">
        <v>1</v>
      </c>
      <c r="BB2766" t="str">
        <f t="shared" si="1038"/>
        <v xml:space="preserve">N607SR  </v>
      </c>
      <c r="BC2766">
        <v>1</v>
      </c>
      <c r="BE2766">
        <v>0</v>
      </c>
      <c r="BF2766">
        <v>0</v>
      </c>
      <c r="BG2766">
        <v>0</v>
      </c>
      <c r="BH2766">
        <v>2175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 t="shared" si="1045"/>
        <v>06:20:01.644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6</v>
      </c>
      <c r="CP2766" t="s">
        <v>119</v>
      </c>
      <c r="CQ2766">
        <v>465</v>
      </c>
      <c r="CR2766">
        <v>0</v>
      </c>
      <c r="CW2766">
        <v>4727652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 t="shared" si="1043"/>
        <v>08/29/2020 06:19:58.425</v>
      </c>
      <c r="C2767" t="str">
        <f t="shared" si="1036"/>
        <v>FFDFD3C0</v>
      </c>
      <c r="D2767" t="s">
        <v>128</v>
      </c>
      <c r="E2767">
        <v>5</v>
      </c>
      <c r="H2767">
        <v>241</v>
      </c>
      <c r="I2767" t="s">
        <v>129</v>
      </c>
      <c r="J2767" t="s">
        <v>130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044"/>
        <v>06:20:01.641</v>
      </c>
      <c r="T2767" t="str">
        <f>"06:20:01.141"</f>
        <v>06:20:01.141</v>
      </c>
      <c r="U2767" t="str">
        <f t="shared" si="1037"/>
        <v>A7E2E0</v>
      </c>
      <c r="V2767">
        <v>0</v>
      </c>
      <c r="W2767">
        <v>0</v>
      </c>
      <c r="X2767">
        <v>1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0</v>
      </c>
      <c r="AI2767" t="s">
        <v>1415</v>
      </c>
      <c r="AJ2767">
        <v>38.887416999999999</v>
      </c>
      <c r="AK2767" t="s">
        <v>1416</v>
      </c>
      <c r="AL2767">
        <v>-87.610602</v>
      </c>
      <c r="AM2767">
        <v>100</v>
      </c>
      <c r="AN2767">
        <v>2400</v>
      </c>
      <c r="AO2767" t="s">
        <v>118</v>
      </c>
      <c r="AP2767">
        <v>3</v>
      </c>
      <c r="AQ2767">
        <v>-130</v>
      </c>
      <c r="AR2767">
        <v>-128</v>
      </c>
      <c r="AZ2767">
        <v>4552</v>
      </c>
      <c r="BA2767">
        <v>1</v>
      </c>
      <c r="BB2767" t="str">
        <f t="shared" si="1038"/>
        <v xml:space="preserve">N607SR  </v>
      </c>
      <c r="BC2767">
        <v>1</v>
      </c>
      <c r="BE2767">
        <v>0</v>
      </c>
      <c r="BF2767">
        <v>0</v>
      </c>
      <c r="BG2767">
        <v>0</v>
      </c>
      <c r="BH2767">
        <v>2175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 t="shared" si="1045"/>
        <v>06:20:01.644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6</v>
      </c>
      <c r="CP2767" t="s">
        <v>119</v>
      </c>
      <c r="CQ2767">
        <v>465</v>
      </c>
      <c r="CR2767">
        <v>0</v>
      </c>
      <c r="CW2767">
        <v>4727652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 t="shared" si="1043"/>
        <v>08/29/2020 06:19:58.425</v>
      </c>
      <c r="C2768" t="str">
        <f t="shared" si="1036"/>
        <v>FFDFD3C0</v>
      </c>
      <c r="D2768" t="s">
        <v>121</v>
      </c>
      <c r="E2768">
        <v>13</v>
      </c>
      <c r="F2768">
        <v>1013</v>
      </c>
      <c r="G2768" t="s">
        <v>122</v>
      </c>
      <c r="J2768" t="s">
        <v>123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044"/>
        <v>06:20:01.641</v>
      </c>
      <c r="T2768" t="str">
        <f>"06:20:01.141"</f>
        <v>06:20:01.141</v>
      </c>
      <c r="U2768" t="str">
        <f t="shared" si="1037"/>
        <v>A7E2E0</v>
      </c>
      <c r="V2768">
        <v>0</v>
      </c>
      <c r="W2768">
        <v>0</v>
      </c>
      <c r="X2768">
        <v>1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0</v>
      </c>
      <c r="AI2768" t="s">
        <v>1415</v>
      </c>
      <c r="AJ2768">
        <v>38.887416999999999</v>
      </c>
      <c r="AK2768" t="s">
        <v>1416</v>
      </c>
      <c r="AL2768">
        <v>-87.610602</v>
      </c>
      <c r="AM2768">
        <v>100</v>
      </c>
      <c r="AN2768">
        <v>2400</v>
      </c>
      <c r="AO2768" t="s">
        <v>118</v>
      </c>
      <c r="AP2768">
        <v>3</v>
      </c>
      <c r="AQ2768">
        <v>-130</v>
      </c>
      <c r="AR2768">
        <v>-128</v>
      </c>
      <c r="AZ2768">
        <v>4552</v>
      </c>
      <c r="BA2768">
        <v>1</v>
      </c>
      <c r="BB2768" t="str">
        <f t="shared" si="1038"/>
        <v xml:space="preserve">N607SR  </v>
      </c>
      <c r="BC2768">
        <v>1</v>
      </c>
      <c r="BE2768">
        <v>0</v>
      </c>
      <c r="BF2768">
        <v>0</v>
      </c>
      <c r="BG2768">
        <v>0</v>
      </c>
      <c r="BH2768">
        <v>2175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 t="shared" si="1045"/>
        <v>06:20:01.644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6</v>
      </c>
      <c r="CP2768" t="s">
        <v>119</v>
      </c>
      <c r="CQ2768">
        <v>465</v>
      </c>
      <c r="CR2768">
        <v>0</v>
      </c>
      <c r="CW2768">
        <v>4727652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 t="shared" ref="A2769:A2774" si="1046">"08/29/2020 06:19:59.468"</f>
        <v>08/29/2020 06:19:59.468</v>
      </c>
      <c r="C2769" t="str">
        <f t="shared" si="1036"/>
        <v>FFDFD3C0</v>
      </c>
      <c r="D2769" t="s">
        <v>113</v>
      </c>
      <c r="E2769">
        <v>5</v>
      </c>
      <c r="H2769">
        <v>163</v>
      </c>
      <c r="I2769" t="s">
        <v>114</v>
      </c>
      <c r="J2769" t="s">
        <v>115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ref="S2769:S2774" si="1047">"06:20:02.711"</f>
        <v>06:20:02.711</v>
      </c>
      <c r="T2769" t="str">
        <f t="shared" ref="T2769:T2774" si="1048">"06:20:02.311"</f>
        <v>06:20:02.311</v>
      </c>
      <c r="U2769" t="str">
        <f t="shared" si="1037"/>
        <v>A7E2E0</v>
      </c>
      <c r="V2769">
        <v>0</v>
      </c>
      <c r="W2769">
        <v>0</v>
      </c>
      <c r="X2769">
        <v>1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0</v>
      </c>
      <c r="AI2769" t="s">
        <v>1417</v>
      </c>
      <c r="AJ2769">
        <v>38.886752000000001</v>
      </c>
      <c r="AK2769" t="s">
        <v>1416</v>
      </c>
      <c r="AL2769">
        <v>-87.610602</v>
      </c>
      <c r="AM2769">
        <v>100</v>
      </c>
      <c r="AN2769">
        <v>2400</v>
      </c>
      <c r="AO2769" t="s">
        <v>118</v>
      </c>
      <c r="AP2769">
        <v>3</v>
      </c>
      <c r="AQ2769">
        <v>-129</v>
      </c>
      <c r="AR2769">
        <v>-192</v>
      </c>
      <c r="AZ2769">
        <v>4552</v>
      </c>
      <c r="BA2769">
        <v>1</v>
      </c>
      <c r="BB2769" t="str">
        <f t="shared" si="1038"/>
        <v xml:space="preserve">N607SR  </v>
      </c>
      <c r="BC2769">
        <v>1</v>
      </c>
      <c r="BE2769">
        <v>0</v>
      </c>
      <c r="BF2769">
        <v>0</v>
      </c>
      <c r="BG2769">
        <v>0</v>
      </c>
      <c r="BH2769">
        <v>2175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 t="shared" ref="BW2769:BW2774" si="1049">"06:20:02.717"</f>
        <v>06:20:02.717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6</v>
      </c>
      <c r="CP2769" t="s">
        <v>119</v>
      </c>
      <c r="CQ2769">
        <v>465</v>
      </c>
      <c r="CR2769">
        <v>0</v>
      </c>
      <c r="CW2769">
        <v>4727679</v>
      </c>
      <c r="CY2769">
        <v>1</v>
      </c>
      <c r="CZ2769">
        <v>0</v>
      </c>
      <c r="DA2769">
        <v>0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 t="shared" si="1046"/>
        <v>08/29/2020 06:19:59.468</v>
      </c>
      <c r="C2770" t="str">
        <f t="shared" si="1036"/>
        <v>FFDFD3C0</v>
      </c>
      <c r="D2770" t="s">
        <v>121</v>
      </c>
      <c r="E2770">
        <v>11</v>
      </c>
      <c r="F2770">
        <v>1011</v>
      </c>
      <c r="G2770" t="s">
        <v>125</v>
      </c>
      <c r="J2770" t="s">
        <v>123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047"/>
        <v>06:20:02.711</v>
      </c>
      <c r="T2770" t="str">
        <f t="shared" si="1048"/>
        <v>06:20:02.311</v>
      </c>
      <c r="U2770" t="str">
        <f t="shared" si="1037"/>
        <v>A7E2E0</v>
      </c>
      <c r="V2770">
        <v>0</v>
      </c>
      <c r="W2770">
        <v>0</v>
      </c>
      <c r="X2770">
        <v>1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0</v>
      </c>
      <c r="AI2770" t="s">
        <v>1417</v>
      </c>
      <c r="AJ2770">
        <v>38.886752000000001</v>
      </c>
      <c r="AK2770" t="s">
        <v>1416</v>
      </c>
      <c r="AL2770">
        <v>-87.610602</v>
      </c>
      <c r="AM2770">
        <v>100</v>
      </c>
      <c r="AN2770">
        <v>2400</v>
      </c>
      <c r="AO2770" t="s">
        <v>118</v>
      </c>
      <c r="AP2770">
        <v>3</v>
      </c>
      <c r="AQ2770">
        <v>-129</v>
      </c>
      <c r="AR2770">
        <v>-192</v>
      </c>
      <c r="AZ2770">
        <v>4552</v>
      </c>
      <c r="BA2770">
        <v>1</v>
      </c>
      <c r="BB2770" t="str">
        <f t="shared" si="1038"/>
        <v xml:space="preserve">N607SR  </v>
      </c>
      <c r="BC2770">
        <v>1</v>
      </c>
      <c r="BE2770">
        <v>0</v>
      </c>
      <c r="BF2770">
        <v>0</v>
      </c>
      <c r="BG2770">
        <v>0</v>
      </c>
      <c r="BH2770">
        <v>2175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 t="shared" si="1049"/>
        <v>06:20:02.717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5</v>
      </c>
      <c r="CP2770" t="s">
        <v>119</v>
      </c>
      <c r="CQ2770">
        <v>177</v>
      </c>
      <c r="CR2770">
        <v>2</v>
      </c>
      <c r="CW2770">
        <v>1681175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 t="shared" si="1046"/>
        <v>08/29/2020 06:19:59.468</v>
      </c>
      <c r="C2771" t="str">
        <f t="shared" si="1036"/>
        <v>FFDFD3C0</v>
      </c>
      <c r="D2771" t="s">
        <v>128</v>
      </c>
      <c r="E2771">
        <v>5</v>
      </c>
      <c r="H2771">
        <v>241</v>
      </c>
      <c r="I2771" t="s">
        <v>129</v>
      </c>
      <c r="J2771" t="s">
        <v>130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1047"/>
        <v>06:20:02.711</v>
      </c>
      <c r="T2771" t="str">
        <f t="shared" si="1048"/>
        <v>06:20:02.311</v>
      </c>
      <c r="U2771" t="str">
        <f t="shared" si="1037"/>
        <v>A7E2E0</v>
      </c>
      <c r="V2771">
        <v>0</v>
      </c>
      <c r="W2771">
        <v>0</v>
      </c>
      <c r="X2771">
        <v>1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0</v>
      </c>
      <c r="AI2771" t="s">
        <v>1417</v>
      </c>
      <c r="AJ2771">
        <v>38.886752000000001</v>
      </c>
      <c r="AK2771" t="s">
        <v>1416</v>
      </c>
      <c r="AL2771">
        <v>-87.610602</v>
      </c>
      <c r="AM2771">
        <v>100</v>
      </c>
      <c r="AN2771">
        <v>2400</v>
      </c>
      <c r="AO2771" t="s">
        <v>118</v>
      </c>
      <c r="AP2771">
        <v>3</v>
      </c>
      <c r="AQ2771">
        <v>-129</v>
      </c>
      <c r="AR2771">
        <v>-192</v>
      </c>
      <c r="AZ2771">
        <v>4552</v>
      </c>
      <c r="BA2771">
        <v>1</v>
      </c>
      <c r="BB2771" t="str">
        <f t="shared" si="1038"/>
        <v xml:space="preserve">N607SR  </v>
      </c>
      <c r="BC2771">
        <v>1</v>
      </c>
      <c r="BE2771">
        <v>0</v>
      </c>
      <c r="BF2771">
        <v>0</v>
      </c>
      <c r="BG2771">
        <v>0</v>
      </c>
      <c r="BH2771">
        <v>2175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 t="shared" si="1049"/>
        <v>06:20:02.717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6</v>
      </c>
      <c r="CP2771" t="s">
        <v>119</v>
      </c>
      <c r="CQ2771">
        <v>465</v>
      </c>
      <c r="CR2771">
        <v>0</v>
      </c>
      <c r="CW2771">
        <v>4727679</v>
      </c>
      <c r="CY2771">
        <v>1</v>
      </c>
      <c r="CZ2771">
        <v>0</v>
      </c>
      <c r="DA2771">
        <v>1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 t="shared" si="1046"/>
        <v>08/29/2020 06:19:59.468</v>
      </c>
      <c r="C2772" t="str">
        <f t="shared" si="1036"/>
        <v>FFDFD3C0</v>
      </c>
      <c r="D2772" t="s">
        <v>121</v>
      </c>
      <c r="E2772">
        <v>13</v>
      </c>
      <c r="F2772">
        <v>1013</v>
      </c>
      <c r="G2772" t="s">
        <v>122</v>
      </c>
      <c r="J2772" t="s">
        <v>123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047"/>
        <v>06:20:02.711</v>
      </c>
      <c r="T2772" t="str">
        <f t="shared" si="1048"/>
        <v>06:20:02.311</v>
      </c>
      <c r="U2772" t="str">
        <f t="shared" si="1037"/>
        <v>A7E2E0</v>
      </c>
      <c r="V2772">
        <v>0</v>
      </c>
      <c r="W2772">
        <v>0</v>
      </c>
      <c r="X2772">
        <v>1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0</v>
      </c>
      <c r="AI2772" t="s">
        <v>1417</v>
      </c>
      <c r="AJ2772">
        <v>38.886752000000001</v>
      </c>
      <c r="AK2772" t="s">
        <v>1416</v>
      </c>
      <c r="AL2772">
        <v>-87.610602</v>
      </c>
      <c r="AM2772">
        <v>100</v>
      </c>
      <c r="AN2772">
        <v>2400</v>
      </c>
      <c r="AO2772" t="s">
        <v>118</v>
      </c>
      <c r="AP2772">
        <v>3</v>
      </c>
      <c r="AQ2772">
        <v>-129</v>
      </c>
      <c r="AR2772">
        <v>-192</v>
      </c>
      <c r="AZ2772">
        <v>4552</v>
      </c>
      <c r="BA2772">
        <v>1</v>
      </c>
      <c r="BB2772" t="str">
        <f t="shared" si="1038"/>
        <v xml:space="preserve">N607SR  </v>
      </c>
      <c r="BC2772">
        <v>1</v>
      </c>
      <c r="BE2772">
        <v>0</v>
      </c>
      <c r="BF2772">
        <v>0</v>
      </c>
      <c r="BG2772">
        <v>0</v>
      </c>
      <c r="BH2772">
        <v>2175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 t="shared" si="1049"/>
        <v>06:20:02.717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6</v>
      </c>
      <c r="CP2772" t="s">
        <v>119</v>
      </c>
      <c r="CQ2772">
        <v>465</v>
      </c>
      <c r="CR2772">
        <v>0</v>
      </c>
      <c r="CW2772">
        <v>4727679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 t="shared" si="1046"/>
        <v>08/29/2020 06:19:59.468</v>
      </c>
      <c r="C2773" t="str">
        <f t="shared" si="1036"/>
        <v>FFDFD3C0</v>
      </c>
      <c r="D2773" t="s">
        <v>939</v>
      </c>
      <c r="E2773">
        <v>10</v>
      </c>
      <c r="H2773">
        <v>79</v>
      </c>
      <c r="I2773" t="s">
        <v>940</v>
      </c>
      <c r="J2773" t="s">
        <v>130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047"/>
        <v>06:20:02.711</v>
      </c>
      <c r="T2773" t="str">
        <f t="shared" si="1048"/>
        <v>06:20:02.311</v>
      </c>
      <c r="U2773" t="str">
        <f t="shared" si="1037"/>
        <v>A7E2E0</v>
      </c>
      <c r="V2773">
        <v>0</v>
      </c>
      <c r="W2773">
        <v>0</v>
      </c>
      <c r="X2773">
        <v>1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0</v>
      </c>
      <c r="AI2773" t="s">
        <v>1417</v>
      </c>
      <c r="AJ2773">
        <v>38.886752000000001</v>
      </c>
      <c r="AK2773" t="s">
        <v>1416</v>
      </c>
      <c r="AL2773">
        <v>-87.610602</v>
      </c>
      <c r="AM2773">
        <v>100</v>
      </c>
      <c r="AN2773">
        <v>2400</v>
      </c>
      <c r="AO2773" t="s">
        <v>118</v>
      </c>
      <c r="AP2773">
        <v>3</v>
      </c>
      <c r="AQ2773">
        <v>-129</v>
      </c>
      <c r="AR2773">
        <v>-192</v>
      </c>
      <c r="AZ2773">
        <v>4552</v>
      </c>
      <c r="BA2773">
        <v>1</v>
      </c>
      <c r="BB2773" t="str">
        <f t="shared" si="1038"/>
        <v xml:space="preserve">N607SR  </v>
      </c>
      <c r="BC2773">
        <v>1</v>
      </c>
      <c r="BE2773">
        <v>0</v>
      </c>
      <c r="BF2773">
        <v>0</v>
      </c>
      <c r="BG2773">
        <v>0</v>
      </c>
      <c r="BH2773">
        <v>2175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 t="shared" si="1049"/>
        <v>06:20:02.717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6</v>
      </c>
      <c r="CP2773" t="s">
        <v>119</v>
      </c>
      <c r="CQ2773">
        <v>465</v>
      </c>
      <c r="CR2773">
        <v>0</v>
      </c>
      <c r="CW2773">
        <v>4727679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 t="shared" si="1046"/>
        <v>08/29/2020 06:19:59.468</v>
      </c>
      <c r="C2774" t="str">
        <f t="shared" si="1036"/>
        <v>FFDFD3C0</v>
      </c>
      <c r="D2774" t="s">
        <v>121</v>
      </c>
      <c r="E2774">
        <v>10</v>
      </c>
      <c r="F2774">
        <v>1010</v>
      </c>
      <c r="G2774" t="s">
        <v>114</v>
      </c>
      <c r="J2774" t="s">
        <v>123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si="1047"/>
        <v>06:20:02.711</v>
      </c>
      <c r="T2774" t="str">
        <f t="shared" si="1048"/>
        <v>06:20:02.311</v>
      </c>
      <c r="U2774" t="str">
        <f t="shared" si="1037"/>
        <v>A7E2E0</v>
      </c>
      <c r="V2774">
        <v>0</v>
      </c>
      <c r="W2774">
        <v>0</v>
      </c>
      <c r="X2774">
        <v>1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0</v>
      </c>
      <c r="AI2774" t="s">
        <v>1417</v>
      </c>
      <c r="AJ2774">
        <v>38.886752000000001</v>
      </c>
      <c r="AK2774" t="s">
        <v>1416</v>
      </c>
      <c r="AL2774">
        <v>-87.610602</v>
      </c>
      <c r="AM2774">
        <v>100</v>
      </c>
      <c r="AN2774">
        <v>2400</v>
      </c>
      <c r="AO2774" t="s">
        <v>118</v>
      </c>
      <c r="AP2774">
        <v>3</v>
      </c>
      <c r="AQ2774">
        <v>-129</v>
      </c>
      <c r="AR2774">
        <v>-192</v>
      </c>
      <c r="AZ2774">
        <v>4552</v>
      </c>
      <c r="BA2774">
        <v>1</v>
      </c>
      <c r="BB2774" t="str">
        <f t="shared" si="1038"/>
        <v xml:space="preserve">N607SR  </v>
      </c>
      <c r="BC2774">
        <v>1</v>
      </c>
      <c r="BE2774">
        <v>0</v>
      </c>
      <c r="BF2774">
        <v>0</v>
      </c>
      <c r="BG2774">
        <v>0</v>
      </c>
      <c r="BH2774">
        <v>2175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 t="shared" si="1049"/>
        <v>06:20:02.717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6</v>
      </c>
      <c r="CP2774" t="s">
        <v>119</v>
      </c>
      <c r="CQ2774">
        <v>465</v>
      </c>
      <c r="CR2774">
        <v>0</v>
      </c>
      <c r="CW2774">
        <v>4727679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 t="shared" ref="A2775:A2780" si="1050">"08/29/2020 06:20:00.481"</f>
        <v>08/29/2020 06:20:00.481</v>
      </c>
      <c r="C2775" t="str">
        <f t="shared" si="1036"/>
        <v>FFDFD3C0</v>
      </c>
      <c r="D2775" t="s">
        <v>113</v>
      </c>
      <c r="E2775">
        <v>5</v>
      </c>
      <c r="H2775">
        <v>163</v>
      </c>
      <c r="I2775" t="s">
        <v>114</v>
      </c>
      <c r="J2775" t="s">
        <v>115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ref="S2775:S2780" si="1051">"06:20:03.703"</f>
        <v>06:20:03.703</v>
      </c>
      <c r="T2775" t="str">
        <f t="shared" ref="T2775:T2780" si="1052">"06:20:03.203"</f>
        <v>06:20:03.203</v>
      </c>
      <c r="U2775" t="str">
        <f t="shared" si="1037"/>
        <v>A7E2E0</v>
      </c>
      <c r="V2775">
        <v>0</v>
      </c>
      <c r="W2775">
        <v>0</v>
      </c>
      <c r="X2775">
        <v>1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0</v>
      </c>
      <c r="AI2775" t="s">
        <v>1418</v>
      </c>
      <c r="AJ2775">
        <v>38.886194000000003</v>
      </c>
      <c r="AK2775" t="s">
        <v>1416</v>
      </c>
      <c r="AL2775">
        <v>-87.610602</v>
      </c>
      <c r="AM2775">
        <v>100</v>
      </c>
      <c r="AN2775">
        <v>2400</v>
      </c>
      <c r="AO2775" t="s">
        <v>118</v>
      </c>
      <c r="AP2775">
        <v>3</v>
      </c>
      <c r="AQ2775">
        <v>-129</v>
      </c>
      <c r="AR2775">
        <v>-192</v>
      </c>
      <c r="AZ2775">
        <v>4552</v>
      </c>
      <c r="BA2775">
        <v>1</v>
      </c>
      <c r="BB2775" t="str">
        <f t="shared" si="1038"/>
        <v xml:space="preserve">N607SR  </v>
      </c>
      <c r="BC2775">
        <v>1</v>
      </c>
      <c r="BE2775">
        <v>0</v>
      </c>
      <c r="BF2775">
        <v>0</v>
      </c>
      <c r="BG2775">
        <v>0</v>
      </c>
      <c r="BH2775">
        <v>2175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 t="shared" ref="BW2775:BW2780" si="1053">"06:20:03.703"</f>
        <v>06:20:03.703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6</v>
      </c>
      <c r="CP2775" t="s">
        <v>119</v>
      </c>
      <c r="CQ2775">
        <v>465</v>
      </c>
      <c r="CR2775">
        <v>0</v>
      </c>
      <c r="CW2775">
        <v>4727709</v>
      </c>
      <c r="CY2775">
        <v>1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 t="shared" si="1050"/>
        <v>08/29/2020 06:20:00.481</v>
      </c>
      <c r="C2776" t="str">
        <f t="shared" si="1036"/>
        <v>FFDFD3C0</v>
      </c>
      <c r="D2776" t="s">
        <v>121</v>
      </c>
      <c r="E2776">
        <v>11</v>
      </c>
      <c r="F2776">
        <v>1011</v>
      </c>
      <c r="G2776" t="s">
        <v>125</v>
      </c>
      <c r="J2776" t="s">
        <v>123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051"/>
        <v>06:20:03.703</v>
      </c>
      <c r="T2776" t="str">
        <f t="shared" si="1052"/>
        <v>06:20:03.203</v>
      </c>
      <c r="U2776" t="str">
        <f t="shared" si="1037"/>
        <v>A7E2E0</v>
      </c>
      <c r="V2776">
        <v>0</v>
      </c>
      <c r="W2776">
        <v>0</v>
      </c>
      <c r="X2776">
        <v>1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0</v>
      </c>
      <c r="AI2776" t="s">
        <v>1418</v>
      </c>
      <c r="AJ2776">
        <v>38.886194000000003</v>
      </c>
      <c r="AK2776" t="s">
        <v>1416</v>
      </c>
      <c r="AL2776">
        <v>-87.610602</v>
      </c>
      <c r="AM2776">
        <v>100</v>
      </c>
      <c r="AN2776">
        <v>2400</v>
      </c>
      <c r="AO2776" t="s">
        <v>118</v>
      </c>
      <c r="AP2776">
        <v>3</v>
      </c>
      <c r="AQ2776">
        <v>-129</v>
      </c>
      <c r="AR2776">
        <v>-192</v>
      </c>
      <c r="AZ2776">
        <v>4552</v>
      </c>
      <c r="BA2776">
        <v>1</v>
      </c>
      <c r="BB2776" t="str">
        <f t="shared" si="1038"/>
        <v xml:space="preserve">N607SR  </v>
      </c>
      <c r="BC2776">
        <v>1</v>
      </c>
      <c r="BE2776">
        <v>0</v>
      </c>
      <c r="BF2776">
        <v>0</v>
      </c>
      <c r="BG2776">
        <v>0</v>
      </c>
      <c r="BH2776">
        <v>2175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 t="shared" si="1053"/>
        <v>06:20:03.703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5</v>
      </c>
      <c r="CP2776" t="s">
        <v>119</v>
      </c>
      <c r="CQ2776">
        <v>177</v>
      </c>
      <c r="CR2776">
        <v>2</v>
      </c>
      <c r="CW2776">
        <v>1681349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 t="shared" si="1050"/>
        <v>08/29/2020 06:20:00.481</v>
      </c>
      <c r="C2777" t="str">
        <f t="shared" si="1036"/>
        <v>FFDFD3C0</v>
      </c>
      <c r="D2777" t="s">
        <v>128</v>
      </c>
      <c r="E2777">
        <v>5</v>
      </c>
      <c r="H2777">
        <v>241</v>
      </c>
      <c r="I2777" t="s">
        <v>129</v>
      </c>
      <c r="J2777" t="s">
        <v>130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051"/>
        <v>06:20:03.703</v>
      </c>
      <c r="T2777" t="str">
        <f t="shared" si="1052"/>
        <v>06:20:03.203</v>
      </c>
      <c r="U2777" t="str">
        <f t="shared" si="1037"/>
        <v>A7E2E0</v>
      </c>
      <c r="V2777">
        <v>0</v>
      </c>
      <c r="W2777">
        <v>0</v>
      </c>
      <c r="X2777">
        <v>1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0</v>
      </c>
      <c r="AI2777" t="s">
        <v>1418</v>
      </c>
      <c r="AJ2777">
        <v>38.886194000000003</v>
      </c>
      <c r="AK2777" t="s">
        <v>1416</v>
      </c>
      <c r="AL2777">
        <v>-87.610602</v>
      </c>
      <c r="AM2777">
        <v>100</v>
      </c>
      <c r="AN2777">
        <v>2400</v>
      </c>
      <c r="AO2777" t="s">
        <v>118</v>
      </c>
      <c r="AP2777">
        <v>3</v>
      </c>
      <c r="AQ2777">
        <v>-129</v>
      </c>
      <c r="AR2777">
        <v>-192</v>
      </c>
      <c r="AZ2777">
        <v>4552</v>
      </c>
      <c r="BA2777">
        <v>1</v>
      </c>
      <c r="BB2777" t="str">
        <f t="shared" si="1038"/>
        <v xml:space="preserve">N607SR  </v>
      </c>
      <c r="BC2777">
        <v>1</v>
      </c>
      <c r="BE2777">
        <v>0</v>
      </c>
      <c r="BF2777">
        <v>0</v>
      </c>
      <c r="BG2777">
        <v>0</v>
      </c>
      <c r="BH2777">
        <v>2175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 t="shared" si="1053"/>
        <v>06:20:03.703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6</v>
      </c>
      <c r="CP2777" t="s">
        <v>119</v>
      </c>
      <c r="CQ2777">
        <v>465</v>
      </c>
      <c r="CR2777">
        <v>0</v>
      </c>
      <c r="CW2777">
        <v>4727709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 t="shared" si="1050"/>
        <v>08/29/2020 06:20:00.481</v>
      </c>
      <c r="C2778" t="str">
        <f t="shared" si="1036"/>
        <v>FFDFD3C0</v>
      </c>
      <c r="D2778" t="s">
        <v>939</v>
      </c>
      <c r="E2778">
        <v>10</v>
      </c>
      <c r="H2778">
        <v>79</v>
      </c>
      <c r="I2778" t="s">
        <v>940</v>
      </c>
      <c r="J2778" t="s">
        <v>130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051"/>
        <v>06:20:03.703</v>
      </c>
      <c r="T2778" t="str">
        <f t="shared" si="1052"/>
        <v>06:20:03.203</v>
      </c>
      <c r="U2778" t="str">
        <f t="shared" si="1037"/>
        <v>A7E2E0</v>
      </c>
      <c r="V2778">
        <v>0</v>
      </c>
      <c r="W2778">
        <v>0</v>
      </c>
      <c r="X2778">
        <v>1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0</v>
      </c>
      <c r="AI2778" t="s">
        <v>1418</v>
      </c>
      <c r="AJ2778">
        <v>38.886194000000003</v>
      </c>
      <c r="AK2778" t="s">
        <v>1416</v>
      </c>
      <c r="AL2778">
        <v>-87.610602</v>
      </c>
      <c r="AM2778">
        <v>100</v>
      </c>
      <c r="AN2778">
        <v>2400</v>
      </c>
      <c r="AO2778" t="s">
        <v>118</v>
      </c>
      <c r="AP2778">
        <v>3</v>
      </c>
      <c r="AQ2778">
        <v>-129</v>
      </c>
      <c r="AR2778">
        <v>-192</v>
      </c>
      <c r="AZ2778">
        <v>4552</v>
      </c>
      <c r="BA2778">
        <v>1</v>
      </c>
      <c r="BB2778" t="str">
        <f t="shared" si="1038"/>
        <v xml:space="preserve">N607SR  </v>
      </c>
      <c r="BC2778">
        <v>1</v>
      </c>
      <c r="BE2778">
        <v>0</v>
      </c>
      <c r="BF2778">
        <v>0</v>
      </c>
      <c r="BG2778">
        <v>0</v>
      </c>
      <c r="BH2778">
        <v>2175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 t="shared" si="1053"/>
        <v>06:20:03.703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6</v>
      </c>
      <c r="CP2778" t="s">
        <v>119</v>
      </c>
      <c r="CQ2778">
        <v>465</v>
      </c>
      <c r="CR2778">
        <v>0</v>
      </c>
      <c r="CW2778">
        <v>4727709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 t="shared" si="1050"/>
        <v>08/29/2020 06:20:00.481</v>
      </c>
      <c r="C2779" t="str">
        <f t="shared" si="1036"/>
        <v>FFDFD3C0</v>
      </c>
      <c r="D2779" t="s">
        <v>121</v>
      </c>
      <c r="E2779">
        <v>13</v>
      </c>
      <c r="F2779">
        <v>1013</v>
      </c>
      <c r="G2779" t="s">
        <v>122</v>
      </c>
      <c r="J2779" t="s">
        <v>123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051"/>
        <v>06:20:03.703</v>
      </c>
      <c r="T2779" t="str">
        <f t="shared" si="1052"/>
        <v>06:20:03.203</v>
      </c>
      <c r="U2779" t="str">
        <f t="shared" si="1037"/>
        <v>A7E2E0</v>
      </c>
      <c r="V2779">
        <v>0</v>
      </c>
      <c r="W2779">
        <v>0</v>
      </c>
      <c r="X2779">
        <v>1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0</v>
      </c>
      <c r="AI2779" t="s">
        <v>1418</v>
      </c>
      <c r="AJ2779">
        <v>38.886194000000003</v>
      </c>
      <c r="AK2779" t="s">
        <v>1416</v>
      </c>
      <c r="AL2779">
        <v>-87.610602</v>
      </c>
      <c r="AM2779">
        <v>100</v>
      </c>
      <c r="AN2779">
        <v>2400</v>
      </c>
      <c r="AO2779" t="s">
        <v>118</v>
      </c>
      <c r="AP2779">
        <v>3</v>
      </c>
      <c r="AQ2779">
        <v>-129</v>
      </c>
      <c r="AR2779">
        <v>-192</v>
      </c>
      <c r="AZ2779">
        <v>4552</v>
      </c>
      <c r="BA2779">
        <v>1</v>
      </c>
      <c r="BB2779" t="str">
        <f t="shared" si="1038"/>
        <v xml:space="preserve">N607SR  </v>
      </c>
      <c r="BC2779">
        <v>1</v>
      </c>
      <c r="BE2779">
        <v>0</v>
      </c>
      <c r="BF2779">
        <v>0</v>
      </c>
      <c r="BG2779">
        <v>0</v>
      </c>
      <c r="BH2779">
        <v>2175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 t="shared" si="1053"/>
        <v>06:20:03.703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6</v>
      </c>
      <c r="CP2779" t="s">
        <v>119</v>
      </c>
      <c r="CQ2779">
        <v>465</v>
      </c>
      <c r="CR2779">
        <v>0</v>
      </c>
      <c r="CW2779">
        <v>4727709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 t="shared" si="1050"/>
        <v>08/29/2020 06:20:00.481</v>
      </c>
      <c r="C2780" t="str">
        <f t="shared" si="1036"/>
        <v>FFDFD3C0</v>
      </c>
      <c r="D2780" t="s">
        <v>121</v>
      </c>
      <c r="E2780">
        <v>10</v>
      </c>
      <c r="F2780">
        <v>1010</v>
      </c>
      <c r="G2780" t="s">
        <v>114</v>
      </c>
      <c r="J2780" t="s">
        <v>123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051"/>
        <v>06:20:03.703</v>
      </c>
      <c r="T2780" t="str">
        <f t="shared" si="1052"/>
        <v>06:20:03.203</v>
      </c>
      <c r="U2780" t="str">
        <f t="shared" si="1037"/>
        <v>A7E2E0</v>
      </c>
      <c r="V2780">
        <v>0</v>
      </c>
      <c r="W2780">
        <v>0</v>
      </c>
      <c r="X2780">
        <v>1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0</v>
      </c>
      <c r="AI2780" t="s">
        <v>1418</v>
      </c>
      <c r="AJ2780">
        <v>38.886194000000003</v>
      </c>
      <c r="AK2780" t="s">
        <v>1416</v>
      </c>
      <c r="AL2780">
        <v>-87.610602</v>
      </c>
      <c r="AM2780">
        <v>100</v>
      </c>
      <c r="AN2780">
        <v>2400</v>
      </c>
      <c r="AO2780" t="s">
        <v>118</v>
      </c>
      <c r="AP2780">
        <v>3</v>
      </c>
      <c r="AQ2780">
        <v>-129</v>
      </c>
      <c r="AR2780">
        <v>-192</v>
      </c>
      <c r="AZ2780">
        <v>4552</v>
      </c>
      <c r="BA2780">
        <v>1</v>
      </c>
      <c r="BB2780" t="str">
        <f t="shared" si="1038"/>
        <v xml:space="preserve">N607SR  </v>
      </c>
      <c r="BC2780">
        <v>1</v>
      </c>
      <c r="BE2780">
        <v>0</v>
      </c>
      <c r="BF2780">
        <v>0</v>
      </c>
      <c r="BG2780">
        <v>0</v>
      </c>
      <c r="BH2780">
        <v>2175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 t="shared" si="1053"/>
        <v>06:20:03.703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6</v>
      </c>
      <c r="CP2780" t="s">
        <v>119</v>
      </c>
      <c r="CQ2780">
        <v>465</v>
      </c>
      <c r="CR2780">
        <v>0</v>
      </c>
      <c r="CW2780">
        <v>4727709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 t="shared" ref="A2781:A2786" si="1054">"08/29/2020 06:20:01.493"</f>
        <v>08/29/2020 06:20:01.493</v>
      </c>
      <c r="C2781" t="str">
        <f t="shared" si="1036"/>
        <v>FFDFD3C0</v>
      </c>
      <c r="D2781" t="s">
        <v>113</v>
      </c>
      <c r="E2781">
        <v>5</v>
      </c>
      <c r="H2781">
        <v>163</v>
      </c>
      <c r="I2781" t="s">
        <v>114</v>
      </c>
      <c r="J2781" t="s">
        <v>115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ref="S2781:S2786" si="1055">"06:20:04.711"</f>
        <v>06:20:04.711</v>
      </c>
      <c r="T2781" t="str">
        <f t="shared" ref="T2781:T2786" si="1056">"06:20:04.211"</f>
        <v>06:20:04.211</v>
      </c>
      <c r="U2781" t="str">
        <f t="shared" si="1037"/>
        <v>A7E2E0</v>
      </c>
      <c r="V2781">
        <v>0</v>
      </c>
      <c r="W2781">
        <v>0</v>
      </c>
      <c r="X2781">
        <v>1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0</v>
      </c>
      <c r="AI2781" t="s">
        <v>1419</v>
      </c>
      <c r="AJ2781">
        <v>38.885508000000002</v>
      </c>
      <c r="AK2781" t="s">
        <v>1420</v>
      </c>
      <c r="AL2781">
        <v>-87.610538000000005</v>
      </c>
      <c r="AM2781">
        <v>100</v>
      </c>
      <c r="AN2781">
        <v>2400</v>
      </c>
      <c r="AO2781" t="s">
        <v>118</v>
      </c>
      <c r="AP2781">
        <v>3</v>
      </c>
      <c r="AQ2781">
        <v>-129</v>
      </c>
      <c r="AR2781">
        <v>-256</v>
      </c>
      <c r="AZ2781">
        <v>4552</v>
      </c>
      <c r="BA2781">
        <v>1</v>
      </c>
      <c r="BB2781" t="str">
        <f t="shared" si="1038"/>
        <v xml:space="preserve">N607SR  </v>
      </c>
      <c r="BC2781">
        <v>1</v>
      </c>
      <c r="BE2781">
        <v>0</v>
      </c>
      <c r="BF2781">
        <v>0</v>
      </c>
      <c r="BG2781">
        <v>0</v>
      </c>
      <c r="BH2781">
        <v>2175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 t="shared" ref="BW2781:BW2786" si="1057">"06:20:04.716"</f>
        <v>06:20:04.716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6</v>
      </c>
      <c r="CP2781" t="s">
        <v>119</v>
      </c>
      <c r="CQ2781">
        <v>465</v>
      </c>
      <c r="CR2781">
        <v>0</v>
      </c>
      <c r="CW2781">
        <v>4727736</v>
      </c>
      <c r="CY2781">
        <v>1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 t="shared" si="1054"/>
        <v>08/29/2020 06:20:01.493</v>
      </c>
      <c r="C2782" t="str">
        <f t="shared" si="1036"/>
        <v>FFDFD3C0</v>
      </c>
      <c r="D2782" t="s">
        <v>121</v>
      </c>
      <c r="E2782">
        <v>11</v>
      </c>
      <c r="F2782">
        <v>1011</v>
      </c>
      <c r="G2782" t="s">
        <v>125</v>
      </c>
      <c r="J2782" t="s">
        <v>123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055"/>
        <v>06:20:04.711</v>
      </c>
      <c r="T2782" t="str">
        <f t="shared" si="1056"/>
        <v>06:20:04.211</v>
      </c>
      <c r="U2782" t="str">
        <f t="shared" si="1037"/>
        <v>A7E2E0</v>
      </c>
      <c r="V2782">
        <v>0</v>
      </c>
      <c r="W2782">
        <v>0</v>
      </c>
      <c r="X2782">
        <v>1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0</v>
      </c>
      <c r="AI2782" t="s">
        <v>1419</v>
      </c>
      <c r="AJ2782">
        <v>38.885508000000002</v>
      </c>
      <c r="AK2782" t="s">
        <v>1420</v>
      </c>
      <c r="AL2782">
        <v>-87.610538000000005</v>
      </c>
      <c r="AM2782">
        <v>100</v>
      </c>
      <c r="AN2782">
        <v>2400</v>
      </c>
      <c r="AO2782" t="s">
        <v>118</v>
      </c>
      <c r="AP2782">
        <v>3</v>
      </c>
      <c r="AQ2782">
        <v>-129</v>
      </c>
      <c r="AR2782">
        <v>-256</v>
      </c>
      <c r="AZ2782">
        <v>4552</v>
      </c>
      <c r="BA2782">
        <v>1</v>
      </c>
      <c r="BB2782" t="str">
        <f t="shared" si="1038"/>
        <v xml:space="preserve">N607SR  </v>
      </c>
      <c r="BC2782">
        <v>1</v>
      </c>
      <c r="BE2782">
        <v>0</v>
      </c>
      <c r="BF2782">
        <v>0</v>
      </c>
      <c r="BG2782">
        <v>0</v>
      </c>
      <c r="BH2782">
        <v>2175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 t="shared" si="1057"/>
        <v>06:20:04.716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5</v>
      </c>
      <c r="CP2782" t="s">
        <v>119</v>
      </c>
      <c r="CQ2782">
        <v>177</v>
      </c>
      <c r="CR2782">
        <v>2</v>
      </c>
      <c r="CW2782">
        <v>1681504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 t="shared" si="1054"/>
        <v>08/29/2020 06:20:01.493</v>
      </c>
      <c r="C2783" t="str">
        <f t="shared" si="1036"/>
        <v>FFDFD3C0</v>
      </c>
      <c r="D2783" t="s">
        <v>939</v>
      </c>
      <c r="E2783">
        <v>10</v>
      </c>
      <c r="H2783">
        <v>79</v>
      </c>
      <c r="I2783" t="s">
        <v>940</v>
      </c>
      <c r="J2783" t="s">
        <v>130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055"/>
        <v>06:20:04.711</v>
      </c>
      <c r="T2783" t="str">
        <f t="shared" si="1056"/>
        <v>06:20:04.211</v>
      </c>
      <c r="U2783" t="str">
        <f t="shared" si="1037"/>
        <v>A7E2E0</v>
      </c>
      <c r="V2783">
        <v>0</v>
      </c>
      <c r="W2783">
        <v>0</v>
      </c>
      <c r="X2783">
        <v>1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0</v>
      </c>
      <c r="AI2783" t="s">
        <v>1419</v>
      </c>
      <c r="AJ2783">
        <v>38.885508000000002</v>
      </c>
      <c r="AK2783" t="s">
        <v>1420</v>
      </c>
      <c r="AL2783">
        <v>-87.610538000000005</v>
      </c>
      <c r="AM2783">
        <v>100</v>
      </c>
      <c r="AN2783">
        <v>2400</v>
      </c>
      <c r="AO2783" t="s">
        <v>118</v>
      </c>
      <c r="AP2783">
        <v>3</v>
      </c>
      <c r="AQ2783">
        <v>-129</v>
      </c>
      <c r="AR2783">
        <v>-256</v>
      </c>
      <c r="AZ2783">
        <v>4552</v>
      </c>
      <c r="BA2783">
        <v>1</v>
      </c>
      <c r="BB2783" t="str">
        <f t="shared" si="1038"/>
        <v xml:space="preserve">N607SR  </v>
      </c>
      <c r="BC2783">
        <v>1</v>
      </c>
      <c r="BE2783">
        <v>0</v>
      </c>
      <c r="BF2783">
        <v>0</v>
      </c>
      <c r="BG2783">
        <v>0</v>
      </c>
      <c r="BH2783">
        <v>2175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 t="shared" si="1057"/>
        <v>06:20:04.716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6</v>
      </c>
      <c r="CP2783" t="s">
        <v>119</v>
      </c>
      <c r="CQ2783">
        <v>465</v>
      </c>
      <c r="CR2783">
        <v>0</v>
      </c>
      <c r="CW2783">
        <v>4727736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 t="shared" si="1054"/>
        <v>08/29/2020 06:20:01.493</v>
      </c>
      <c r="C2784" t="str">
        <f t="shared" si="1036"/>
        <v>FFDFD3C0</v>
      </c>
      <c r="D2784" t="s">
        <v>128</v>
      </c>
      <c r="E2784">
        <v>5</v>
      </c>
      <c r="H2784">
        <v>241</v>
      </c>
      <c r="I2784" t="s">
        <v>129</v>
      </c>
      <c r="J2784" t="s">
        <v>130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055"/>
        <v>06:20:04.711</v>
      </c>
      <c r="T2784" t="str">
        <f t="shared" si="1056"/>
        <v>06:20:04.211</v>
      </c>
      <c r="U2784" t="str">
        <f t="shared" si="1037"/>
        <v>A7E2E0</v>
      </c>
      <c r="V2784">
        <v>0</v>
      </c>
      <c r="W2784">
        <v>0</v>
      </c>
      <c r="X2784">
        <v>1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0</v>
      </c>
      <c r="AI2784" t="s">
        <v>1419</v>
      </c>
      <c r="AJ2784">
        <v>38.885508000000002</v>
      </c>
      <c r="AK2784" t="s">
        <v>1420</v>
      </c>
      <c r="AL2784">
        <v>-87.610538000000005</v>
      </c>
      <c r="AM2784">
        <v>100</v>
      </c>
      <c r="AN2784">
        <v>2400</v>
      </c>
      <c r="AO2784" t="s">
        <v>118</v>
      </c>
      <c r="AP2784">
        <v>3</v>
      </c>
      <c r="AQ2784">
        <v>-129</v>
      </c>
      <c r="AR2784">
        <v>-256</v>
      </c>
      <c r="AZ2784">
        <v>4552</v>
      </c>
      <c r="BA2784">
        <v>1</v>
      </c>
      <c r="BB2784" t="str">
        <f t="shared" si="1038"/>
        <v xml:space="preserve">N607SR  </v>
      </c>
      <c r="BC2784">
        <v>1</v>
      </c>
      <c r="BE2784">
        <v>0</v>
      </c>
      <c r="BF2784">
        <v>0</v>
      </c>
      <c r="BG2784">
        <v>0</v>
      </c>
      <c r="BH2784">
        <v>2175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 t="shared" si="1057"/>
        <v>06:20:04.716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6</v>
      </c>
      <c r="CP2784" t="s">
        <v>119</v>
      </c>
      <c r="CQ2784">
        <v>465</v>
      </c>
      <c r="CR2784">
        <v>0</v>
      </c>
      <c r="CW2784">
        <v>4727736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 t="shared" si="1054"/>
        <v>08/29/2020 06:20:01.493</v>
      </c>
      <c r="C2785" t="str">
        <f t="shared" si="1036"/>
        <v>FFDFD3C0</v>
      </c>
      <c r="D2785" t="s">
        <v>121</v>
      </c>
      <c r="E2785">
        <v>10</v>
      </c>
      <c r="F2785">
        <v>1010</v>
      </c>
      <c r="G2785" t="s">
        <v>114</v>
      </c>
      <c r="J2785" t="s">
        <v>123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055"/>
        <v>06:20:04.711</v>
      </c>
      <c r="T2785" t="str">
        <f t="shared" si="1056"/>
        <v>06:20:04.211</v>
      </c>
      <c r="U2785" t="str">
        <f t="shared" si="1037"/>
        <v>A7E2E0</v>
      </c>
      <c r="V2785">
        <v>0</v>
      </c>
      <c r="W2785">
        <v>0</v>
      </c>
      <c r="X2785">
        <v>1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0</v>
      </c>
      <c r="AI2785" t="s">
        <v>1419</v>
      </c>
      <c r="AJ2785">
        <v>38.885508000000002</v>
      </c>
      <c r="AK2785" t="s">
        <v>1420</v>
      </c>
      <c r="AL2785">
        <v>-87.610538000000005</v>
      </c>
      <c r="AM2785">
        <v>100</v>
      </c>
      <c r="AN2785">
        <v>2400</v>
      </c>
      <c r="AO2785" t="s">
        <v>118</v>
      </c>
      <c r="AP2785">
        <v>3</v>
      </c>
      <c r="AQ2785">
        <v>-129</v>
      </c>
      <c r="AR2785">
        <v>-256</v>
      </c>
      <c r="AZ2785">
        <v>4552</v>
      </c>
      <c r="BA2785">
        <v>1</v>
      </c>
      <c r="BB2785" t="str">
        <f t="shared" si="1038"/>
        <v xml:space="preserve">N607SR  </v>
      </c>
      <c r="BC2785">
        <v>1</v>
      </c>
      <c r="BE2785">
        <v>0</v>
      </c>
      <c r="BF2785">
        <v>0</v>
      </c>
      <c r="BG2785">
        <v>0</v>
      </c>
      <c r="BH2785">
        <v>2175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 t="shared" si="1057"/>
        <v>06:20:04.716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6</v>
      </c>
      <c r="CP2785" t="s">
        <v>119</v>
      </c>
      <c r="CQ2785">
        <v>465</v>
      </c>
      <c r="CR2785">
        <v>0</v>
      </c>
      <c r="CW2785">
        <v>4727736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 t="shared" si="1054"/>
        <v>08/29/2020 06:20:01.493</v>
      </c>
      <c r="C2786" t="str">
        <f t="shared" si="1036"/>
        <v>FFDFD3C0</v>
      </c>
      <c r="D2786" t="s">
        <v>121</v>
      </c>
      <c r="E2786">
        <v>13</v>
      </c>
      <c r="F2786">
        <v>1013</v>
      </c>
      <c r="G2786" t="s">
        <v>122</v>
      </c>
      <c r="J2786" t="s">
        <v>123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055"/>
        <v>06:20:04.711</v>
      </c>
      <c r="T2786" t="str">
        <f t="shared" si="1056"/>
        <v>06:20:04.211</v>
      </c>
      <c r="U2786" t="str">
        <f t="shared" si="1037"/>
        <v>A7E2E0</v>
      </c>
      <c r="V2786">
        <v>0</v>
      </c>
      <c r="W2786">
        <v>0</v>
      </c>
      <c r="X2786">
        <v>1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0</v>
      </c>
      <c r="AI2786" t="s">
        <v>1419</v>
      </c>
      <c r="AJ2786">
        <v>38.885508000000002</v>
      </c>
      <c r="AK2786" t="s">
        <v>1420</v>
      </c>
      <c r="AL2786">
        <v>-87.610538000000005</v>
      </c>
      <c r="AM2786">
        <v>100</v>
      </c>
      <c r="AN2786">
        <v>2400</v>
      </c>
      <c r="AO2786" t="s">
        <v>118</v>
      </c>
      <c r="AP2786">
        <v>3</v>
      </c>
      <c r="AQ2786">
        <v>-129</v>
      </c>
      <c r="AR2786">
        <v>-256</v>
      </c>
      <c r="AZ2786">
        <v>4552</v>
      </c>
      <c r="BA2786">
        <v>1</v>
      </c>
      <c r="BB2786" t="str">
        <f t="shared" si="1038"/>
        <v xml:space="preserve">N607SR  </v>
      </c>
      <c r="BC2786">
        <v>1</v>
      </c>
      <c r="BE2786">
        <v>0</v>
      </c>
      <c r="BF2786">
        <v>0</v>
      </c>
      <c r="BG2786">
        <v>0</v>
      </c>
      <c r="BH2786">
        <v>2175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 t="shared" si="1057"/>
        <v>06:20:04.716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6</v>
      </c>
      <c r="CP2786" t="s">
        <v>119</v>
      </c>
      <c r="CQ2786">
        <v>465</v>
      </c>
      <c r="CR2786">
        <v>0</v>
      </c>
      <c r="CW2786">
        <v>4727736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 t="shared" ref="A2787:A2792" si="1058">"08/29/2020 06:20:02.523"</f>
        <v>08/29/2020 06:20:02.523</v>
      </c>
      <c r="C2787" t="str">
        <f t="shared" si="1036"/>
        <v>FFDFD3C0</v>
      </c>
      <c r="D2787" t="s">
        <v>121</v>
      </c>
      <c r="E2787">
        <v>10</v>
      </c>
      <c r="F2787">
        <v>1010</v>
      </c>
      <c r="G2787" t="s">
        <v>114</v>
      </c>
      <c r="J2787" t="s">
        <v>123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ref="S2787:S2792" si="1059">"06:20:05.734"</f>
        <v>06:20:05.734</v>
      </c>
      <c r="T2787" t="str">
        <f t="shared" ref="T2787:T2792" si="1060">"06:20:05.234"</f>
        <v>06:20:05.234</v>
      </c>
      <c r="U2787" t="str">
        <f t="shared" si="1037"/>
        <v>A7E2E0</v>
      </c>
      <c r="V2787">
        <v>0</v>
      </c>
      <c r="W2787">
        <v>0</v>
      </c>
      <c r="X2787">
        <v>1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0</v>
      </c>
      <c r="AI2787" t="s">
        <v>1421</v>
      </c>
      <c r="AJ2787">
        <v>38.884928000000002</v>
      </c>
      <c r="AK2787" t="s">
        <v>1420</v>
      </c>
      <c r="AL2787">
        <v>-87.610538000000005</v>
      </c>
      <c r="AM2787">
        <v>100</v>
      </c>
      <c r="AN2787">
        <v>2400</v>
      </c>
      <c r="AO2787" t="s">
        <v>118</v>
      </c>
      <c r="AP2787">
        <v>4</v>
      </c>
      <c r="AQ2787">
        <v>-129</v>
      </c>
      <c r="AR2787">
        <v>-320</v>
      </c>
      <c r="AZ2787">
        <v>4552</v>
      </c>
      <c r="BA2787">
        <v>1</v>
      </c>
      <c r="BB2787" t="str">
        <f t="shared" si="1038"/>
        <v xml:space="preserve">N607SR  </v>
      </c>
      <c r="BC2787">
        <v>1</v>
      </c>
      <c r="BE2787">
        <v>0</v>
      </c>
      <c r="BF2787">
        <v>0</v>
      </c>
      <c r="BG2787">
        <v>0</v>
      </c>
      <c r="BH2787">
        <v>2175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 t="shared" ref="BW2787:BW2792" si="1061">"06:20:05.738"</f>
        <v>06:20:05.738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6</v>
      </c>
      <c r="CP2787" t="s">
        <v>119</v>
      </c>
      <c r="CQ2787">
        <v>465</v>
      </c>
      <c r="CR2787">
        <v>0</v>
      </c>
      <c r="CW2787">
        <v>4727766</v>
      </c>
      <c r="CY2787">
        <v>1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 t="shared" si="1058"/>
        <v>08/29/2020 06:20:02.523</v>
      </c>
      <c r="C2788" t="str">
        <f t="shared" si="1036"/>
        <v>FFDFD3C0</v>
      </c>
      <c r="D2788" t="s">
        <v>121</v>
      </c>
      <c r="E2788">
        <v>13</v>
      </c>
      <c r="F2788">
        <v>1013</v>
      </c>
      <c r="G2788" t="s">
        <v>122</v>
      </c>
      <c r="J2788" t="s">
        <v>123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059"/>
        <v>06:20:05.734</v>
      </c>
      <c r="T2788" t="str">
        <f t="shared" si="1060"/>
        <v>06:20:05.234</v>
      </c>
      <c r="U2788" t="str">
        <f t="shared" si="1037"/>
        <v>A7E2E0</v>
      </c>
      <c r="V2788">
        <v>0</v>
      </c>
      <c r="W2788">
        <v>0</v>
      </c>
      <c r="X2788">
        <v>1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0</v>
      </c>
      <c r="AI2788" t="s">
        <v>1421</v>
      </c>
      <c r="AJ2788">
        <v>38.884928000000002</v>
      </c>
      <c r="AK2788" t="s">
        <v>1420</v>
      </c>
      <c r="AL2788">
        <v>-87.610538000000005</v>
      </c>
      <c r="AM2788">
        <v>100</v>
      </c>
      <c r="AN2788">
        <v>2400</v>
      </c>
      <c r="AO2788" t="s">
        <v>118</v>
      </c>
      <c r="AP2788">
        <v>4</v>
      </c>
      <c r="AQ2788">
        <v>-129</v>
      </c>
      <c r="AR2788">
        <v>-320</v>
      </c>
      <c r="AZ2788">
        <v>4552</v>
      </c>
      <c r="BA2788">
        <v>1</v>
      </c>
      <c r="BB2788" t="str">
        <f t="shared" si="1038"/>
        <v xml:space="preserve">N607SR  </v>
      </c>
      <c r="BC2788">
        <v>1</v>
      </c>
      <c r="BE2788">
        <v>0</v>
      </c>
      <c r="BF2788">
        <v>0</v>
      </c>
      <c r="BG2788">
        <v>0</v>
      </c>
      <c r="BH2788">
        <v>2175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 t="shared" si="1061"/>
        <v>06:20:05.738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465</v>
      </c>
      <c r="CR2788">
        <v>0</v>
      </c>
      <c r="CW2788">
        <v>4727766</v>
      </c>
      <c r="CY2788">
        <v>1</v>
      </c>
      <c r="CZ2788">
        <v>0</v>
      </c>
      <c r="DA2788">
        <v>1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 t="shared" si="1058"/>
        <v>08/29/2020 06:20:02.523</v>
      </c>
      <c r="C2789" t="str">
        <f t="shared" si="1036"/>
        <v>FFDFD3C0</v>
      </c>
      <c r="D2789" t="s">
        <v>113</v>
      </c>
      <c r="E2789">
        <v>5</v>
      </c>
      <c r="H2789">
        <v>163</v>
      </c>
      <c r="I2789" t="s">
        <v>114</v>
      </c>
      <c r="J2789" t="s">
        <v>115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si="1059"/>
        <v>06:20:05.734</v>
      </c>
      <c r="T2789" t="str">
        <f t="shared" si="1060"/>
        <v>06:20:05.234</v>
      </c>
      <c r="U2789" t="str">
        <f t="shared" si="1037"/>
        <v>A7E2E0</v>
      </c>
      <c r="V2789">
        <v>0</v>
      </c>
      <c r="W2789">
        <v>0</v>
      </c>
      <c r="X2789">
        <v>1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0</v>
      </c>
      <c r="AI2789" t="s">
        <v>1421</v>
      </c>
      <c r="AJ2789">
        <v>38.884928000000002</v>
      </c>
      <c r="AK2789" t="s">
        <v>1420</v>
      </c>
      <c r="AL2789">
        <v>-87.610538000000005</v>
      </c>
      <c r="AM2789">
        <v>100</v>
      </c>
      <c r="AN2789">
        <v>2400</v>
      </c>
      <c r="AO2789" t="s">
        <v>118</v>
      </c>
      <c r="AP2789">
        <v>4</v>
      </c>
      <c r="AQ2789">
        <v>-129</v>
      </c>
      <c r="AR2789">
        <v>-320</v>
      </c>
      <c r="AZ2789">
        <v>4552</v>
      </c>
      <c r="BA2789">
        <v>1</v>
      </c>
      <c r="BB2789" t="str">
        <f t="shared" si="1038"/>
        <v xml:space="preserve">N607SR  </v>
      </c>
      <c r="BC2789">
        <v>1</v>
      </c>
      <c r="BE2789">
        <v>0</v>
      </c>
      <c r="BF2789">
        <v>0</v>
      </c>
      <c r="BG2789">
        <v>0</v>
      </c>
      <c r="BH2789">
        <v>2175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 t="shared" si="1061"/>
        <v>06:20:05.738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6</v>
      </c>
      <c r="CP2789" t="s">
        <v>119</v>
      </c>
      <c r="CQ2789">
        <v>465</v>
      </c>
      <c r="CR2789">
        <v>0</v>
      </c>
      <c r="CW2789">
        <v>4727766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 t="shared" si="1058"/>
        <v>08/29/2020 06:20:02.523</v>
      </c>
      <c r="C2790" t="str">
        <f t="shared" si="1036"/>
        <v>FFDFD3C0</v>
      </c>
      <c r="D2790" t="s">
        <v>939</v>
      </c>
      <c r="E2790">
        <v>10</v>
      </c>
      <c r="H2790">
        <v>79</v>
      </c>
      <c r="I2790" t="s">
        <v>940</v>
      </c>
      <c r="J2790" t="s">
        <v>130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059"/>
        <v>06:20:05.734</v>
      </c>
      <c r="T2790" t="str">
        <f t="shared" si="1060"/>
        <v>06:20:05.234</v>
      </c>
      <c r="U2790" t="str">
        <f t="shared" si="1037"/>
        <v>A7E2E0</v>
      </c>
      <c r="V2790">
        <v>0</v>
      </c>
      <c r="W2790">
        <v>0</v>
      </c>
      <c r="X2790">
        <v>1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0</v>
      </c>
      <c r="AI2790" t="s">
        <v>1421</v>
      </c>
      <c r="AJ2790">
        <v>38.884928000000002</v>
      </c>
      <c r="AK2790" t="s">
        <v>1420</v>
      </c>
      <c r="AL2790">
        <v>-87.610538000000005</v>
      </c>
      <c r="AM2790">
        <v>100</v>
      </c>
      <c r="AN2790">
        <v>2400</v>
      </c>
      <c r="AO2790" t="s">
        <v>118</v>
      </c>
      <c r="AP2790">
        <v>4</v>
      </c>
      <c r="AQ2790">
        <v>-129</v>
      </c>
      <c r="AR2790">
        <v>-320</v>
      </c>
      <c r="AZ2790">
        <v>4552</v>
      </c>
      <c r="BA2790">
        <v>1</v>
      </c>
      <c r="BB2790" t="str">
        <f t="shared" si="1038"/>
        <v xml:space="preserve">N607SR  </v>
      </c>
      <c r="BC2790">
        <v>1</v>
      </c>
      <c r="BE2790">
        <v>0</v>
      </c>
      <c r="BF2790">
        <v>0</v>
      </c>
      <c r="BG2790">
        <v>0</v>
      </c>
      <c r="BH2790">
        <v>2175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 t="shared" si="1061"/>
        <v>06:20:05.738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6</v>
      </c>
      <c r="CP2790" t="s">
        <v>119</v>
      </c>
      <c r="CQ2790">
        <v>465</v>
      </c>
      <c r="CR2790">
        <v>0</v>
      </c>
      <c r="CW2790">
        <v>4727766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 t="shared" si="1058"/>
        <v>08/29/2020 06:20:02.523</v>
      </c>
      <c r="C2791" t="str">
        <f t="shared" si="1036"/>
        <v>FFDFD3C0</v>
      </c>
      <c r="D2791" t="s">
        <v>121</v>
      </c>
      <c r="E2791">
        <v>11</v>
      </c>
      <c r="F2791">
        <v>1011</v>
      </c>
      <c r="G2791" t="s">
        <v>125</v>
      </c>
      <c r="J2791" t="s">
        <v>123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si="1059"/>
        <v>06:20:05.734</v>
      </c>
      <c r="T2791" t="str">
        <f t="shared" si="1060"/>
        <v>06:20:05.234</v>
      </c>
      <c r="U2791" t="str">
        <f t="shared" si="1037"/>
        <v>A7E2E0</v>
      </c>
      <c r="V2791">
        <v>0</v>
      </c>
      <c r="W2791">
        <v>0</v>
      </c>
      <c r="X2791">
        <v>1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0</v>
      </c>
      <c r="AI2791" t="s">
        <v>1421</v>
      </c>
      <c r="AJ2791">
        <v>38.884928000000002</v>
      </c>
      <c r="AK2791" t="s">
        <v>1420</v>
      </c>
      <c r="AL2791">
        <v>-87.610538000000005</v>
      </c>
      <c r="AM2791">
        <v>100</v>
      </c>
      <c r="AN2791">
        <v>2400</v>
      </c>
      <c r="AO2791" t="s">
        <v>118</v>
      </c>
      <c r="AP2791">
        <v>4</v>
      </c>
      <c r="AQ2791">
        <v>-129</v>
      </c>
      <c r="AR2791">
        <v>-320</v>
      </c>
      <c r="AZ2791">
        <v>4552</v>
      </c>
      <c r="BA2791">
        <v>1</v>
      </c>
      <c r="BB2791" t="str">
        <f t="shared" si="1038"/>
        <v xml:space="preserve">N607SR  </v>
      </c>
      <c r="BC2791">
        <v>1</v>
      </c>
      <c r="BE2791">
        <v>0</v>
      </c>
      <c r="BF2791">
        <v>0</v>
      </c>
      <c r="BG2791">
        <v>0</v>
      </c>
      <c r="BH2791">
        <v>2175</v>
      </c>
      <c r="BI2791">
        <v>1</v>
      </c>
      <c r="BJ2791">
        <v>1</v>
      </c>
      <c r="BK2791">
        <v>1</v>
      </c>
      <c r="BL2791">
        <v>0</v>
      </c>
      <c r="BO2791">
        <v>0</v>
      </c>
      <c r="BP2791">
        <v>0</v>
      </c>
      <c r="BW2791" t="str">
        <f t="shared" si="1061"/>
        <v>06:20:05.738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5</v>
      </c>
      <c r="CP2791" t="s">
        <v>119</v>
      </c>
      <c r="CQ2791">
        <v>177</v>
      </c>
      <c r="CR2791">
        <v>2</v>
      </c>
      <c r="CW2791">
        <v>1681650</v>
      </c>
      <c r="CY2791">
        <v>1</v>
      </c>
      <c r="CZ2791">
        <v>0</v>
      </c>
      <c r="DA2791">
        <v>1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 t="shared" si="1058"/>
        <v>08/29/2020 06:20:02.523</v>
      </c>
      <c r="C2792" t="str">
        <f t="shared" si="1036"/>
        <v>FFDFD3C0</v>
      </c>
      <c r="D2792" t="s">
        <v>128</v>
      </c>
      <c r="E2792">
        <v>5</v>
      </c>
      <c r="H2792">
        <v>241</v>
      </c>
      <c r="I2792" t="s">
        <v>129</v>
      </c>
      <c r="J2792" t="s">
        <v>130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059"/>
        <v>06:20:05.734</v>
      </c>
      <c r="T2792" t="str">
        <f t="shared" si="1060"/>
        <v>06:20:05.234</v>
      </c>
      <c r="U2792" t="str">
        <f t="shared" si="1037"/>
        <v>A7E2E0</v>
      </c>
      <c r="V2792">
        <v>0</v>
      </c>
      <c r="W2792">
        <v>0</v>
      </c>
      <c r="X2792">
        <v>1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0</v>
      </c>
      <c r="AI2792" t="s">
        <v>1421</v>
      </c>
      <c r="AJ2792">
        <v>38.884928000000002</v>
      </c>
      <c r="AK2792" t="s">
        <v>1420</v>
      </c>
      <c r="AL2792">
        <v>-87.610538000000005</v>
      </c>
      <c r="AM2792">
        <v>100</v>
      </c>
      <c r="AN2792">
        <v>2400</v>
      </c>
      <c r="AO2792" t="s">
        <v>118</v>
      </c>
      <c r="AP2792">
        <v>4</v>
      </c>
      <c r="AQ2792">
        <v>-129</v>
      </c>
      <c r="AR2792">
        <v>-320</v>
      </c>
      <c r="AZ2792">
        <v>4552</v>
      </c>
      <c r="BA2792">
        <v>1</v>
      </c>
      <c r="BB2792" t="str">
        <f t="shared" si="1038"/>
        <v xml:space="preserve">N607SR  </v>
      </c>
      <c r="BC2792">
        <v>1</v>
      </c>
      <c r="BE2792">
        <v>0</v>
      </c>
      <c r="BF2792">
        <v>0</v>
      </c>
      <c r="BG2792">
        <v>0</v>
      </c>
      <c r="BH2792">
        <v>2175</v>
      </c>
      <c r="BI2792">
        <v>1</v>
      </c>
      <c r="BJ2792">
        <v>1</v>
      </c>
      <c r="BK2792">
        <v>1</v>
      </c>
      <c r="BL2792">
        <v>0</v>
      </c>
      <c r="BO2792">
        <v>0</v>
      </c>
      <c r="BP2792">
        <v>0</v>
      </c>
      <c r="BW2792" t="str">
        <f t="shared" si="1061"/>
        <v>06:20:05.738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6</v>
      </c>
      <c r="CP2792" t="s">
        <v>119</v>
      </c>
      <c r="CQ2792">
        <v>465</v>
      </c>
      <c r="CR2792">
        <v>0</v>
      </c>
      <c r="CW2792">
        <v>4727766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 t="shared" ref="A2793:A2798" si="1062">"08/29/2020 06:20:03.484"</f>
        <v>08/29/2020 06:20:03.484</v>
      </c>
      <c r="C2793" t="str">
        <f t="shared" si="1036"/>
        <v>FFDFD3C0</v>
      </c>
      <c r="D2793" t="s">
        <v>121</v>
      </c>
      <c r="E2793">
        <v>10</v>
      </c>
      <c r="F2793">
        <v>1010</v>
      </c>
      <c r="G2793" t="s">
        <v>114</v>
      </c>
      <c r="J2793" t="s">
        <v>123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ref="S2793:S2798" si="1063">"06:20:06.719"</f>
        <v>06:20:06.719</v>
      </c>
      <c r="T2793" t="str">
        <f t="shared" ref="T2793:T2798" si="1064">"06:20:06.319"</f>
        <v>06:20:06.319</v>
      </c>
      <c r="U2793" t="str">
        <f t="shared" si="1037"/>
        <v>A7E2E0</v>
      </c>
      <c r="V2793">
        <v>0</v>
      </c>
      <c r="W2793">
        <v>0</v>
      </c>
      <c r="X2793">
        <v>1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0</v>
      </c>
      <c r="AI2793" t="s">
        <v>1422</v>
      </c>
      <c r="AJ2793">
        <v>38.884326999999999</v>
      </c>
      <c r="AK2793" t="s">
        <v>1420</v>
      </c>
      <c r="AL2793">
        <v>-87.610538000000005</v>
      </c>
      <c r="AM2793">
        <v>100</v>
      </c>
      <c r="AN2793">
        <v>2400</v>
      </c>
      <c r="AO2793" t="s">
        <v>118</v>
      </c>
      <c r="AP2793">
        <v>4</v>
      </c>
      <c r="AQ2793">
        <v>-130</v>
      </c>
      <c r="AR2793">
        <v>-384</v>
      </c>
      <c r="AZ2793">
        <v>4552</v>
      </c>
      <c r="BA2793">
        <v>1</v>
      </c>
      <c r="BB2793" t="str">
        <f t="shared" si="1038"/>
        <v xml:space="preserve">N607SR  </v>
      </c>
      <c r="BC2793">
        <v>1</v>
      </c>
      <c r="BE2793">
        <v>0</v>
      </c>
      <c r="BF2793">
        <v>0</v>
      </c>
      <c r="BG2793">
        <v>0</v>
      </c>
      <c r="BH2793">
        <v>2175</v>
      </c>
      <c r="BI2793">
        <v>1</v>
      </c>
      <c r="BJ2793">
        <v>1</v>
      </c>
      <c r="BK2793">
        <v>1</v>
      </c>
      <c r="BL2793">
        <v>0</v>
      </c>
      <c r="BO2793">
        <v>0</v>
      </c>
      <c r="BP2793">
        <v>0</v>
      </c>
      <c r="BW2793" t="str">
        <f t="shared" ref="BW2793:BW2798" si="1065">"06:20:06.723"</f>
        <v>06:20:06.723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6</v>
      </c>
      <c r="CP2793" t="s">
        <v>119</v>
      </c>
      <c r="CQ2793">
        <v>465</v>
      </c>
      <c r="CR2793">
        <v>0</v>
      </c>
      <c r="CW2793">
        <v>4727796</v>
      </c>
      <c r="CY2793">
        <v>1</v>
      </c>
      <c r="CZ2793">
        <v>0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 t="shared" si="1062"/>
        <v>08/29/2020 06:20:03.484</v>
      </c>
      <c r="C2794" t="str">
        <f t="shared" si="1036"/>
        <v>FFDFD3C0</v>
      </c>
      <c r="D2794" t="s">
        <v>121</v>
      </c>
      <c r="E2794">
        <v>13</v>
      </c>
      <c r="F2794">
        <v>1013</v>
      </c>
      <c r="G2794" t="s">
        <v>122</v>
      </c>
      <c r="J2794" t="s">
        <v>123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si="1063"/>
        <v>06:20:06.719</v>
      </c>
      <c r="T2794" t="str">
        <f t="shared" si="1064"/>
        <v>06:20:06.319</v>
      </c>
      <c r="U2794" t="str">
        <f t="shared" si="1037"/>
        <v>A7E2E0</v>
      </c>
      <c r="V2794">
        <v>0</v>
      </c>
      <c r="W2794">
        <v>0</v>
      </c>
      <c r="X2794">
        <v>1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0</v>
      </c>
      <c r="AI2794" t="s">
        <v>1422</v>
      </c>
      <c r="AJ2794">
        <v>38.884326999999999</v>
      </c>
      <c r="AK2794" t="s">
        <v>1420</v>
      </c>
      <c r="AL2794">
        <v>-87.610538000000005</v>
      </c>
      <c r="AM2794">
        <v>100</v>
      </c>
      <c r="AN2794">
        <v>2400</v>
      </c>
      <c r="AO2794" t="s">
        <v>118</v>
      </c>
      <c r="AP2794">
        <v>4</v>
      </c>
      <c r="AQ2794">
        <v>-130</v>
      </c>
      <c r="AR2794">
        <v>-384</v>
      </c>
      <c r="AZ2794">
        <v>4552</v>
      </c>
      <c r="BA2794">
        <v>1</v>
      </c>
      <c r="BB2794" t="str">
        <f t="shared" si="1038"/>
        <v xml:space="preserve">N607SR  </v>
      </c>
      <c r="BC2794">
        <v>1</v>
      </c>
      <c r="BE2794">
        <v>0</v>
      </c>
      <c r="BF2794">
        <v>0</v>
      </c>
      <c r="BG2794">
        <v>0</v>
      </c>
      <c r="BH2794">
        <v>2175</v>
      </c>
      <c r="BI2794">
        <v>1</v>
      </c>
      <c r="BJ2794">
        <v>1</v>
      </c>
      <c r="BK2794">
        <v>1</v>
      </c>
      <c r="BL2794">
        <v>0</v>
      </c>
      <c r="BO2794">
        <v>0</v>
      </c>
      <c r="BP2794">
        <v>0</v>
      </c>
      <c r="BW2794" t="str">
        <f t="shared" si="1065"/>
        <v>06:20:06.723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6</v>
      </c>
      <c r="CP2794" t="s">
        <v>119</v>
      </c>
      <c r="CQ2794">
        <v>465</v>
      </c>
      <c r="CR2794">
        <v>0</v>
      </c>
      <c r="CW2794">
        <v>4727796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 t="shared" si="1062"/>
        <v>08/29/2020 06:20:03.484</v>
      </c>
      <c r="C2795" t="str">
        <f t="shared" si="1036"/>
        <v>FFDFD3C0</v>
      </c>
      <c r="D2795" t="s">
        <v>939</v>
      </c>
      <c r="E2795">
        <v>10</v>
      </c>
      <c r="H2795">
        <v>79</v>
      </c>
      <c r="I2795" t="s">
        <v>940</v>
      </c>
      <c r="J2795" t="s">
        <v>130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1063"/>
        <v>06:20:06.719</v>
      </c>
      <c r="T2795" t="str">
        <f t="shared" si="1064"/>
        <v>06:20:06.319</v>
      </c>
      <c r="U2795" t="str">
        <f t="shared" si="1037"/>
        <v>A7E2E0</v>
      </c>
      <c r="V2795">
        <v>0</v>
      </c>
      <c r="W2795">
        <v>0</v>
      </c>
      <c r="X2795">
        <v>1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0</v>
      </c>
      <c r="AI2795" t="s">
        <v>1422</v>
      </c>
      <c r="AJ2795">
        <v>38.884326999999999</v>
      </c>
      <c r="AK2795" t="s">
        <v>1420</v>
      </c>
      <c r="AL2795">
        <v>-87.610538000000005</v>
      </c>
      <c r="AM2795">
        <v>100</v>
      </c>
      <c r="AN2795">
        <v>2400</v>
      </c>
      <c r="AO2795" t="s">
        <v>118</v>
      </c>
      <c r="AP2795">
        <v>4</v>
      </c>
      <c r="AQ2795">
        <v>-130</v>
      </c>
      <c r="AR2795">
        <v>-384</v>
      </c>
      <c r="AZ2795">
        <v>4552</v>
      </c>
      <c r="BA2795">
        <v>1</v>
      </c>
      <c r="BB2795" t="str">
        <f t="shared" si="1038"/>
        <v xml:space="preserve">N607SR  </v>
      </c>
      <c r="BC2795">
        <v>1</v>
      </c>
      <c r="BE2795">
        <v>0</v>
      </c>
      <c r="BF2795">
        <v>0</v>
      </c>
      <c r="BG2795">
        <v>0</v>
      </c>
      <c r="BH2795">
        <v>2175</v>
      </c>
      <c r="BI2795">
        <v>1</v>
      </c>
      <c r="BJ2795">
        <v>1</v>
      </c>
      <c r="BK2795">
        <v>1</v>
      </c>
      <c r="BL2795">
        <v>0</v>
      </c>
      <c r="BO2795">
        <v>0</v>
      </c>
      <c r="BP2795">
        <v>0</v>
      </c>
      <c r="BW2795" t="str">
        <f t="shared" si="1065"/>
        <v>06:20:06.723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6</v>
      </c>
      <c r="CP2795" t="s">
        <v>119</v>
      </c>
      <c r="CQ2795">
        <v>465</v>
      </c>
      <c r="CR2795">
        <v>0</v>
      </c>
      <c r="CW2795">
        <v>4727796</v>
      </c>
      <c r="CY2795">
        <v>1</v>
      </c>
      <c r="CZ2795">
        <v>0</v>
      </c>
      <c r="DA2795">
        <v>1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 t="shared" si="1062"/>
        <v>08/29/2020 06:20:03.484</v>
      </c>
      <c r="C2796" t="str">
        <f t="shared" si="1036"/>
        <v>FFDFD3C0</v>
      </c>
      <c r="D2796" t="s">
        <v>113</v>
      </c>
      <c r="E2796">
        <v>5</v>
      </c>
      <c r="H2796">
        <v>163</v>
      </c>
      <c r="I2796" t="s">
        <v>114</v>
      </c>
      <c r="J2796" t="s">
        <v>115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063"/>
        <v>06:20:06.719</v>
      </c>
      <c r="T2796" t="str">
        <f t="shared" si="1064"/>
        <v>06:20:06.319</v>
      </c>
      <c r="U2796" t="str">
        <f t="shared" si="1037"/>
        <v>A7E2E0</v>
      </c>
      <c r="V2796">
        <v>0</v>
      </c>
      <c r="W2796">
        <v>0</v>
      </c>
      <c r="X2796">
        <v>1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0</v>
      </c>
      <c r="AI2796" t="s">
        <v>1422</v>
      </c>
      <c r="AJ2796">
        <v>38.884326999999999</v>
      </c>
      <c r="AK2796" t="s">
        <v>1420</v>
      </c>
      <c r="AL2796">
        <v>-87.610538000000005</v>
      </c>
      <c r="AM2796">
        <v>100</v>
      </c>
      <c r="AN2796">
        <v>2400</v>
      </c>
      <c r="AO2796" t="s">
        <v>118</v>
      </c>
      <c r="AP2796">
        <v>4</v>
      </c>
      <c r="AQ2796">
        <v>-130</v>
      </c>
      <c r="AR2796">
        <v>-384</v>
      </c>
      <c r="AZ2796">
        <v>4552</v>
      </c>
      <c r="BA2796">
        <v>1</v>
      </c>
      <c r="BB2796" t="str">
        <f t="shared" si="1038"/>
        <v xml:space="preserve">N607SR  </v>
      </c>
      <c r="BC2796">
        <v>1</v>
      </c>
      <c r="BE2796">
        <v>0</v>
      </c>
      <c r="BF2796">
        <v>0</v>
      </c>
      <c r="BG2796">
        <v>0</v>
      </c>
      <c r="BH2796">
        <v>2175</v>
      </c>
      <c r="BI2796">
        <v>1</v>
      </c>
      <c r="BJ2796">
        <v>1</v>
      </c>
      <c r="BK2796">
        <v>1</v>
      </c>
      <c r="BL2796">
        <v>0</v>
      </c>
      <c r="BO2796">
        <v>0</v>
      </c>
      <c r="BP2796">
        <v>0</v>
      </c>
      <c r="BW2796" t="str">
        <f t="shared" si="1065"/>
        <v>06:20:06.723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6</v>
      </c>
      <c r="CP2796" t="s">
        <v>119</v>
      </c>
      <c r="CQ2796">
        <v>465</v>
      </c>
      <c r="CR2796">
        <v>0</v>
      </c>
      <c r="CW2796">
        <v>4727796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 t="shared" si="1062"/>
        <v>08/29/2020 06:20:03.484</v>
      </c>
      <c r="C2797" t="str">
        <f t="shared" si="1036"/>
        <v>FFDFD3C0</v>
      </c>
      <c r="D2797" t="s">
        <v>121</v>
      </c>
      <c r="E2797">
        <v>11</v>
      </c>
      <c r="F2797">
        <v>1011</v>
      </c>
      <c r="G2797" t="s">
        <v>125</v>
      </c>
      <c r="J2797" t="s">
        <v>123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063"/>
        <v>06:20:06.719</v>
      </c>
      <c r="T2797" t="str">
        <f t="shared" si="1064"/>
        <v>06:20:06.319</v>
      </c>
      <c r="U2797" t="str">
        <f t="shared" si="1037"/>
        <v>A7E2E0</v>
      </c>
      <c r="V2797">
        <v>0</v>
      </c>
      <c r="W2797">
        <v>0</v>
      </c>
      <c r="X2797">
        <v>1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0</v>
      </c>
      <c r="AI2797" t="s">
        <v>1422</v>
      </c>
      <c r="AJ2797">
        <v>38.884326999999999</v>
      </c>
      <c r="AK2797" t="s">
        <v>1420</v>
      </c>
      <c r="AL2797">
        <v>-87.610538000000005</v>
      </c>
      <c r="AM2797">
        <v>100</v>
      </c>
      <c r="AN2797">
        <v>2400</v>
      </c>
      <c r="AO2797" t="s">
        <v>118</v>
      </c>
      <c r="AP2797">
        <v>4</v>
      </c>
      <c r="AQ2797">
        <v>-130</v>
      </c>
      <c r="AR2797">
        <v>-384</v>
      </c>
      <c r="AZ2797">
        <v>4552</v>
      </c>
      <c r="BA2797">
        <v>1</v>
      </c>
      <c r="BB2797" t="str">
        <f t="shared" si="1038"/>
        <v xml:space="preserve">N607SR  </v>
      </c>
      <c r="BC2797">
        <v>1</v>
      </c>
      <c r="BE2797">
        <v>0</v>
      </c>
      <c r="BF2797">
        <v>0</v>
      </c>
      <c r="BG2797">
        <v>0</v>
      </c>
      <c r="BH2797">
        <v>2175</v>
      </c>
      <c r="BI2797">
        <v>1</v>
      </c>
      <c r="BJ2797">
        <v>1</v>
      </c>
      <c r="BK2797">
        <v>1</v>
      </c>
      <c r="BL2797">
        <v>0</v>
      </c>
      <c r="BO2797">
        <v>0</v>
      </c>
      <c r="BP2797">
        <v>0</v>
      </c>
      <c r="BW2797" t="str">
        <f t="shared" si="1065"/>
        <v>06:20:06.723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5</v>
      </c>
      <c r="CP2797" t="s">
        <v>119</v>
      </c>
      <c r="CQ2797">
        <v>177</v>
      </c>
      <c r="CR2797">
        <v>2</v>
      </c>
      <c r="CW2797">
        <v>1681820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 t="shared" si="1062"/>
        <v>08/29/2020 06:20:03.484</v>
      </c>
      <c r="C2798" t="str">
        <f t="shared" si="1036"/>
        <v>FFDFD3C0</v>
      </c>
      <c r="D2798" t="s">
        <v>128</v>
      </c>
      <c r="E2798">
        <v>5</v>
      </c>
      <c r="H2798">
        <v>241</v>
      </c>
      <c r="I2798" t="s">
        <v>129</v>
      </c>
      <c r="J2798" t="s">
        <v>130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063"/>
        <v>06:20:06.719</v>
      </c>
      <c r="T2798" t="str">
        <f t="shared" si="1064"/>
        <v>06:20:06.319</v>
      </c>
      <c r="U2798" t="str">
        <f t="shared" si="1037"/>
        <v>A7E2E0</v>
      </c>
      <c r="V2798">
        <v>0</v>
      </c>
      <c r="W2798">
        <v>0</v>
      </c>
      <c r="X2798">
        <v>1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0</v>
      </c>
      <c r="AI2798" t="s">
        <v>1422</v>
      </c>
      <c r="AJ2798">
        <v>38.884326999999999</v>
      </c>
      <c r="AK2798" t="s">
        <v>1420</v>
      </c>
      <c r="AL2798">
        <v>-87.610538000000005</v>
      </c>
      <c r="AM2798">
        <v>100</v>
      </c>
      <c r="AN2798">
        <v>2400</v>
      </c>
      <c r="AO2798" t="s">
        <v>118</v>
      </c>
      <c r="AP2798">
        <v>4</v>
      </c>
      <c r="AQ2798">
        <v>-130</v>
      </c>
      <c r="AR2798">
        <v>-384</v>
      </c>
      <c r="AZ2798">
        <v>4552</v>
      </c>
      <c r="BA2798">
        <v>1</v>
      </c>
      <c r="BB2798" t="str">
        <f t="shared" si="1038"/>
        <v xml:space="preserve">N607SR  </v>
      </c>
      <c r="BC2798">
        <v>1</v>
      </c>
      <c r="BE2798">
        <v>0</v>
      </c>
      <c r="BF2798">
        <v>0</v>
      </c>
      <c r="BG2798">
        <v>0</v>
      </c>
      <c r="BH2798">
        <v>2175</v>
      </c>
      <c r="BI2798">
        <v>1</v>
      </c>
      <c r="BJ2798">
        <v>1</v>
      </c>
      <c r="BK2798">
        <v>1</v>
      </c>
      <c r="BL2798">
        <v>0</v>
      </c>
      <c r="BO2798">
        <v>0</v>
      </c>
      <c r="BP2798">
        <v>0</v>
      </c>
      <c r="BW2798" t="str">
        <f t="shared" si="1065"/>
        <v>06:20:06.723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6</v>
      </c>
      <c r="CP2798" t="s">
        <v>119</v>
      </c>
      <c r="CQ2798">
        <v>465</v>
      </c>
      <c r="CR2798">
        <v>0</v>
      </c>
      <c r="CW2798">
        <v>4727796</v>
      </c>
      <c r="CY2798">
        <v>1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 t="shared" ref="A2799:A2804" si="1066">"08/29/2020 06:20:04.520"</f>
        <v>08/29/2020 06:20:04.520</v>
      </c>
      <c r="C2799" t="str">
        <f t="shared" si="1036"/>
        <v>FFDFD3C0</v>
      </c>
      <c r="D2799" t="s">
        <v>939</v>
      </c>
      <c r="E2799">
        <v>10</v>
      </c>
      <c r="H2799">
        <v>79</v>
      </c>
      <c r="I2799" t="s">
        <v>940</v>
      </c>
      <c r="J2799" t="s">
        <v>130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ref="S2799:S2804" si="1067">"06:20:07.742"</f>
        <v>06:20:07.742</v>
      </c>
      <c r="U2799" t="str">
        <f t="shared" si="1037"/>
        <v>A7E2E0</v>
      </c>
      <c r="V2799">
        <v>0</v>
      </c>
      <c r="W2799">
        <v>0</v>
      </c>
      <c r="X2799">
        <v>1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0</v>
      </c>
      <c r="AI2799" t="s">
        <v>1423</v>
      </c>
      <c r="AJ2799">
        <v>38.883727</v>
      </c>
      <c r="AK2799" t="s">
        <v>1424</v>
      </c>
      <c r="AL2799">
        <v>-87.610473999999996</v>
      </c>
      <c r="AM2799">
        <v>100</v>
      </c>
      <c r="AN2799">
        <v>2400</v>
      </c>
      <c r="AO2799" t="s">
        <v>118</v>
      </c>
      <c r="AP2799">
        <v>4</v>
      </c>
      <c r="AQ2799">
        <v>-130</v>
      </c>
      <c r="AR2799">
        <v>-448</v>
      </c>
      <c r="AZ2799">
        <v>4552</v>
      </c>
      <c r="BA2799">
        <v>1</v>
      </c>
      <c r="BB2799" t="str">
        <f t="shared" si="1038"/>
        <v xml:space="preserve">N607SR  </v>
      </c>
      <c r="BC2799">
        <v>1</v>
      </c>
      <c r="BE2799">
        <v>0</v>
      </c>
      <c r="BF2799">
        <v>0</v>
      </c>
      <c r="BG2799">
        <v>0</v>
      </c>
      <c r="BH2799">
        <v>2150</v>
      </c>
      <c r="BI2799">
        <v>1</v>
      </c>
      <c r="BJ2799">
        <v>1</v>
      </c>
      <c r="BK2799">
        <v>1</v>
      </c>
      <c r="BL2799">
        <v>0</v>
      </c>
      <c r="BO2799">
        <v>0</v>
      </c>
      <c r="BP2799">
        <v>0</v>
      </c>
      <c r="BW2799" t="str">
        <f t="shared" ref="BW2799:BW2804" si="1068">"06:20:07.747"</f>
        <v>06:20:07.747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6</v>
      </c>
      <c r="CP2799" t="s">
        <v>119</v>
      </c>
      <c r="CQ2799">
        <v>465</v>
      </c>
      <c r="CR2799">
        <v>0</v>
      </c>
      <c r="CW2799">
        <v>4727824</v>
      </c>
      <c r="CY2799">
        <v>1</v>
      </c>
      <c r="CZ2799">
        <v>0</v>
      </c>
      <c r="DA2799">
        <v>0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 t="shared" si="1066"/>
        <v>08/29/2020 06:20:04.520</v>
      </c>
      <c r="C2800" t="str">
        <f t="shared" si="1036"/>
        <v>FFDFD3C0</v>
      </c>
      <c r="D2800" t="s">
        <v>113</v>
      </c>
      <c r="E2800">
        <v>5</v>
      </c>
      <c r="H2800">
        <v>163</v>
      </c>
      <c r="I2800" t="s">
        <v>114</v>
      </c>
      <c r="J2800" t="s">
        <v>115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067"/>
        <v>06:20:07.742</v>
      </c>
      <c r="U2800" t="str">
        <f t="shared" si="1037"/>
        <v>A7E2E0</v>
      </c>
      <c r="V2800">
        <v>0</v>
      </c>
      <c r="W2800">
        <v>0</v>
      </c>
      <c r="X2800">
        <v>1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0</v>
      </c>
      <c r="AI2800" t="s">
        <v>1423</v>
      </c>
      <c r="AJ2800">
        <v>38.883727</v>
      </c>
      <c r="AK2800" t="s">
        <v>1424</v>
      </c>
      <c r="AL2800">
        <v>-87.610473999999996</v>
      </c>
      <c r="AM2800">
        <v>100</v>
      </c>
      <c r="AN2800">
        <v>2400</v>
      </c>
      <c r="AO2800" t="s">
        <v>118</v>
      </c>
      <c r="AP2800">
        <v>4</v>
      </c>
      <c r="AQ2800">
        <v>-130</v>
      </c>
      <c r="AR2800">
        <v>-448</v>
      </c>
      <c r="AZ2800">
        <v>4552</v>
      </c>
      <c r="BA2800">
        <v>1</v>
      </c>
      <c r="BB2800" t="str">
        <f t="shared" si="1038"/>
        <v xml:space="preserve">N607SR  </v>
      </c>
      <c r="BC2800">
        <v>1</v>
      </c>
      <c r="BE2800">
        <v>0</v>
      </c>
      <c r="BF2800">
        <v>0</v>
      </c>
      <c r="BG2800">
        <v>0</v>
      </c>
      <c r="BH2800">
        <v>2150</v>
      </c>
      <c r="BI2800">
        <v>1</v>
      </c>
      <c r="BJ2800">
        <v>1</v>
      </c>
      <c r="BK2800">
        <v>1</v>
      </c>
      <c r="BL2800">
        <v>0</v>
      </c>
      <c r="BO2800">
        <v>0</v>
      </c>
      <c r="BP2800">
        <v>0</v>
      </c>
      <c r="BW2800" t="str">
        <f t="shared" si="1068"/>
        <v>06:20:07.747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6</v>
      </c>
      <c r="CP2800" t="s">
        <v>119</v>
      </c>
      <c r="CQ2800">
        <v>465</v>
      </c>
      <c r="CR2800">
        <v>0</v>
      </c>
      <c r="CW2800">
        <v>4727824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 t="shared" si="1066"/>
        <v>08/29/2020 06:20:04.520</v>
      </c>
      <c r="C2801" t="str">
        <f t="shared" si="1036"/>
        <v>FFDFD3C0</v>
      </c>
      <c r="D2801" t="s">
        <v>121</v>
      </c>
      <c r="E2801">
        <v>11</v>
      </c>
      <c r="F2801">
        <v>1011</v>
      </c>
      <c r="G2801" t="s">
        <v>125</v>
      </c>
      <c r="J2801" t="s">
        <v>123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067"/>
        <v>06:20:07.742</v>
      </c>
      <c r="T2801" t="str">
        <f>"06:20:07.342"</f>
        <v>06:20:07.342</v>
      </c>
      <c r="U2801" t="str">
        <f t="shared" si="1037"/>
        <v>A7E2E0</v>
      </c>
      <c r="V2801">
        <v>0</v>
      </c>
      <c r="W2801">
        <v>0</v>
      </c>
      <c r="X2801">
        <v>1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0</v>
      </c>
      <c r="AI2801" t="s">
        <v>1423</v>
      </c>
      <c r="AJ2801">
        <v>38.883727</v>
      </c>
      <c r="AK2801" t="s">
        <v>1424</v>
      </c>
      <c r="AL2801">
        <v>-87.610473999999996</v>
      </c>
      <c r="AM2801">
        <v>100</v>
      </c>
      <c r="AN2801">
        <v>2400</v>
      </c>
      <c r="AO2801" t="s">
        <v>118</v>
      </c>
      <c r="AP2801">
        <v>4</v>
      </c>
      <c r="AQ2801">
        <v>-130</v>
      </c>
      <c r="AR2801">
        <v>-448</v>
      </c>
      <c r="AZ2801">
        <v>4552</v>
      </c>
      <c r="BA2801">
        <v>1</v>
      </c>
      <c r="BB2801" t="str">
        <f t="shared" si="1038"/>
        <v xml:space="preserve">N607SR  </v>
      </c>
      <c r="BC2801">
        <v>1</v>
      </c>
      <c r="BE2801">
        <v>0</v>
      </c>
      <c r="BF2801">
        <v>0</v>
      </c>
      <c r="BG2801">
        <v>0</v>
      </c>
      <c r="BH2801">
        <v>2150</v>
      </c>
      <c r="BI2801">
        <v>1</v>
      </c>
      <c r="BJ2801">
        <v>1</v>
      </c>
      <c r="BK2801">
        <v>1</v>
      </c>
      <c r="BL2801">
        <v>0</v>
      </c>
      <c r="BO2801">
        <v>0</v>
      </c>
      <c r="BP2801">
        <v>0</v>
      </c>
      <c r="BW2801" t="str">
        <f t="shared" si="1068"/>
        <v>06:20:07.747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5</v>
      </c>
      <c r="CP2801" t="s">
        <v>119</v>
      </c>
      <c r="CQ2801">
        <v>177</v>
      </c>
      <c r="CR2801">
        <v>2</v>
      </c>
      <c r="CW2801">
        <v>1682002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 t="shared" si="1066"/>
        <v>08/29/2020 06:20:04.520</v>
      </c>
      <c r="C2802" t="str">
        <f t="shared" si="1036"/>
        <v>FFDFD3C0</v>
      </c>
      <c r="D2802" t="s">
        <v>128</v>
      </c>
      <c r="E2802">
        <v>5</v>
      </c>
      <c r="H2802">
        <v>241</v>
      </c>
      <c r="I2802" t="s">
        <v>129</v>
      </c>
      <c r="J2802" t="s">
        <v>130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067"/>
        <v>06:20:07.742</v>
      </c>
      <c r="U2802" t="str">
        <f t="shared" si="1037"/>
        <v>A7E2E0</v>
      </c>
      <c r="V2802">
        <v>0</v>
      </c>
      <c r="W2802">
        <v>0</v>
      </c>
      <c r="X2802">
        <v>1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0</v>
      </c>
      <c r="AI2802" t="s">
        <v>1423</v>
      </c>
      <c r="AJ2802">
        <v>38.883727</v>
      </c>
      <c r="AK2802" t="s">
        <v>1424</v>
      </c>
      <c r="AL2802">
        <v>-87.610473999999996</v>
      </c>
      <c r="AM2802">
        <v>100</v>
      </c>
      <c r="AN2802">
        <v>2400</v>
      </c>
      <c r="AO2802" t="s">
        <v>118</v>
      </c>
      <c r="AP2802">
        <v>4</v>
      </c>
      <c r="AQ2802">
        <v>-130</v>
      </c>
      <c r="AR2802">
        <v>-448</v>
      </c>
      <c r="AZ2802">
        <v>4552</v>
      </c>
      <c r="BA2802">
        <v>1</v>
      </c>
      <c r="BB2802" t="str">
        <f t="shared" si="1038"/>
        <v xml:space="preserve">N607SR  </v>
      </c>
      <c r="BC2802">
        <v>1</v>
      </c>
      <c r="BE2802">
        <v>0</v>
      </c>
      <c r="BF2802">
        <v>0</v>
      </c>
      <c r="BG2802">
        <v>0</v>
      </c>
      <c r="BH2802">
        <v>2150</v>
      </c>
      <c r="BI2802">
        <v>1</v>
      </c>
      <c r="BJ2802">
        <v>1</v>
      </c>
      <c r="BK2802">
        <v>1</v>
      </c>
      <c r="BL2802">
        <v>0</v>
      </c>
      <c r="BO2802">
        <v>0</v>
      </c>
      <c r="BP2802">
        <v>0</v>
      </c>
      <c r="BW2802" t="str">
        <f t="shared" si="1068"/>
        <v>06:20:07.747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6</v>
      </c>
      <c r="CP2802" t="s">
        <v>119</v>
      </c>
      <c r="CQ2802">
        <v>465</v>
      </c>
      <c r="CR2802">
        <v>0</v>
      </c>
      <c r="CW2802">
        <v>4727824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 t="shared" si="1066"/>
        <v>08/29/2020 06:20:04.520</v>
      </c>
      <c r="C2803" t="str">
        <f t="shared" si="1036"/>
        <v>FFDFD3C0</v>
      </c>
      <c r="D2803" t="s">
        <v>121</v>
      </c>
      <c r="E2803">
        <v>10</v>
      </c>
      <c r="F2803">
        <v>1010</v>
      </c>
      <c r="G2803" t="s">
        <v>114</v>
      </c>
      <c r="J2803" t="s">
        <v>123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067"/>
        <v>06:20:07.742</v>
      </c>
      <c r="U2803" t="str">
        <f t="shared" si="1037"/>
        <v>A7E2E0</v>
      </c>
      <c r="V2803">
        <v>0</v>
      </c>
      <c r="W2803">
        <v>0</v>
      </c>
      <c r="X2803">
        <v>1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0</v>
      </c>
      <c r="AI2803" t="s">
        <v>1423</v>
      </c>
      <c r="AJ2803">
        <v>38.883727</v>
      </c>
      <c r="AK2803" t="s">
        <v>1424</v>
      </c>
      <c r="AL2803">
        <v>-87.610473999999996</v>
      </c>
      <c r="AM2803">
        <v>100</v>
      </c>
      <c r="AN2803">
        <v>2400</v>
      </c>
      <c r="AO2803" t="s">
        <v>118</v>
      </c>
      <c r="AP2803">
        <v>4</v>
      </c>
      <c r="AQ2803">
        <v>-130</v>
      </c>
      <c r="AR2803">
        <v>-448</v>
      </c>
      <c r="AZ2803">
        <v>4552</v>
      </c>
      <c r="BA2803">
        <v>1</v>
      </c>
      <c r="BB2803" t="str">
        <f t="shared" si="1038"/>
        <v xml:space="preserve">N607SR  </v>
      </c>
      <c r="BC2803">
        <v>1</v>
      </c>
      <c r="BE2803">
        <v>0</v>
      </c>
      <c r="BF2803">
        <v>0</v>
      </c>
      <c r="BG2803">
        <v>0</v>
      </c>
      <c r="BH2803">
        <v>2150</v>
      </c>
      <c r="BI2803">
        <v>1</v>
      </c>
      <c r="BJ2803">
        <v>1</v>
      </c>
      <c r="BK2803">
        <v>1</v>
      </c>
      <c r="BL2803">
        <v>0</v>
      </c>
      <c r="BO2803">
        <v>0</v>
      </c>
      <c r="BP2803">
        <v>0</v>
      </c>
      <c r="BW2803" t="str">
        <f t="shared" si="1068"/>
        <v>06:20:07.747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6</v>
      </c>
      <c r="CP2803" t="s">
        <v>119</v>
      </c>
      <c r="CQ2803">
        <v>465</v>
      </c>
      <c r="CR2803">
        <v>0</v>
      </c>
      <c r="CW2803">
        <v>4727824</v>
      </c>
      <c r="CY2803">
        <v>1</v>
      </c>
      <c r="CZ2803">
        <v>0</v>
      </c>
      <c r="DA2803">
        <v>1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 t="shared" si="1066"/>
        <v>08/29/2020 06:20:04.520</v>
      </c>
      <c r="C2804" t="str">
        <f t="shared" si="1036"/>
        <v>FFDFD3C0</v>
      </c>
      <c r="D2804" t="s">
        <v>121</v>
      </c>
      <c r="E2804">
        <v>13</v>
      </c>
      <c r="F2804">
        <v>1013</v>
      </c>
      <c r="G2804" t="s">
        <v>122</v>
      </c>
      <c r="J2804" t="s">
        <v>123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067"/>
        <v>06:20:07.742</v>
      </c>
      <c r="U2804" t="str">
        <f t="shared" si="1037"/>
        <v>A7E2E0</v>
      </c>
      <c r="V2804">
        <v>0</v>
      </c>
      <c r="W2804">
        <v>0</v>
      </c>
      <c r="X2804">
        <v>1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0</v>
      </c>
      <c r="AI2804" t="s">
        <v>1423</v>
      </c>
      <c r="AJ2804">
        <v>38.883727</v>
      </c>
      <c r="AK2804" t="s">
        <v>1424</v>
      </c>
      <c r="AL2804">
        <v>-87.610473999999996</v>
      </c>
      <c r="AM2804">
        <v>100</v>
      </c>
      <c r="AN2804">
        <v>2400</v>
      </c>
      <c r="AO2804" t="s">
        <v>118</v>
      </c>
      <c r="AP2804">
        <v>4</v>
      </c>
      <c r="AQ2804">
        <v>-130</v>
      </c>
      <c r="AR2804">
        <v>-448</v>
      </c>
      <c r="AZ2804">
        <v>4552</v>
      </c>
      <c r="BA2804">
        <v>1</v>
      </c>
      <c r="BB2804" t="str">
        <f t="shared" si="1038"/>
        <v xml:space="preserve">N607SR  </v>
      </c>
      <c r="BC2804">
        <v>1</v>
      </c>
      <c r="BE2804">
        <v>0</v>
      </c>
      <c r="BF2804">
        <v>0</v>
      </c>
      <c r="BG2804">
        <v>0</v>
      </c>
      <c r="BH2804">
        <v>2150</v>
      </c>
      <c r="BI2804">
        <v>1</v>
      </c>
      <c r="BJ2804">
        <v>1</v>
      </c>
      <c r="BK2804">
        <v>1</v>
      </c>
      <c r="BL2804">
        <v>0</v>
      </c>
      <c r="BO2804">
        <v>0</v>
      </c>
      <c r="BP2804">
        <v>0</v>
      </c>
      <c r="BW2804" t="str">
        <f t="shared" si="1068"/>
        <v>06:20:07.747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6</v>
      </c>
      <c r="CP2804" t="s">
        <v>119</v>
      </c>
      <c r="CQ2804">
        <v>465</v>
      </c>
      <c r="CR2804">
        <v>0</v>
      </c>
      <c r="CW2804">
        <v>4727824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 t="shared" ref="A2805:A2810" si="1069">"08/29/2020 06:20:05.546"</f>
        <v>08/29/2020 06:20:05.546</v>
      </c>
      <c r="C2805" t="str">
        <f t="shared" si="1036"/>
        <v>FFDFD3C0</v>
      </c>
      <c r="D2805" t="s">
        <v>113</v>
      </c>
      <c r="E2805">
        <v>5</v>
      </c>
      <c r="H2805">
        <v>163</v>
      </c>
      <c r="I2805" t="s">
        <v>114</v>
      </c>
      <c r="J2805" t="s">
        <v>115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ref="S2805:S2810" si="1070">"06:20:08.773"</f>
        <v>06:20:08.773</v>
      </c>
      <c r="T2805" t="str">
        <f t="shared" ref="T2805:T2810" si="1071">"06:20:08.273"</f>
        <v>06:20:08.273</v>
      </c>
      <c r="U2805" t="str">
        <f t="shared" si="1037"/>
        <v>A7E2E0</v>
      </c>
      <c r="V2805">
        <v>0</v>
      </c>
      <c r="W2805">
        <v>0</v>
      </c>
      <c r="X2805">
        <v>1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0</v>
      </c>
      <c r="AI2805" t="s">
        <v>1425</v>
      </c>
      <c r="AJ2805">
        <v>38.883125999999997</v>
      </c>
      <c r="AK2805" t="s">
        <v>1424</v>
      </c>
      <c r="AL2805">
        <v>-87.610473999999996</v>
      </c>
      <c r="AM2805">
        <v>100</v>
      </c>
      <c r="AN2805">
        <v>2300</v>
      </c>
      <c r="AO2805" t="s">
        <v>118</v>
      </c>
      <c r="AP2805">
        <v>4</v>
      </c>
      <c r="AQ2805">
        <v>-130</v>
      </c>
      <c r="AR2805">
        <v>-448</v>
      </c>
      <c r="AZ2805">
        <v>4552</v>
      </c>
      <c r="BA2805">
        <v>1</v>
      </c>
      <c r="BB2805" t="str">
        <f t="shared" si="1038"/>
        <v xml:space="preserve">N607SR  </v>
      </c>
      <c r="BC2805">
        <v>1</v>
      </c>
      <c r="BE2805">
        <v>0</v>
      </c>
      <c r="BF2805">
        <v>0</v>
      </c>
      <c r="BG2805">
        <v>0</v>
      </c>
      <c r="BH2805">
        <v>2150</v>
      </c>
      <c r="BI2805">
        <v>1</v>
      </c>
      <c r="BJ2805">
        <v>1</v>
      </c>
      <c r="BK2805">
        <v>1</v>
      </c>
      <c r="BL2805">
        <v>0</v>
      </c>
      <c r="BO2805">
        <v>0</v>
      </c>
      <c r="BP2805">
        <v>0</v>
      </c>
      <c r="BW2805" t="str">
        <f t="shared" ref="BW2805:BW2810" si="1072">"06:20:08.774"</f>
        <v>06:20:08.774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6</v>
      </c>
      <c r="CP2805" t="s">
        <v>119</v>
      </c>
      <c r="CQ2805">
        <v>465</v>
      </c>
      <c r="CR2805">
        <v>0</v>
      </c>
      <c r="CW2805">
        <v>4727852</v>
      </c>
      <c r="CY2805">
        <v>1</v>
      </c>
      <c r="CZ2805">
        <v>0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 t="shared" si="1069"/>
        <v>08/29/2020 06:20:05.546</v>
      </c>
      <c r="C2806" t="str">
        <f t="shared" si="1036"/>
        <v>FFDFD3C0</v>
      </c>
      <c r="D2806" t="s">
        <v>121</v>
      </c>
      <c r="E2806">
        <v>11</v>
      </c>
      <c r="F2806">
        <v>1011</v>
      </c>
      <c r="G2806" t="s">
        <v>125</v>
      </c>
      <c r="J2806" t="s">
        <v>123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si="1070"/>
        <v>06:20:08.773</v>
      </c>
      <c r="T2806" t="str">
        <f t="shared" si="1071"/>
        <v>06:20:08.273</v>
      </c>
      <c r="U2806" t="str">
        <f t="shared" si="1037"/>
        <v>A7E2E0</v>
      </c>
      <c r="V2806">
        <v>0</v>
      </c>
      <c r="W2806">
        <v>0</v>
      </c>
      <c r="X2806">
        <v>1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0</v>
      </c>
      <c r="AI2806" t="s">
        <v>1425</v>
      </c>
      <c r="AJ2806">
        <v>38.883125999999997</v>
      </c>
      <c r="AK2806" t="s">
        <v>1424</v>
      </c>
      <c r="AL2806">
        <v>-87.610473999999996</v>
      </c>
      <c r="AM2806">
        <v>100</v>
      </c>
      <c r="AN2806">
        <v>2300</v>
      </c>
      <c r="AO2806" t="s">
        <v>118</v>
      </c>
      <c r="AP2806">
        <v>4</v>
      </c>
      <c r="AQ2806">
        <v>-130</v>
      </c>
      <c r="AR2806">
        <v>-448</v>
      </c>
      <c r="AZ2806">
        <v>4552</v>
      </c>
      <c r="BA2806">
        <v>1</v>
      </c>
      <c r="BB2806" t="str">
        <f t="shared" si="1038"/>
        <v xml:space="preserve">N607SR  </v>
      </c>
      <c r="BC2806">
        <v>1</v>
      </c>
      <c r="BE2806">
        <v>0</v>
      </c>
      <c r="BF2806">
        <v>0</v>
      </c>
      <c r="BG2806">
        <v>0</v>
      </c>
      <c r="BH2806">
        <v>2150</v>
      </c>
      <c r="BI2806">
        <v>1</v>
      </c>
      <c r="BJ2806">
        <v>1</v>
      </c>
      <c r="BK2806">
        <v>1</v>
      </c>
      <c r="BL2806">
        <v>0</v>
      </c>
      <c r="BO2806">
        <v>0</v>
      </c>
      <c r="BP2806">
        <v>0</v>
      </c>
      <c r="BW2806" t="str">
        <f t="shared" si="1072"/>
        <v>06:20:08.774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5</v>
      </c>
      <c r="CP2806" t="s">
        <v>119</v>
      </c>
      <c r="CQ2806">
        <v>177</v>
      </c>
      <c r="CR2806">
        <v>2</v>
      </c>
      <c r="CW2806">
        <v>1682169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 t="shared" si="1069"/>
        <v>08/29/2020 06:20:05.546</v>
      </c>
      <c r="C2807" t="str">
        <f t="shared" si="1036"/>
        <v>FFDFD3C0</v>
      </c>
      <c r="D2807" t="s">
        <v>128</v>
      </c>
      <c r="E2807">
        <v>5</v>
      </c>
      <c r="H2807">
        <v>241</v>
      </c>
      <c r="I2807" t="s">
        <v>129</v>
      </c>
      <c r="J2807" t="s">
        <v>130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070"/>
        <v>06:20:08.773</v>
      </c>
      <c r="T2807" t="str">
        <f t="shared" si="1071"/>
        <v>06:20:08.273</v>
      </c>
      <c r="U2807" t="str">
        <f t="shared" si="1037"/>
        <v>A7E2E0</v>
      </c>
      <c r="V2807">
        <v>0</v>
      </c>
      <c r="W2807">
        <v>0</v>
      </c>
      <c r="X2807">
        <v>1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0</v>
      </c>
      <c r="AI2807" t="s">
        <v>1425</v>
      </c>
      <c r="AJ2807">
        <v>38.883125999999997</v>
      </c>
      <c r="AK2807" t="s">
        <v>1424</v>
      </c>
      <c r="AL2807">
        <v>-87.610473999999996</v>
      </c>
      <c r="AM2807">
        <v>100</v>
      </c>
      <c r="AN2807">
        <v>2300</v>
      </c>
      <c r="AO2807" t="s">
        <v>118</v>
      </c>
      <c r="AP2807">
        <v>4</v>
      </c>
      <c r="AQ2807">
        <v>-130</v>
      </c>
      <c r="AR2807">
        <v>-448</v>
      </c>
      <c r="AZ2807">
        <v>4552</v>
      </c>
      <c r="BA2807">
        <v>1</v>
      </c>
      <c r="BB2807" t="str">
        <f t="shared" si="1038"/>
        <v xml:space="preserve">N607SR  </v>
      </c>
      <c r="BC2807">
        <v>1</v>
      </c>
      <c r="BE2807">
        <v>0</v>
      </c>
      <c r="BF2807">
        <v>0</v>
      </c>
      <c r="BG2807">
        <v>0</v>
      </c>
      <c r="BH2807">
        <v>2150</v>
      </c>
      <c r="BI2807">
        <v>1</v>
      </c>
      <c r="BJ2807">
        <v>1</v>
      </c>
      <c r="BK2807">
        <v>1</v>
      </c>
      <c r="BL2807">
        <v>0</v>
      </c>
      <c r="BO2807">
        <v>0</v>
      </c>
      <c r="BP2807">
        <v>0</v>
      </c>
      <c r="BW2807" t="str">
        <f t="shared" si="1072"/>
        <v>06:20:08.774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6</v>
      </c>
      <c r="CP2807" t="s">
        <v>119</v>
      </c>
      <c r="CQ2807">
        <v>465</v>
      </c>
      <c r="CR2807">
        <v>0</v>
      </c>
      <c r="CW2807">
        <v>4727852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 t="shared" si="1069"/>
        <v>08/29/2020 06:20:05.546</v>
      </c>
      <c r="C2808" t="str">
        <f t="shared" si="1036"/>
        <v>FFDFD3C0</v>
      </c>
      <c r="D2808" t="s">
        <v>121</v>
      </c>
      <c r="E2808">
        <v>10</v>
      </c>
      <c r="F2808">
        <v>1010</v>
      </c>
      <c r="G2808" t="s">
        <v>114</v>
      </c>
      <c r="J2808" t="s">
        <v>123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si="1070"/>
        <v>06:20:08.773</v>
      </c>
      <c r="T2808" t="str">
        <f t="shared" si="1071"/>
        <v>06:20:08.273</v>
      </c>
      <c r="U2808" t="str">
        <f t="shared" si="1037"/>
        <v>A7E2E0</v>
      </c>
      <c r="V2808">
        <v>0</v>
      </c>
      <c r="W2808">
        <v>0</v>
      </c>
      <c r="X2808">
        <v>1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0</v>
      </c>
      <c r="AI2808" t="s">
        <v>1425</v>
      </c>
      <c r="AJ2808">
        <v>38.883125999999997</v>
      </c>
      <c r="AK2808" t="s">
        <v>1424</v>
      </c>
      <c r="AL2808">
        <v>-87.610473999999996</v>
      </c>
      <c r="AM2808">
        <v>100</v>
      </c>
      <c r="AN2808">
        <v>2300</v>
      </c>
      <c r="AO2808" t="s">
        <v>118</v>
      </c>
      <c r="AP2808">
        <v>4</v>
      </c>
      <c r="AQ2808">
        <v>-130</v>
      </c>
      <c r="AR2808">
        <v>-448</v>
      </c>
      <c r="AZ2808">
        <v>4552</v>
      </c>
      <c r="BA2808">
        <v>1</v>
      </c>
      <c r="BB2808" t="str">
        <f t="shared" si="1038"/>
        <v xml:space="preserve">N607SR  </v>
      </c>
      <c r="BC2808">
        <v>1</v>
      </c>
      <c r="BE2808">
        <v>0</v>
      </c>
      <c r="BF2808">
        <v>0</v>
      </c>
      <c r="BG2808">
        <v>0</v>
      </c>
      <c r="BH2808">
        <v>2150</v>
      </c>
      <c r="BI2808">
        <v>1</v>
      </c>
      <c r="BJ2808">
        <v>1</v>
      </c>
      <c r="BK2808">
        <v>1</v>
      </c>
      <c r="BL2808">
        <v>0</v>
      </c>
      <c r="BO2808">
        <v>0</v>
      </c>
      <c r="BP2808">
        <v>0</v>
      </c>
      <c r="BW2808" t="str">
        <f t="shared" si="1072"/>
        <v>06:20:08.774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6</v>
      </c>
      <c r="CP2808" t="s">
        <v>119</v>
      </c>
      <c r="CQ2808">
        <v>465</v>
      </c>
      <c r="CR2808">
        <v>0</v>
      </c>
      <c r="CW2808">
        <v>4727852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 t="shared" si="1069"/>
        <v>08/29/2020 06:20:05.546</v>
      </c>
      <c r="C2809" t="str">
        <f t="shared" si="1036"/>
        <v>FFDFD3C0</v>
      </c>
      <c r="D2809" t="s">
        <v>121</v>
      </c>
      <c r="E2809">
        <v>13</v>
      </c>
      <c r="F2809">
        <v>1013</v>
      </c>
      <c r="G2809" t="s">
        <v>122</v>
      </c>
      <c r="J2809" t="s">
        <v>123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070"/>
        <v>06:20:08.773</v>
      </c>
      <c r="T2809" t="str">
        <f t="shared" si="1071"/>
        <v>06:20:08.273</v>
      </c>
      <c r="U2809" t="str">
        <f t="shared" si="1037"/>
        <v>A7E2E0</v>
      </c>
      <c r="V2809">
        <v>0</v>
      </c>
      <c r="W2809">
        <v>0</v>
      </c>
      <c r="X2809">
        <v>1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0</v>
      </c>
      <c r="AI2809" t="s">
        <v>1425</v>
      </c>
      <c r="AJ2809">
        <v>38.883125999999997</v>
      </c>
      <c r="AK2809" t="s">
        <v>1424</v>
      </c>
      <c r="AL2809">
        <v>-87.610473999999996</v>
      </c>
      <c r="AM2809">
        <v>100</v>
      </c>
      <c r="AN2809">
        <v>2300</v>
      </c>
      <c r="AO2809" t="s">
        <v>118</v>
      </c>
      <c r="AP2809">
        <v>4</v>
      </c>
      <c r="AQ2809">
        <v>-130</v>
      </c>
      <c r="AR2809">
        <v>-448</v>
      </c>
      <c r="AZ2809">
        <v>4552</v>
      </c>
      <c r="BA2809">
        <v>1</v>
      </c>
      <c r="BB2809" t="str">
        <f t="shared" si="1038"/>
        <v xml:space="preserve">N607SR  </v>
      </c>
      <c r="BC2809">
        <v>1</v>
      </c>
      <c r="BE2809">
        <v>0</v>
      </c>
      <c r="BF2809">
        <v>0</v>
      </c>
      <c r="BG2809">
        <v>0</v>
      </c>
      <c r="BH2809">
        <v>2150</v>
      </c>
      <c r="BI2809">
        <v>1</v>
      </c>
      <c r="BJ2809">
        <v>1</v>
      </c>
      <c r="BK2809">
        <v>1</v>
      </c>
      <c r="BL2809">
        <v>0</v>
      </c>
      <c r="BO2809">
        <v>0</v>
      </c>
      <c r="BP2809">
        <v>0</v>
      </c>
      <c r="BW2809" t="str">
        <f t="shared" si="1072"/>
        <v>06:20:08.774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6</v>
      </c>
      <c r="CP2809" t="s">
        <v>119</v>
      </c>
      <c r="CQ2809">
        <v>465</v>
      </c>
      <c r="CR2809">
        <v>0</v>
      </c>
      <c r="CW2809">
        <v>4727852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 t="shared" si="1069"/>
        <v>08/29/2020 06:20:05.546</v>
      </c>
      <c r="C2810" t="str">
        <f t="shared" si="1036"/>
        <v>FFDFD3C0</v>
      </c>
      <c r="D2810" t="s">
        <v>939</v>
      </c>
      <c r="E2810">
        <v>10</v>
      </c>
      <c r="H2810">
        <v>79</v>
      </c>
      <c r="I2810" t="s">
        <v>940</v>
      </c>
      <c r="J2810" t="s">
        <v>130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070"/>
        <v>06:20:08.773</v>
      </c>
      <c r="T2810" t="str">
        <f t="shared" si="1071"/>
        <v>06:20:08.273</v>
      </c>
      <c r="U2810" t="str">
        <f t="shared" si="1037"/>
        <v>A7E2E0</v>
      </c>
      <c r="V2810">
        <v>0</v>
      </c>
      <c r="W2810">
        <v>0</v>
      </c>
      <c r="X2810">
        <v>1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0</v>
      </c>
      <c r="AI2810" t="s">
        <v>1425</v>
      </c>
      <c r="AJ2810">
        <v>38.883125999999997</v>
      </c>
      <c r="AK2810" t="s">
        <v>1424</v>
      </c>
      <c r="AL2810">
        <v>-87.610473999999996</v>
      </c>
      <c r="AM2810">
        <v>100</v>
      </c>
      <c r="AN2810">
        <v>2300</v>
      </c>
      <c r="AO2810" t="s">
        <v>118</v>
      </c>
      <c r="AP2810">
        <v>4</v>
      </c>
      <c r="AQ2810">
        <v>-130</v>
      </c>
      <c r="AR2810">
        <v>-448</v>
      </c>
      <c r="AZ2810">
        <v>4552</v>
      </c>
      <c r="BA2810">
        <v>1</v>
      </c>
      <c r="BB2810" t="str">
        <f t="shared" si="1038"/>
        <v xml:space="preserve">N607SR  </v>
      </c>
      <c r="BC2810">
        <v>1</v>
      </c>
      <c r="BE2810">
        <v>0</v>
      </c>
      <c r="BF2810">
        <v>0</v>
      </c>
      <c r="BG2810">
        <v>0</v>
      </c>
      <c r="BH2810">
        <v>2150</v>
      </c>
      <c r="BI2810">
        <v>1</v>
      </c>
      <c r="BJ2810">
        <v>1</v>
      </c>
      <c r="BK2810">
        <v>1</v>
      </c>
      <c r="BL2810">
        <v>0</v>
      </c>
      <c r="BO2810">
        <v>0</v>
      </c>
      <c r="BP2810">
        <v>0</v>
      </c>
      <c r="BW2810" t="str">
        <f t="shared" si="1072"/>
        <v>06:20:08.774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6</v>
      </c>
      <c r="CP2810" t="s">
        <v>119</v>
      </c>
      <c r="CQ2810">
        <v>465</v>
      </c>
      <c r="CR2810">
        <v>0</v>
      </c>
      <c r="CW2810">
        <v>4727852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 t="shared" ref="A2811:A2816" si="1073">"08/29/2020 06:20:06.532"</f>
        <v>08/29/2020 06:20:06.532</v>
      </c>
      <c r="C2811" t="str">
        <f t="shared" si="1036"/>
        <v>FFDFD3C0</v>
      </c>
      <c r="D2811" t="s">
        <v>939</v>
      </c>
      <c r="E2811">
        <v>10</v>
      </c>
      <c r="H2811">
        <v>79</v>
      </c>
      <c r="I2811" t="s">
        <v>940</v>
      </c>
      <c r="J2811" t="s">
        <v>130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ref="S2811:S2816" si="1074">"06:20:09.773"</f>
        <v>06:20:09.773</v>
      </c>
      <c r="T2811" t="str">
        <f t="shared" ref="T2811:T2816" si="1075">"06:20:09.373"</f>
        <v>06:20:09.373</v>
      </c>
      <c r="U2811" t="str">
        <f t="shared" si="1037"/>
        <v>A7E2E0</v>
      </c>
      <c r="V2811">
        <v>0</v>
      </c>
      <c r="W2811">
        <v>0</v>
      </c>
      <c r="X2811">
        <v>1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0</v>
      </c>
      <c r="AI2811" t="s">
        <v>1426</v>
      </c>
      <c r="AJ2811">
        <v>38.882545999999998</v>
      </c>
      <c r="AK2811" t="s">
        <v>1427</v>
      </c>
      <c r="AL2811">
        <v>-87.610409000000004</v>
      </c>
      <c r="AM2811">
        <v>100</v>
      </c>
      <c r="AN2811">
        <v>2300</v>
      </c>
      <c r="AO2811" t="s">
        <v>118</v>
      </c>
      <c r="AP2811">
        <v>4</v>
      </c>
      <c r="AQ2811">
        <v>-130</v>
      </c>
      <c r="AR2811">
        <v>-448</v>
      </c>
      <c r="AZ2811">
        <v>4552</v>
      </c>
      <c r="BA2811">
        <v>1</v>
      </c>
      <c r="BB2811" t="str">
        <f t="shared" si="1038"/>
        <v xml:space="preserve">N607SR  </v>
      </c>
      <c r="BC2811">
        <v>1</v>
      </c>
      <c r="BE2811">
        <v>0</v>
      </c>
      <c r="BF2811">
        <v>0</v>
      </c>
      <c r="BG2811">
        <v>0</v>
      </c>
      <c r="BH2811">
        <v>2150</v>
      </c>
      <c r="BI2811">
        <v>1</v>
      </c>
      <c r="BJ2811">
        <v>1</v>
      </c>
      <c r="BK2811">
        <v>1</v>
      </c>
      <c r="BL2811">
        <v>0</v>
      </c>
      <c r="BO2811">
        <v>0</v>
      </c>
      <c r="BP2811">
        <v>0</v>
      </c>
      <c r="BW2811" t="str">
        <f>"06:20:09.775"</f>
        <v>06:20:09.775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6</v>
      </c>
      <c r="CP2811" t="s">
        <v>119</v>
      </c>
      <c r="CQ2811">
        <v>465</v>
      </c>
      <c r="CR2811">
        <v>0</v>
      </c>
      <c r="CW2811">
        <v>4727885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 t="shared" si="1073"/>
        <v>08/29/2020 06:20:06.532</v>
      </c>
      <c r="C2812" t="str">
        <f t="shared" si="1036"/>
        <v>FFDFD3C0</v>
      </c>
      <c r="D2812" t="s">
        <v>113</v>
      </c>
      <c r="E2812">
        <v>5</v>
      </c>
      <c r="H2812">
        <v>163</v>
      </c>
      <c r="I2812" t="s">
        <v>114</v>
      </c>
      <c r="J2812" t="s">
        <v>115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074"/>
        <v>06:20:09.773</v>
      </c>
      <c r="T2812" t="str">
        <f t="shared" si="1075"/>
        <v>06:20:09.373</v>
      </c>
      <c r="U2812" t="str">
        <f t="shared" si="1037"/>
        <v>A7E2E0</v>
      </c>
      <c r="V2812">
        <v>0</v>
      </c>
      <c r="W2812">
        <v>0</v>
      </c>
      <c r="X2812">
        <v>1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0</v>
      </c>
      <c r="AI2812" t="s">
        <v>1426</v>
      </c>
      <c r="AJ2812">
        <v>38.882545999999998</v>
      </c>
      <c r="AK2812" t="s">
        <v>1427</v>
      </c>
      <c r="AL2812">
        <v>-87.610409000000004</v>
      </c>
      <c r="AM2812">
        <v>100</v>
      </c>
      <c r="AN2812">
        <v>2300</v>
      </c>
      <c r="AO2812" t="s">
        <v>118</v>
      </c>
      <c r="AP2812">
        <v>4</v>
      </c>
      <c r="AQ2812">
        <v>-130</v>
      </c>
      <c r="AR2812">
        <v>-448</v>
      </c>
      <c r="AZ2812">
        <v>4552</v>
      </c>
      <c r="BA2812">
        <v>1</v>
      </c>
      <c r="BB2812" t="str">
        <f t="shared" si="1038"/>
        <v xml:space="preserve">N607SR  </v>
      </c>
      <c r="BC2812">
        <v>1</v>
      </c>
      <c r="BE2812">
        <v>0</v>
      </c>
      <c r="BF2812">
        <v>0</v>
      </c>
      <c r="BG2812">
        <v>0</v>
      </c>
      <c r="BH2812">
        <v>2150</v>
      </c>
      <c r="BI2812">
        <v>1</v>
      </c>
      <c r="BJ2812">
        <v>1</v>
      </c>
      <c r="BK2812">
        <v>1</v>
      </c>
      <c r="BL2812">
        <v>0</v>
      </c>
      <c r="BO2812">
        <v>0</v>
      </c>
      <c r="BP2812">
        <v>0</v>
      </c>
      <c r="BW2812" t="str">
        <f>"06:20:09.775"</f>
        <v>06:20:09.775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6</v>
      </c>
      <c r="CP2812" t="s">
        <v>119</v>
      </c>
      <c r="CQ2812">
        <v>465</v>
      </c>
      <c r="CR2812">
        <v>0</v>
      </c>
      <c r="CW2812">
        <v>4727885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 t="shared" si="1073"/>
        <v>08/29/2020 06:20:06.532</v>
      </c>
      <c r="C2813" t="str">
        <f t="shared" si="1036"/>
        <v>FFDFD3C0</v>
      </c>
      <c r="D2813" t="s">
        <v>121</v>
      </c>
      <c r="E2813">
        <v>11</v>
      </c>
      <c r="F2813">
        <v>1011</v>
      </c>
      <c r="G2813" t="s">
        <v>125</v>
      </c>
      <c r="J2813" t="s">
        <v>123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074"/>
        <v>06:20:09.773</v>
      </c>
      <c r="T2813" t="str">
        <f t="shared" si="1075"/>
        <v>06:20:09.373</v>
      </c>
      <c r="U2813" t="str">
        <f t="shared" si="1037"/>
        <v>A7E2E0</v>
      </c>
      <c r="V2813">
        <v>0</v>
      </c>
      <c r="W2813">
        <v>0</v>
      </c>
      <c r="X2813">
        <v>1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0</v>
      </c>
      <c r="AI2813" t="s">
        <v>1426</v>
      </c>
      <c r="AJ2813">
        <v>38.882545999999998</v>
      </c>
      <c r="AK2813" t="s">
        <v>1427</v>
      </c>
      <c r="AL2813">
        <v>-87.610409000000004</v>
      </c>
      <c r="AM2813">
        <v>100</v>
      </c>
      <c r="AN2813">
        <v>2300</v>
      </c>
      <c r="AO2813" t="s">
        <v>118</v>
      </c>
      <c r="AP2813">
        <v>4</v>
      </c>
      <c r="AQ2813">
        <v>-130</v>
      </c>
      <c r="AR2813">
        <v>-448</v>
      </c>
      <c r="AZ2813">
        <v>4552</v>
      </c>
      <c r="BA2813">
        <v>1</v>
      </c>
      <c r="BB2813" t="str">
        <f t="shared" si="1038"/>
        <v xml:space="preserve">N607SR  </v>
      </c>
      <c r="BC2813">
        <v>1</v>
      </c>
      <c r="BE2813">
        <v>0</v>
      </c>
      <c r="BF2813">
        <v>0</v>
      </c>
      <c r="BG2813">
        <v>0</v>
      </c>
      <c r="BH2813">
        <v>2150</v>
      </c>
      <c r="BI2813">
        <v>1</v>
      </c>
      <c r="BJ2813">
        <v>1</v>
      </c>
      <c r="BK2813">
        <v>1</v>
      </c>
      <c r="BL2813">
        <v>0</v>
      </c>
      <c r="BO2813">
        <v>0</v>
      </c>
      <c r="BP2813">
        <v>0</v>
      </c>
      <c r="BW2813" t="str">
        <f>"06:20:09.776"</f>
        <v>06:20:09.776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6</v>
      </c>
      <c r="CP2813" t="s">
        <v>119</v>
      </c>
      <c r="CQ2813">
        <v>177</v>
      </c>
      <c r="CR2813">
        <v>2</v>
      </c>
      <c r="CW2813">
        <v>1682304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 t="shared" si="1073"/>
        <v>08/29/2020 06:20:06.532</v>
      </c>
      <c r="C2814" t="str">
        <f t="shared" si="1036"/>
        <v>FFDFD3C0</v>
      </c>
      <c r="D2814" t="s">
        <v>121</v>
      </c>
      <c r="E2814">
        <v>10</v>
      </c>
      <c r="F2814">
        <v>1010</v>
      </c>
      <c r="G2814" t="s">
        <v>114</v>
      </c>
      <c r="J2814" t="s">
        <v>123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1074"/>
        <v>06:20:09.773</v>
      </c>
      <c r="T2814" t="str">
        <f t="shared" si="1075"/>
        <v>06:20:09.373</v>
      </c>
      <c r="U2814" t="str">
        <f t="shared" si="1037"/>
        <v>A7E2E0</v>
      </c>
      <c r="V2814">
        <v>0</v>
      </c>
      <c r="W2814">
        <v>0</v>
      </c>
      <c r="X2814">
        <v>1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0</v>
      </c>
      <c r="AI2814" t="s">
        <v>1426</v>
      </c>
      <c r="AJ2814">
        <v>38.882545999999998</v>
      </c>
      <c r="AK2814" t="s">
        <v>1427</v>
      </c>
      <c r="AL2814">
        <v>-87.610409000000004</v>
      </c>
      <c r="AM2814">
        <v>100</v>
      </c>
      <c r="AN2814">
        <v>2300</v>
      </c>
      <c r="AO2814" t="s">
        <v>118</v>
      </c>
      <c r="AP2814">
        <v>4</v>
      </c>
      <c r="AQ2814">
        <v>-130</v>
      </c>
      <c r="AR2814">
        <v>-448</v>
      </c>
      <c r="AZ2814">
        <v>4552</v>
      </c>
      <c r="BA2814">
        <v>1</v>
      </c>
      <c r="BB2814" t="str">
        <f t="shared" si="1038"/>
        <v xml:space="preserve">N607SR  </v>
      </c>
      <c r="BC2814">
        <v>1</v>
      </c>
      <c r="BE2814">
        <v>0</v>
      </c>
      <c r="BF2814">
        <v>0</v>
      </c>
      <c r="BG2814">
        <v>0</v>
      </c>
      <c r="BH2814">
        <v>2150</v>
      </c>
      <c r="BI2814">
        <v>1</v>
      </c>
      <c r="BJ2814">
        <v>1</v>
      </c>
      <c r="BK2814">
        <v>1</v>
      </c>
      <c r="BL2814">
        <v>0</v>
      </c>
      <c r="BO2814">
        <v>0</v>
      </c>
      <c r="BP2814">
        <v>0</v>
      </c>
      <c r="BW2814" t="str">
        <f>"06:20:09.775"</f>
        <v>06:20:09.775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6</v>
      </c>
      <c r="CP2814" t="s">
        <v>119</v>
      </c>
      <c r="CQ2814">
        <v>465</v>
      </c>
      <c r="CR2814">
        <v>0</v>
      </c>
      <c r="CW2814">
        <v>4727885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 t="shared" si="1073"/>
        <v>08/29/2020 06:20:06.532</v>
      </c>
      <c r="C2815" t="str">
        <f t="shared" si="1036"/>
        <v>FFDFD3C0</v>
      </c>
      <c r="D2815" t="s">
        <v>128</v>
      </c>
      <c r="E2815">
        <v>5</v>
      </c>
      <c r="H2815">
        <v>241</v>
      </c>
      <c r="I2815" t="s">
        <v>129</v>
      </c>
      <c r="J2815" t="s">
        <v>130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si="1074"/>
        <v>06:20:09.773</v>
      </c>
      <c r="T2815" t="str">
        <f t="shared" si="1075"/>
        <v>06:20:09.373</v>
      </c>
      <c r="U2815" t="str">
        <f t="shared" si="1037"/>
        <v>A7E2E0</v>
      </c>
      <c r="V2815">
        <v>0</v>
      </c>
      <c r="W2815">
        <v>0</v>
      </c>
      <c r="X2815">
        <v>1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0</v>
      </c>
      <c r="AI2815" t="s">
        <v>1426</v>
      </c>
      <c r="AJ2815">
        <v>38.882545999999998</v>
      </c>
      <c r="AK2815" t="s">
        <v>1427</v>
      </c>
      <c r="AL2815">
        <v>-87.610409000000004</v>
      </c>
      <c r="AM2815">
        <v>100</v>
      </c>
      <c r="AN2815">
        <v>2300</v>
      </c>
      <c r="AO2815" t="s">
        <v>118</v>
      </c>
      <c r="AP2815">
        <v>4</v>
      </c>
      <c r="AQ2815">
        <v>-130</v>
      </c>
      <c r="AR2815">
        <v>-448</v>
      </c>
      <c r="AZ2815">
        <v>4552</v>
      </c>
      <c r="BA2815">
        <v>1</v>
      </c>
      <c r="BB2815" t="str">
        <f t="shared" si="1038"/>
        <v xml:space="preserve">N607SR  </v>
      </c>
      <c r="BC2815">
        <v>1</v>
      </c>
      <c r="BE2815">
        <v>0</v>
      </c>
      <c r="BF2815">
        <v>0</v>
      </c>
      <c r="BG2815">
        <v>0</v>
      </c>
      <c r="BH2815">
        <v>2150</v>
      </c>
      <c r="BI2815">
        <v>1</v>
      </c>
      <c r="BJ2815">
        <v>1</v>
      </c>
      <c r="BK2815">
        <v>1</v>
      </c>
      <c r="BL2815">
        <v>0</v>
      </c>
      <c r="BO2815">
        <v>0</v>
      </c>
      <c r="BP2815">
        <v>0</v>
      </c>
      <c r="BW2815" t="str">
        <f>"06:20:09.775"</f>
        <v>06:20:09.775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6</v>
      </c>
      <c r="CP2815" t="s">
        <v>119</v>
      </c>
      <c r="CQ2815">
        <v>465</v>
      </c>
      <c r="CR2815">
        <v>0</v>
      </c>
      <c r="CW2815">
        <v>4727885</v>
      </c>
      <c r="CY2815">
        <v>1</v>
      </c>
      <c r="CZ2815">
        <v>0</v>
      </c>
      <c r="DA2815">
        <v>1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 t="shared" si="1073"/>
        <v>08/29/2020 06:20:06.532</v>
      </c>
      <c r="C2816" t="str">
        <f t="shared" si="1036"/>
        <v>FFDFD3C0</v>
      </c>
      <c r="D2816" t="s">
        <v>121</v>
      </c>
      <c r="E2816">
        <v>13</v>
      </c>
      <c r="F2816">
        <v>1013</v>
      </c>
      <c r="G2816" t="s">
        <v>122</v>
      </c>
      <c r="J2816" t="s">
        <v>123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074"/>
        <v>06:20:09.773</v>
      </c>
      <c r="T2816" t="str">
        <f t="shared" si="1075"/>
        <v>06:20:09.373</v>
      </c>
      <c r="U2816" t="str">
        <f t="shared" si="1037"/>
        <v>A7E2E0</v>
      </c>
      <c r="V2816">
        <v>0</v>
      </c>
      <c r="W2816">
        <v>0</v>
      </c>
      <c r="X2816">
        <v>1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0</v>
      </c>
      <c r="AI2816" t="s">
        <v>1426</v>
      </c>
      <c r="AJ2816">
        <v>38.882545999999998</v>
      </c>
      <c r="AK2816" t="s">
        <v>1427</v>
      </c>
      <c r="AL2816">
        <v>-87.610409000000004</v>
      </c>
      <c r="AM2816">
        <v>100</v>
      </c>
      <c r="AN2816">
        <v>2300</v>
      </c>
      <c r="AO2816" t="s">
        <v>118</v>
      </c>
      <c r="AP2816">
        <v>4</v>
      </c>
      <c r="AQ2816">
        <v>-130</v>
      </c>
      <c r="AR2816">
        <v>-448</v>
      </c>
      <c r="AZ2816">
        <v>4552</v>
      </c>
      <c r="BA2816">
        <v>1</v>
      </c>
      <c r="BB2816" t="str">
        <f t="shared" si="1038"/>
        <v xml:space="preserve">N607SR  </v>
      </c>
      <c r="BC2816">
        <v>1</v>
      </c>
      <c r="BE2816">
        <v>0</v>
      </c>
      <c r="BF2816">
        <v>0</v>
      </c>
      <c r="BG2816">
        <v>0</v>
      </c>
      <c r="BH2816">
        <v>2150</v>
      </c>
      <c r="BI2816">
        <v>1</v>
      </c>
      <c r="BJ2816">
        <v>1</v>
      </c>
      <c r="BK2816">
        <v>1</v>
      </c>
      <c r="BL2816">
        <v>0</v>
      </c>
      <c r="BO2816">
        <v>0</v>
      </c>
      <c r="BP2816">
        <v>0</v>
      </c>
      <c r="BW2816" t="str">
        <f>"06:20:09.775"</f>
        <v>06:20:09.775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6</v>
      </c>
      <c r="CP2816" t="s">
        <v>119</v>
      </c>
      <c r="CQ2816">
        <v>465</v>
      </c>
      <c r="CR2816">
        <v>0</v>
      </c>
      <c r="CW2816">
        <v>4727885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 t="shared" ref="A2817:A2822" si="1076">"08/29/2020 06:20:07.575"</f>
        <v>08/29/2020 06:20:07.575</v>
      </c>
      <c r="C2817" t="str">
        <f t="shared" si="1036"/>
        <v>FFDFD3C0</v>
      </c>
      <c r="D2817" t="s">
        <v>113</v>
      </c>
      <c r="E2817">
        <v>5</v>
      </c>
      <c r="H2817">
        <v>163</v>
      </c>
      <c r="I2817" t="s">
        <v>114</v>
      </c>
      <c r="J2817" t="s">
        <v>115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ref="S2817:S2822" si="1077">"06:20:10.773"</f>
        <v>06:20:10.773</v>
      </c>
      <c r="T2817" t="str">
        <f t="shared" ref="T2817:T2822" si="1078">"06:20:10.373"</f>
        <v>06:20:10.373</v>
      </c>
      <c r="U2817" t="str">
        <f t="shared" si="1037"/>
        <v>A7E2E0</v>
      </c>
      <c r="V2817">
        <v>0</v>
      </c>
      <c r="W2817">
        <v>0</v>
      </c>
      <c r="X2817">
        <v>1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0</v>
      </c>
      <c r="AI2817" t="s">
        <v>1428</v>
      </c>
      <c r="AJ2817">
        <v>38.881945999999999</v>
      </c>
      <c r="AK2817" t="s">
        <v>1427</v>
      </c>
      <c r="AL2817">
        <v>-87.610409000000004</v>
      </c>
      <c r="AM2817">
        <v>100</v>
      </c>
      <c r="AN2817">
        <v>2300</v>
      </c>
      <c r="AO2817" t="s">
        <v>118</v>
      </c>
      <c r="AP2817">
        <v>4</v>
      </c>
      <c r="AQ2817">
        <v>-131</v>
      </c>
      <c r="AR2817">
        <v>-512</v>
      </c>
      <c r="AZ2817">
        <v>4552</v>
      </c>
      <c r="BA2817">
        <v>1</v>
      </c>
      <c r="BB2817" t="str">
        <f t="shared" si="1038"/>
        <v xml:space="preserve">N607SR  </v>
      </c>
      <c r="BC2817">
        <v>1</v>
      </c>
      <c r="BE2817">
        <v>0</v>
      </c>
      <c r="BF2817">
        <v>0</v>
      </c>
      <c r="BG2817">
        <v>0</v>
      </c>
      <c r="BH2817">
        <v>2125</v>
      </c>
      <c r="BI2817">
        <v>1</v>
      </c>
      <c r="BJ2817">
        <v>1</v>
      </c>
      <c r="BK2817">
        <v>1</v>
      </c>
      <c r="BL2817">
        <v>0</v>
      </c>
      <c r="BO2817">
        <v>0</v>
      </c>
      <c r="BP2817">
        <v>0</v>
      </c>
      <c r="BW2817" t="str">
        <f t="shared" ref="BW2817:BW2822" si="1079">"06:20:10.778"</f>
        <v>06:20:10.778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6</v>
      </c>
      <c r="CP2817" t="s">
        <v>119</v>
      </c>
      <c r="CQ2817">
        <v>465</v>
      </c>
      <c r="CR2817">
        <v>0</v>
      </c>
      <c r="CW2817">
        <v>4727916</v>
      </c>
      <c r="CY2817">
        <v>1</v>
      </c>
      <c r="CZ2817">
        <v>0</v>
      </c>
      <c r="DA2817">
        <v>0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 t="shared" si="1076"/>
        <v>08/29/2020 06:20:07.575</v>
      </c>
      <c r="C2818" t="str">
        <f t="shared" ref="C2818:C2881" si="1080">"FFDFD3C0"</f>
        <v>FFDFD3C0</v>
      </c>
      <c r="D2818" t="s">
        <v>121</v>
      </c>
      <c r="E2818">
        <v>11</v>
      </c>
      <c r="F2818">
        <v>1011</v>
      </c>
      <c r="G2818" t="s">
        <v>125</v>
      </c>
      <c r="J2818" t="s">
        <v>123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077"/>
        <v>06:20:10.773</v>
      </c>
      <c r="T2818" t="str">
        <f t="shared" si="1078"/>
        <v>06:20:10.373</v>
      </c>
      <c r="U2818" t="str">
        <f t="shared" ref="U2818:U2881" si="1081">"A7E2E0"</f>
        <v>A7E2E0</v>
      </c>
      <c r="V2818">
        <v>0</v>
      </c>
      <c r="W2818">
        <v>0</v>
      </c>
      <c r="X2818">
        <v>1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0</v>
      </c>
      <c r="AI2818" t="s">
        <v>1428</v>
      </c>
      <c r="AJ2818">
        <v>38.881945999999999</v>
      </c>
      <c r="AK2818" t="s">
        <v>1427</v>
      </c>
      <c r="AL2818">
        <v>-87.610409000000004</v>
      </c>
      <c r="AM2818">
        <v>100</v>
      </c>
      <c r="AN2818">
        <v>2300</v>
      </c>
      <c r="AO2818" t="s">
        <v>118</v>
      </c>
      <c r="AP2818">
        <v>4</v>
      </c>
      <c r="AQ2818">
        <v>-131</v>
      </c>
      <c r="AR2818">
        <v>-512</v>
      </c>
      <c r="AZ2818">
        <v>4552</v>
      </c>
      <c r="BA2818">
        <v>1</v>
      </c>
      <c r="BB2818" t="str">
        <f t="shared" ref="BB2818:BB2881" si="1082">"N607SR  "</f>
        <v xml:space="preserve">N607SR  </v>
      </c>
      <c r="BC2818">
        <v>1</v>
      </c>
      <c r="BE2818">
        <v>0</v>
      </c>
      <c r="BF2818">
        <v>0</v>
      </c>
      <c r="BG2818">
        <v>0</v>
      </c>
      <c r="BH2818">
        <v>2125</v>
      </c>
      <c r="BI2818">
        <v>1</v>
      </c>
      <c r="BJ2818">
        <v>1</v>
      </c>
      <c r="BK2818">
        <v>1</v>
      </c>
      <c r="BL2818">
        <v>0</v>
      </c>
      <c r="BO2818">
        <v>0</v>
      </c>
      <c r="BP2818">
        <v>0</v>
      </c>
      <c r="BW2818" t="str">
        <f t="shared" si="1079"/>
        <v>06:20:10.778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5</v>
      </c>
      <c r="CP2818" t="s">
        <v>119</v>
      </c>
      <c r="CQ2818">
        <v>177</v>
      </c>
      <c r="CR2818">
        <v>2</v>
      </c>
      <c r="CW2818">
        <v>1682457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 t="shared" si="1076"/>
        <v>08/29/2020 06:20:07.575</v>
      </c>
      <c r="C2819" t="str">
        <f t="shared" si="1080"/>
        <v>FFDFD3C0</v>
      </c>
      <c r="D2819" t="s">
        <v>121</v>
      </c>
      <c r="E2819">
        <v>10</v>
      </c>
      <c r="F2819">
        <v>1010</v>
      </c>
      <c r="G2819" t="s">
        <v>114</v>
      </c>
      <c r="J2819" t="s">
        <v>123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077"/>
        <v>06:20:10.773</v>
      </c>
      <c r="T2819" t="str">
        <f t="shared" si="1078"/>
        <v>06:20:10.373</v>
      </c>
      <c r="U2819" t="str">
        <f t="shared" si="1081"/>
        <v>A7E2E0</v>
      </c>
      <c r="V2819">
        <v>0</v>
      </c>
      <c r="W2819">
        <v>0</v>
      </c>
      <c r="X2819">
        <v>1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0</v>
      </c>
      <c r="AI2819" t="s">
        <v>1428</v>
      </c>
      <c r="AJ2819">
        <v>38.881945999999999</v>
      </c>
      <c r="AK2819" t="s">
        <v>1427</v>
      </c>
      <c r="AL2819">
        <v>-87.610409000000004</v>
      </c>
      <c r="AM2819">
        <v>100</v>
      </c>
      <c r="AN2819">
        <v>2300</v>
      </c>
      <c r="AO2819" t="s">
        <v>118</v>
      </c>
      <c r="AP2819">
        <v>4</v>
      </c>
      <c r="AQ2819">
        <v>-131</v>
      </c>
      <c r="AR2819">
        <v>-512</v>
      </c>
      <c r="AZ2819">
        <v>4552</v>
      </c>
      <c r="BA2819">
        <v>1</v>
      </c>
      <c r="BB2819" t="str">
        <f t="shared" si="1082"/>
        <v xml:space="preserve">N607SR  </v>
      </c>
      <c r="BC2819">
        <v>1</v>
      </c>
      <c r="BE2819">
        <v>0</v>
      </c>
      <c r="BF2819">
        <v>0</v>
      </c>
      <c r="BG2819">
        <v>0</v>
      </c>
      <c r="BH2819">
        <v>2125</v>
      </c>
      <c r="BI2819">
        <v>1</v>
      </c>
      <c r="BJ2819">
        <v>1</v>
      </c>
      <c r="BK2819">
        <v>1</v>
      </c>
      <c r="BL2819">
        <v>0</v>
      </c>
      <c r="BO2819">
        <v>0</v>
      </c>
      <c r="BP2819">
        <v>0</v>
      </c>
      <c r="BW2819" t="str">
        <f t="shared" si="1079"/>
        <v>06:20:10.778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6</v>
      </c>
      <c r="CP2819" t="s">
        <v>119</v>
      </c>
      <c r="CQ2819">
        <v>465</v>
      </c>
      <c r="CR2819">
        <v>0</v>
      </c>
      <c r="CW2819">
        <v>4727916</v>
      </c>
      <c r="CY2819">
        <v>1</v>
      </c>
      <c r="CZ2819">
        <v>0</v>
      </c>
      <c r="DA2819">
        <v>1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 t="shared" si="1076"/>
        <v>08/29/2020 06:20:07.575</v>
      </c>
      <c r="C2820" t="str">
        <f t="shared" si="1080"/>
        <v>FFDFD3C0</v>
      </c>
      <c r="D2820" t="s">
        <v>128</v>
      </c>
      <c r="E2820">
        <v>5</v>
      </c>
      <c r="H2820">
        <v>241</v>
      </c>
      <c r="I2820" t="s">
        <v>129</v>
      </c>
      <c r="J2820" t="s">
        <v>130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077"/>
        <v>06:20:10.773</v>
      </c>
      <c r="T2820" t="str">
        <f t="shared" si="1078"/>
        <v>06:20:10.373</v>
      </c>
      <c r="U2820" t="str">
        <f t="shared" si="1081"/>
        <v>A7E2E0</v>
      </c>
      <c r="V2820">
        <v>0</v>
      </c>
      <c r="W2820">
        <v>0</v>
      </c>
      <c r="X2820">
        <v>1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0</v>
      </c>
      <c r="AI2820" t="s">
        <v>1428</v>
      </c>
      <c r="AJ2820">
        <v>38.881945999999999</v>
      </c>
      <c r="AK2820" t="s">
        <v>1427</v>
      </c>
      <c r="AL2820">
        <v>-87.610409000000004</v>
      </c>
      <c r="AM2820">
        <v>100</v>
      </c>
      <c r="AN2820">
        <v>2300</v>
      </c>
      <c r="AO2820" t="s">
        <v>118</v>
      </c>
      <c r="AP2820">
        <v>4</v>
      </c>
      <c r="AQ2820">
        <v>-131</v>
      </c>
      <c r="AR2820">
        <v>-512</v>
      </c>
      <c r="AZ2820">
        <v>4552</v>
      </c>
      <c r="BA2820">
        <v>1</v>
      </c>
      <c r="BB2820" t="str">
        <f t="shared" si="1082"/>
        <v xml:space="preserve">N607SR  </v>
      </c>
      <c r="BC2820">
        <v>1</v>
      </c>
      <c r="BE2820">
        <v>0</v>
      </c>
      <c r="BF2820">
        <v>0</v>
      </c>
      <c r="BG2820">
        <v>0</v>
      </c>
      <c r="BH2820">
        <v>2125</v>
      </c>
      <c r="BI2820">
        <v>1</v>
      </c>
      <c r="BJ2820">
        <v>1</v>
      </c>
      <c r="BK2820">
        <v>1</v>
      </c>
      <c r="BL2820">
        <v>0</v>
      </c>
      <c r="BO2820">
        <v>0</v>
      </c>
      <c r="BP2820">
        <v>0</v>
      </c>
      <c r="BW2820" t="str">
        <f t="shared" si="1079"/>
        <v>06:20:10.778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6</v>
      </c>
      <c r="CP2820" t="s">
        <v>119</v>
      </c>
      <c r="CQ2820">
        <v>465</v>
      </c>
      <c r="CR2820">
        <v>0</v>
      </c>
      <c r="CW2820">
        <v>4727916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 t="shared" si="1076"/>
        <v>08/29/2020 06:20:07.575</v>
      </c>
      <c r="C2821" t="str">
        <f t="shared" si="1080"/>
        <v>FFDFD3C0</v>
      </c>
      <c r="D2821" t="s">
        <v>121</v>
      </c>
      <c r="E2821">
        <v>13</v>
      </c>
      <c r="F2821">
        <v>1013</v>
      </c>
      <c r="G2821" t="s">
        <v>122</v>
      </c>
      <c r="J2821" t="s">
        <v>123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077"/>
        <v>06:20:10.773</v>
      </c>
      <c r="T2821" t="str">
        <f t="shared" si="1078"/>
        <v>06:20:10.373</v>
      </c>
      <c r="U2821" t="str">
        <f t="shared" si="1081"/>
        <v>A7E2E0</v>
      </c>
      <c r="V2821">
        <v>0</v>
      </c>
      <c r="W2821">
        <v>0</v>
      </c>
      <c r="X2821">
        <v>1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0</v>
      </c>
      <c r="AI2821" t="s">
        <v>1428</v>
      </c>
      <c r="AJ2821">
        <v>38.881945999999999</v>
      </c>
      <c r="AK2821" t="s">
        <v>1427</v>
      </c>
      <c r="AL2821">
        <v>-87.610409000000004</v>
      </c>
      <c r="AM2821">
        <v>100</v>
      </c>
      <c r="AN2821">
        <v>2300</v>
      </c>
      <c r="AO2821" t="s">
        <v>118</v>
      </c>
      <c r="AP2821">
        <v>4</v>
      </c>
      <c r="AQ2821">
        <v>-131</v>
      </c>
      <c r="AR2821">
        <v>-512</v>
      </c>
      <c r="AZ2821">
        <v>4552</v>
      </c>
      <c r="BA2821">
        <v>1</v>
      </c>
      <c r="BB2821" t="str">
        <f t="shared" si="1082"/>
        <v xml:space="preserve">N607SR  </v>
      </c>
      <c r="BC2821">
        <v>1</v>
      </c>
      <c r="BE2821">
        <v>0</v>
      </c>
      <c r="BF2821">
        <v>0</v>
      </c>
      <c r="BG2821">
        <v>0</v>
      </c>
      <c r="BH2821">
        <v>2125</v>
      </c>
      <c r="BI2821">
        <v>1</v>
      </c>
      <c r="BJ2821">
        <v>1</v>
      </c>
      <c r="BK2821">
        <v>1</v>
      </c>
      <c r="BL2821">
        <v>0</v>
      </c>
      <c r="BO2821">
        <v>0</v>
      </c>
      <c r="BP2821">
        <v>0</v>
      </c>
      <c r="BW2821" t="str">
        <f t="shared" si="1079"/>
        <v>06:20:10.778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6</v>
      </c>
      <c r="CP2821" t="s">
        <v>119</v>
      </c>
      <c r="CQ2821">
        <v>465</v>
      </c>
      <c r="CR2821">
        <v>0</v>
      </c>
      <c r="CW2821">
        <v>4727916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 t="shared" si="1076"/>
        <v>08/29/2020 06:20:07.575</v>
      </c>
      <c r="C2822" t="str">
        <f t="shared" si="1080"/>
        <v>FFDFD3C0</v>
      </c>
      <c r="D2822" t="s">
        <v>939</v>
      </c>
      <c r="E2822">
        <v>10</v>
      </c>
      <c r="H2822">
        <v>79</v>
      </c>
      <c r="I2822" t="s">
        <v>940</v>
      </c>
      <c r="J2822" t="s">
        <v>130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077"/>
        <v>06:20:10.773</v>
      </c>
      <c r="T2822" t="str">
        <f t="shared" si="1078"/>
        <v>06:20:10.373</v>
      </c>
      <c r="U2822" t="str">
        <f t="shared" si="1081"/>
        <v>A7E2E0</v>
      </c>
      <c r="V2822">
        <v>0</v>
      </c>
      <c r="W2822">
        <v>0</v>
      </c>
      <c r="X2822">
        <v>1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0</v>
      </c>
      <c r="AI2822" t="s">
        <v>1428</v>
      </c>
      <c r="AJ2822">
        <v>38.881945999999999</v>
      </c>
      <c r="AK2822" t="s">
        <v>1427</v>
      </c>
      <c r="AL2822">
        <v>-87.610409000000004</v>
      </c>
      <c r="AM2822">
        <v>100</v>
      </c>
      <c r="AN2822">
        <v>2300</v>
      </c>
      <c r="AO2822" t="s">
        <v>118</v>
      </c>
      <c r="AP2822">
        <v>4</v>
      </c>
      <c r="AQ2822">
        <v>-131</v>
      </c>
      <c r="AR2822">
        <v>-512</v>
      </c>
      <c r="AZ2822">
        <v>4552</v>
      </c>
      <c r="BA2822">
        <v>1</v>
      </c>
      <c r="BB2822" t="str">
        <f t="shared" si="1082"/>
        <v xml:space="preserve">N607SR  </v>
      </c>
      <c r="BC2822">
        <v>1</v>
      </c>
      <c r="BE2822">
        <v>0</v>
      </c>
      <c r="BF2822">
        <v>0</v>
      </c>
      <c r="BG2822">
        <v>0</v>
      </c>
      <c r="BH2822">
        <v>2125</v>
      </c>
      <c r="BI2822">
        <v>1</v>
      </c>
      <c r="BJ2822">
        <v>1</v>
      </c>
      <c r="BK2822">
        <v>1</v>
      </c>
      <c r="BL2822">
        <v>0</v>
      </c>
      <c r="BO2822">
        <v>0</v>
      </c>
      <c r="BP2822">
        <v>0</v>
      </c>
      <c r="BW2822" t="str">
        <f t="shared" si="1079"/>
        <v>06:20:10.778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6</v>
      </c>
      <c r="CP2822" t="s">
        <v>119</v>
      </c>
      <c r="CQ2822">
        <v>465</v>
      </c>
      <c r="CR2822">
        <v>0</v>
      </c>
      <c r="CW2822">
        <v>4727916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 t="shared" ref="A2823:A2828" si="1083">"08/29/2020 06:20:08.687"</f>
        <v>08/29/2020 06:20:08.687</v>
      </c>
      <c r="C2823" t="str">
        <f t="shared" si="1080"/>
        <v>FFDFD3C0</v>
      </c>
      <c r="D2823" t="s">
        <v>113</v>
      </c>
      <c r="E2823">
        <v>5</v>
      </c>
      <c r="H2823">
        <v>163</v>
      </c>
      <c r="I2823" t="s">
        <v>114</v>
      </c>
      <c r="J2823" t="s">
        <v>115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ref="S2823:S2828" si="1084">"06:20:11.891"</f>
        <v>06:20:11.891</v>
      </c>
      <c r="T2823" t="str">
        <f t="shared" ref="T2823:T2828" si="1085">"06:20:11.391"</f>
        <v>06:20:11.391</v>
      </c>
      <c r="U2823" t="str">
        <f t="shared" si="1081"/>
        <v>A7E2E0</v>
      </c>
      <c r="V2823">
        <v>0</v>
      </c>
      <c r="W2823">
        <v>0</v>
      </c>
      <c r="X2823">
        <v>1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0</v>
      </c>
      <c r="AI2823" t="s">
        <v>1429</v>
      </c>
      <c r="AJ2823">
        <v>38.881259</v>
      </c>
      <c r="AK2823" t="s">
        <v>1246</v>
      </c>
      <c r="AL2823">
        <v>-87.610344999999995</v>
      </c>
      <c r="AM2823">
        <v>100</v>
      </c>
      <c r="AN2823">
        <v>2300</v>
      </c>
      <c r="AO2823" t="s">
        <v>118</v>
      </c>
      <c r="AP2823">
        <v>4</v>
      </c>
      <c r="AQ2823">
        <v>-131</v>
      </c>
      <c r="AR2823">
        <v>-448</v>
      </c>
      <c r="AZ2823">
        <v>4552</v>
      </c>
      <c r="BA2823">
        <v>1</v>
      </c>
      <c r="BB2823" t="str">
        <f t="shared" si="1082"/>
        <v xml:space="preserve">N607SR  </v>
      </c>
      <c r="BC2823">
        <v>1</v>
      </c>
      <c r="BE2823">
        <v>0</v>
      </c>
      <c r="BF2823">
        <v>0</v>
      </c>
      <c r="BG2823">
        <v>0</v>
      </c>
      <c r="BH2823">
        <v>2125</v>
      </c>
      <c r="BI2823">
        <v>1</v>
      </c>
      <c r="BJ2823">
        <v>1</v>
      </c>
      <c r="BK2823">
        <v>1</v>
      </c>
      <c r="BL2823">
        <v>0</v>
      </c>
      <c r="BO2823">
        <v>0</v>
      </c>
      <c r="BP2823">
        <v>0</v>
      </c>
      <c r="BW2823" t="str">
        <f t="shared" ref="BW2823:BW2828" si="1086">"06:20:11.896"</f>
        <v>06:20:11.896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6</v>
      </c>
      <c r="CP2823" t="s">
        <v>119</v>
      </c>
      <c r="CQ2823">
        <v>465</v>
      </c>
      <c r="CR2823">
        <v>0</v>
      </c>
      <c r="CW2823">
        <v>4727950</v>
      </c>
      <c r="CY2823">
        <v>1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 t="shared" si="1083"/>
        <v>08/29/2020 06:20:08.687</v>
      </c>
      <c r="C2824" t="str">
        <f t="shared" si="1080"/>
        <v>FFDFD3C0</v>
      </c>
      <c r="D2824" t="s">
        <v>121</v>
      </c>
      <c r="E2824">
        <v>10</v>
      </c>
      <c r="F2824">
        <v>1010</v>
      </c>
      <c r="G2824" t="s">
        <v>114</v>
      </c>
      <c r="J2824" t="s">
        <v>123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084"/>
        <v>06:20:11.891</v>
      </c>
      <c r="T2824" t="str">
        <f t="shared" si="1085"/>
        <v>06:20:11.391</v>
      </c>
      <c r="U2824" t="str">
        <f t="shared" si="1081"/>
        <v>A7E2E0</v>
      </c>
      <c r="V2824">
        <v>0</v>
      </c>
      <c r="W2824">
        <v>0</v>
      </c>
      <c r="X2824">
        <v>1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0</v>
      </c>
      <c r="AI2824" t="s">
        <v>1429</v>
      </c>
      <c r="AJ2824">
        <v>38.881259</v>
      </c>
      <c r="AK2824" t="s">
        <v>1246</v>
      </c>
      <c r="AL2824">
        <v>-87.610344999999995</v>
      </c>
      <c r="AM2824">
        <v>100</v>
      </c>
      <c r="AN2824">
        <v>2300</v>
      </c>
      <c r="AO2824" t="s">
        <v>118</v>
      </c>
      <c r="AP2824">
        <v>4</v>
      </c>
      <c r="AQ2824">
        <v>-131</v>
      </c>
      <c r="AR2824">
        <v>-448</v>
      </c>
      <c r="AZ2824">
        <v>4552</v>
      </c>
      <c r="BA2824">
        <v>1</v>
      </c>
      <c r="BB2824" t="str">
        <f t="shared" si="1082"/>
        <v xml:space="preserve">N607SR  </v>
      </c>
      <c r="BC2824">
        <v>1</v>
      </c>
      <c r="BE2824">
        <v>0</v>
      </c>
      <c r="BF2824">
        <v>0</v>
      </c>
      <c r="BG2824">
        <v>0</v>
      </c>
      <c r="BH2824">
        <v>2125</v>
      </c>
      <c r="BI2824">
        <v>1</v>
      </c>
      <c r="BJ2824">
        <v>1</v>
      </c>
      <c r="BK2824">
        <v>1</v>
      </c>
      <c r="BL2824">
        <v>0</v>
      </c>
      <c r="BO2824">
        <v>0</v>
      </c>
      <c r="BP2824">
        <v>0</v>
      </c>
      <c r="BW2824" t="str">
        <f t="shared" si="1086"/>
        <v>06:20:11.896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6</v>
      </c>
      <c r="CP2824" t="s">
        <v>119</v>
      </c>
      <c r="CQ2824">
        <v>465</v>
      </c>
      <c r="CR2824">
        <v>0</v>
      </c>
      <c r="CW2824">
        <v>4727950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 t="shared" si="1083"/>
        <v>08/29/2020 06:20:08.687</v>
      </c>
      <c r="C2825" t="str">
        <f t="shared" si="1080"/>
        <v>FFDFD3C0</v>
      </c>
      <c r="D2825" t="s">
        <v>128</v>
      </c>
      <c r="E2825">
        <v>5</v>
      </c>
      <c r="H2825">
        <v>241</v>
      </c>
      <c r="I2825" t="s">
        <v>129</v>
      </c>
      <c r="J2825" t="s">
        <v>130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084"/>
        <v>06:20:11.891</v>
      </c>
      <c r="T2825" t="str">
        <f t="shared" si="1085"/>
        <v>06:20:11.391</v>
      </c>
      <c r="U2825" t="str">
        <f t="shared" si="1081"/>
        <v>A7E2E0</v>
      </c>
      <c r="V2825">
        <v>0</v>
      </c>
      <c r="W2825">
        <v>0</v>
      </c>
      <c r="X2825">
        <v>1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0</v>
      </c>
      <c r="AI2825" t="s">
        <v>1429</v>
      </c>
      <c r="AJ2825">
        <v>38.881259</v>
      </c>
      <c r="AK2825" t="s">
        <v>1246</v>
      </c>
      <c r="AL2825">
        <v>-87.610344999999995</v>
      </c>
      <c r="AM2825">
        <v>100</v>
      </c>
      <c r="AN2825">
        <v>2300</v>
      </c>
      <c r="AO2825" t="s">
        <v>118</v>
      </c>
      <c r="AP2825">
        <v>4</v>
      </c>
      <c r="AQ2825">
        <v>-131</v>
      </c>
      <c r="AR2825">
        <v>-448</v>
      </c>
      <c r="AZ2825">
        <v>4552</v>
      </c>
      <c r="BA2825">
        <v>1</v>
      </c>
      <c r="BB2825" t="str">
        <f t="shared" si="1082"/>
        <v xml:space="preserve">N607SR  </v>
      </c>
      <c r="BC2825">
        <v>1</v>
      </c>
      <c r="BE2825">
        <v>0</v>
      </c>
      <c r="BF2825">
        <v>0</v>
      </c>
      <c r="BG2825">
        <v>0</v>
      </c>
      <c r="BH2825">
        <v>2125</v>
      </c>
      <c r="BI2825">
        <v>1</v>
      </c>
      <c r="BJ2825">
        <v>1</v>
      </c>
      <c r="BK2825">
        <v>1</v>
      </c>
      <c r="BL2825">
        <v>0</v>
      </c>
      <c r="BO2825">
        <v>0</v>
      </c>
      <c r="BP2825">
        <v>0</v>
      </c>
      <c r="BW2825" t="str">
        <f t="shared" si="1086"/>
        <v>06:20:11.896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6</v>
      </c>
      <c r="CP2825" t="s">
        <v>119</v>
      </c>
      <c r="CQ2825">
        <v>465</v>
      </c>
      <c r="CR2825">
        <v>0</v>
      </c>
      <c r="CW2825">
        <v>4727950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 t="shared" si="1083"/>
        <v>08/29/2020 06:20:08.687</v>
      </c>
      <c r="C2826" t="str">
        <f t="shared" si="1080"/>
        <v>FFDFD3C0</v>
      </c>
      <c r="D2826" t="s">
        <v>121</v>
      </c>
      <c r="E2826">
        <v>11</v>
      </c>
      <c r="F2826">
        <v>1011</v>
      </c>
      <c r="G2826" t="s">
        <v>125</v>
      </c>
      <c r="J2826" t="s">
        <v>123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084"/>
        <v>06:20:11.891</v>
      </c>
      <c r="T2826" t="str">
        <f t="shared" si="1085"/>
        <v>06:20:11.391</v>
      </c>
      <c r="U2826" t="str">
        <f t="shared" si="1081"/>
        <v>A7E2E0</v>
      </c>
      <c r="V2826">
        <v>0</v>
      </c>
      <c r="W2826">
        <v>0</v>
      </c>
      <c r="X2826">
        <v>1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0</v>
      </c>
      <c r="AI2826" t="s">
        <v>1429</v>
      </c>
      <c r="AJ2826">
        <v>38.881259</v>
      </c>
      <c r="AK2826" t="s">
        <v>1246</v>
      </c>
      <c r="AL2826">
        <v>-87.610344999999995</v>
      </c>
      <c r="AM2826">
        <v>100</v>
      </c>
      <c r="AN2826">
        <v>2300</v>
      </c>
      <c r="AO2826" t="s">
        <v>118</v>
      </c>
      <c r="AP2826">
        <v>4</v>
      </c>
      <c r="AQ2826">
        <v>-131</v>
      </c>
      <c r="AR2826">
        <v>-448</v>
      </c>
      <c r="AZ2826">
        <v>4552</v>
      </c>
      <c r="BA2826">
        <v>1</v>
      </c>
      <c r="BB2826" t="str">
        <f t="shared" si="1082"/>
        <v xml:space="preserve">N607SR  </v>
      </c>
      <c r="BC2826">
        <v>1</v>
      </c>
      <c r="BE2826">
        <v>0</v>
      </c>
      <c r="BF2826">
        <v>0</v>
      </c>
      <c r="BG2826">
        <v>0</v>
      </c>
      <c r="BH2826">
        <v>2125</v>
      </c>
      <c r="BI2826">
        <v>1</v>
      </c>
      <c r="BJ2826">
        <v>1</v>
      </c>
      <c r="BK2826">
        <v>1</v>
      </c>
      <c r="BL2826">
        <v>0</v>
      </c>
      <c r="BO2826">
        <v>0</v>
      </c>
      <c r="BP2826">
        <v>0</v>
      </c>
      <c r="BW2826" t="str">
        <f t="shared" si="1086"/>
        <v>06:20:11.896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5</v>
      </c>
      <c r="CP2826" t="s">
        <v>119</v>
      </c>
      <c r="CQ2826">
        <v>177</v>
      </c>
      <c r="CR2826">
        <v>2</v>
      </c>
      <c r="CW2826">
        <v>1682673</v>
      </c>
      <c r="CY2826">
        <v>1</v>
      </c>
      <c r="CZ2826">
        <v>0</v>
      </c>
      <c r="DA2826">
        <v>1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 t="shared" si="1083"/>
        <v>08/29/2020 06:20:08.687</v>
      </c>
      <c r="C2827" t="str">
        <f t="shared" si="1080"/>
        <v>FFDFD3C0</v>
      </c>
      <c r="D2827" t="s">
        <v>939</v>
      </c>
      <c r="E2827">
        <v>10</v>
      </c>
      <c r="H2827">
        <v>79</v>
      </c>
      <c r="I2827" t="s">
        <v>940</v>
      </c>
      <c r="J2827" t="s">
        <v>130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084"/>
        <v>06:20:11.891</v>
      </c>
      <c r="T2827" t="str">
        <f t="shared" si="1085"/>
        <v>06:20:11.391</v>
      </c>
      <c r="U2827" t="str">
        <f t="shared" si="1081"/>
        <v>A7E2E0</v>
      </c>
      <c r="V2827">
        <v>0</v>
      </c>
      <c r="W2827">
        <v>0</v>
      </c>
      <c r="X2827">
        <v>1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0</v>
      </c>
      <c r="AI2827" t="s">
        <v>1429</v>
      </c>
      <c r="AJ2827">
        <v>38.881259</v>
      </c>
      <c r="AK2827" t="s">
        <v>1246</v>
      </c>
      <c r="AL2827">
        <v>-87.610344999999995</v>
      </c>
      <c r="AM2827">
        <v>100</v>
      </c>
      <c r="AN2827">
        <v>2300</v>
      </c>
      <c r="AO2827" t="s">
        <v>118</v>
      </c>
      <c r="AP2827">
        <v>4</v>
      </c>
      <c r="AQ2827">
        <v>-131</v>
      </c>
      <c r="AR2827">
        <v>-448</v>
      </c>
      <c r="AZ2827">
        <v>4552</v>
      </c>
      <c r="BA2827">
        <v>1</v>
      </c>
      <c r="BB2827" t="str">
        <f t="shared" si="1082"/>
        <v xml:space="preserve">N607SR  </v>
      </c>
      <c r="BC2827">
        <v>1</v>
      </c>
      <c r="BE2827">
        <v>0</v>
      </c>
      <c r="BF2827">
        <v>0</v>
      </c>
      <c r="BG2827">
        <v>0</v>
      </c>
      <c r="BH2827">
        <v>2125</v>
      </c>
      <c r="BI2827">
        <v>1</v>
      </c>
      <c r="BJ2827">
        <v>1</v>
      </c>
      <c r="BK2827">
        <v>1</v>
      </c>
      <c r="BL2827">
        <v>0</v>
      </c>
      <c r="BO2827">
        <v>0</v>
      </c>
      <c r="BP2827">
        <v>0</v>
      </c>
      <c r="BW2827" t="str">
        <f t="shared" si="1086"/>
        <v>06:20:11.896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6</v>
      </c>
      <c r="CP2827" t="s">
        <v>119</v>
      </c>
      <c r="CQ2827">
        <v>465</v>
      </c>
      <c r="CR2827">
        <v>0</v>
      </c>
      <c r="CW2827">
        <v>4727950</v>
      </c>
      <c r="CY2827">
        <v>1</v>
      </c>
      <c r="CZ2827">
        <v>0</v>
      </c>
      <c r="DA2827">
        <v>1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 t="shared" si="1083"/>
        <v>08/29/2020 06:20:08.687</v>
      </c>
      <c r="C2828" t="str">
        <f t="shared" si="1080"/>
        <v>FFDFD3C0</v>
      </c>
      <c r="D2828" t="s">
        <v>121</v>
      </c>
      <c r="E2828">
        <v>13</v>
      </c>
      <c r="F2828">
        <v>1013</v>
      </c>
      <c r="G2828" t="s">
        <v>122</v>
      </c>
      <c r="J2828" t="s">
        <v>123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084"/>
        <v>06:20:11.891</v>
      </c>
      <c r="T2828" t="str">
        <f t="shared" si="1085"/>
        <v>06:20:11.391</v>
      </c>
      <c r="U2828" t="str">
        <f t="shared" si="1081"/>
        <v>A7E2E0</v>
      </c>
      <c r="V2828">
        <v>0</v>
      </c>
      <c r="W2828">
        <v>0</v>
      </c>
      <c r="X2828">
        <v>1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3</v>
      </c>
      <c r="AG2828">
        <v>2</v>
      </c>
      <c r="AH2828">
        <v>0</v>
      </c>
      <c r="AI2828" t="s">
        <v>1429</v>
      </c>
      <c r="AJ2828">
        <v>38.881259</v>
      </c>
      <c r="AK2828" t="s">
        <v>1246</v>
      </c>
      <c r="AL2828">
        <v>-87.610344999999995</v>
      </c>
      <c r="AM2828">
        <v>100</v>
      </c>
      <c r="AN2828">
        <v>2300</v>
      </c>
      <c r="AO2828" t="s">
        <v>118</v>
      </c>
      <c r="AP2828">
        <v>4</v>
      </c>
      <c r="AQ2828">
        <v>-131</v>
      </c>
      <c r="AR2828">
        <v>-448</v>
      </c>
      <c r="AZ2828">
        <v>4552</v>
      </c>
      <c r="BA2828">
        <v>1</v>
      </c>
      <c r="BB2828" t="str">
        <f t="shared" si="1082"/>
        <v xml:space="preserve">N607SR  </v>
      </c>
      <c r="BC2828">
        <v>1</v>
      </c>
      <c r="BE2828">
        <v>0</v>
      </c>
      <c r="BF2828">
        <v>0</v>
      </c>
      <c r="BG2828">
        <v>0</v>
      </c>
      <c r="BH2828">
        <v>2125</v>
      </c>
      <c r="BI2828">
        <v>1</v>
      </c>
      <c r="BJ2828">
        <v>1</v>
      </c>
      <c r="BK2828">
        <v>1</v>
      </c>
      <c r="BL2828">
        <v>0</v>
      </c>
      <c r="BO2828">
        <v>0</v>
      </c>
      <c r="BP2828">
        <v>0</v>
      </c>
      <c r="BW2828" t="str">
        <f t="shared" si="1086"/>
        <v>06:20:11.896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6</v>
      </c>
      <c r="CP2828" t="s">
        <v>119</v>
      </c>
      <c r="CQ2828">
        <v>465</v>
      </c>
      <c r="CR2828">
        <v>0</v>
      </c>
      <c r="CW2828">
        <v>4727950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 t="shared" ref="A2829:A2834" si="1087">"08/29/2020 06:20:09.706"</f>
        <v>08/29/2020 06:20:09.706</v>
      </c>
      <c r="C2829" t="str">
        <f t="shared" si="1080"/>
        <v>FFDFD3C0</v>
      </c>
      <c r="D2829" t="s">
        <v>121</v>
      </c>
      <c r="E2829">
        <v>11</v>
      </c>
      <c r="F2829">
        <v>1011</v>
      </c>
      <c r="G2829" t="s">
        <v>125</v>
      </c>
      <c r="J2829" t="s">
        <v>123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ref="S2829:S2834" si="1088">"06:20:12.914"</f>
        <v>06:20:12.914</v>
      </c>
      <c r="T2829" t="str">
        <f>"06:20:12.414"</f>
        <v>06:20:12.414</v>
      </c>
      <c r="U2829" t="str">
        <f t="shared" si="1081"/>
        <v>A7E2E0</v>
      </c>
      <c r="V2829">
        <v>0</v>
      </c>
      <c r="W2829">
        <v>0</v>
      </c>
      <c r="X2829">
        <v>1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0</v>
      </c>
      <c r="AI2829" t="s">
        <v>1430</v>
      </c>
      <c r="AJ2829">
        <v>38.880572000000001</v>
      </c>
      <c r="AK2829" t="s">
        <v>1246</v>
      </c>
      <c r="AL2829">
        <v>-87.610344999999995</v>
      </c>
      <c r="AM2829">
        <v>100</v>
      </c>
      <c r="AN2829">
        <v>2300</v>
      </c>
      <c r="AO2829" t="s">
        <v>118</v>
      </c>
      <c r="AP2829">
        <v>4</v>
      </c>
      <c r="AQ2829">
        <v>-131</v>
      </c>
      <c r="AR2829">
        <v>-384</v>
      </c>
      <c r="AZ2829">
        <v>4552</v>
      </c>
      <c r="BA2829">
        <v>1</v>
      </c>
      <c r="BB2829" t="str">
        <f t="shared" si="1082"/>
        <v xml:space="preserve">N607SR  </v>
      </c>
      <c r="BC2829">
        <v>1</v>
      </c>
      <c r="BE2829">
        <v>0</v>
      </c>
      <c r="BF2829">
        <v>0</v>
      </c>
      <c r="BG2829">
        <v>0</v>
      </c>
      <c r="BH2829">
        <v>2125</v>
      </c>
      <c r="BI2829">
        <v>1</v>
      </c>
      <c r="BJ2829">
        <v>1</v>
      </c>
      <c r="BK2829">
        <v>1</v>
      </c>
      <c r="BL2829">
        <v>0</v>
      </c>
      <c r="BO2829">
        <v>0</v>
      </c>
      <c r="BP2829">
        <v>0</v>
      </c>
      <c r="BW2829" t="str">
        <f t="shared" ref="BW2829:BW2834" si="1089">"06:20:12.918"</f>
        <v>06:20:12.918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5</v>
      </c>
      <c r="CP2829" t="s">
        <v>119</v>
      </c>
      <c r="CQ2829">
        <v>177</v>
      </c>
      <c r="CR2829">
        <v>2</v>
      </c>
      <c r="CW2829">
        <v>1682854</v>
      </c>
      <c r="CY2829">
        <v>1</v>
      </c>
      <c r="CZ2829">
        <v>0</v>
      </c>
      <c r="DA2829">
        <v>0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 t="shared" si="1087"/>
        <v>08/29/2020 06:20:09.706</v>
      </c>
      <c r="C2830" t="str">
        <f t="shared" si="1080"/>
        <v>FFDFD3C0</v>
      </c>
      <c r="D2830" t="s">
        <v>113</v>
      </c>
      <c r="E2830">
        <v>5</v>
      </c>
      <c r="H2830">
        <v>163</v>
      </c>
      <c r="I2830" t="s">
        <v>114</v>
      </c>
      <c r="J2830" t="s">
        <v>115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088"/>
        <v>06:20:12.914</v>
      </c>
      <c r="U2830" t="str">
        <f t="shared" si="1081"/>
        <v>A7E2E0</v>
      </c>
      <c r="V2830">
        <v>0</v>
      </c>
      <c r="W2830">
        <v>0</v>
      </c>
      <c r="X2830">
        <v>1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0</v>
      </c>
      <c r="AI2830" t="s">
        <v>1430</v>
      </c>
      <c r="AJ2830">
        <v>38.880572000000001</v>
      </c>
      <c r="AK2830" t="s">
        <v>1246</v>
      </c>
      <c r="AL2830">
        <v>-87.610344999999995</v>
      </c>
      <c r="AM2830">
        <v>100</v>
      </c>
      <c r="AN2830">
        <v>2300</v>
      </c>
      <c r="AO2830" t="s">
        <v>118</v>
      </c>
      <c r="AP2830">
        <v>4</v>
      </c>
      <c r="AQ2830">
        <v>-131</v>
      </c>
      <c r="AR2830">
        <v>-256</v>
      </c>
      <c r="AZ2830">
        <v>4552</v>
      </c>
      <c r="BA2830">
        <v>1</v>
      </c>
      <c r="BB2830" t="str">
        <f t="shared" si="1082"/>
        <v xml:space="preserve">N607SR  </v>
      </c>
      <c r="BC2830">
        <v>1</v>
      </c>
      <c r="BE2830">
        <v>0</v>
      </c>
      <c r="BF2830">
        <v>0</v>
      </c>
      <c r="BG2830">
        <v>0</v>
      </c>
      <c r="BH2830">
        <v>2125</v>
      </c>
      <c r="BI2830">
        <v>1</v>
      </c>
      <c r="BJ2830">
        <v>1</v>
      </c>
      <c r="BK2830">
        <v>1</v>
      </c>
      <c r="BL2830">
        <v>0</v>
      </c>
      <c r="BO2830">
        <v>0</v>
      </c>
      <c r="BP2830">
        <v>0</v>
      </c>
      <c r="BW2830" t="str">
        <f t="shared" si="1089"/>
        <v>06:20:12.918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4</v>
      </c>
      <c r="CP2830" t="s">
        <v>119</v>
      </c>
      <c r="CQ2830">
        <v>465</v>
      </c>
      <c r="CR2830">
        <v>1</v>
      </c>
      <c r="CW2830">
        <v>4727988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 t="shared" si="1087"/>
        <v>08/29/2020 06:20:09.706</v>
      </c>
      <c r="C2831" t="str">
        <f t="shared" si="1080"/>
        <v>FFDFD3C0</v>
      </c>
      <c r="D2831" t="s">
        <v>128</v>
      </c>
      <c r="E2831">
        <v>5</v>
      </c>
      <c r="H2831">
        <v>241</v>
      </c>
      <c r="I2831" t="s">
        <v>129</v>
      </c>
      <c r="J2831" t="s">
        <v>130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088"/>
        <v>06:20:12.914</v>
      </c>
      <c r="U2831" t="str">
        <f t="shared" si="1081"/>
        <v>A7E2E0</v>
      </c>
      <c r="V2831">
        <v>0</v>
      </c>
      <c r="W2831">
        <v>0</v>
      </c>
      <c r="X2831">
        <v>1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0</v>
      </c>
      <c r="AI2831" t="s">
        <v>1430</v>
      </c>
      <c r="AJ2831">
        <v>38.880572000000001</v>
      </c>
      <c r="AK2831" t="s">
        <v>1246</v>
      </c>
      <c r="AL2831">
        <v>-87.610344999999995</v>
      </c>
      <c r="AM2831">
        <v>100</v>
      </c>
      <c r="AN2831">
        <v>2300</v>
      </c>
      <c r="AO2831" t="s">
        <v>118</v>
      </c>
      <c r="AP2831">
        <v>4</v>
      </c>
      <c r="AQ2831">
        <v>-131</v>
      </c>
      <c r="AR2831">
        <v>-256</v>
      </c>
      <c r="AZ2831">
        <v>4552</v>
      </c>
      <c r="BA2831">
        <v>1</v>
      </c>
      <c r="BB2831" t="str">
        <f t="shared" si="1082"/>
        <v xml:space="preserve">N607SR  </v>
      </c>
      <c r="BC2831">
        <v>1</v>
      </c>
      <c r="BE2831">
        <v>0</v>
      </c>
      <c r="BF2831">
        <v>0</v>
      </c>
      <c r="BG2831">
        <v>0</v>
      </c>
      <c r="BH2831">
        <v>2125</v>
      </c>
      <c r="BI2831">
        <v>1</v>
      </c>
      <c r="BJ2831">
        <v>1</v>
      </c>
      <c r="BK2831">
        <v>1</v>
      </c>
      <c r="BL2831">
        <v>0</v>
      </c>
      <c r="BO2831">
        <v>0</v>
      </c>
      <c r="BP2831">
        <v>0</v>
      </c>
      <c r="BW2831" t="str">
        <f t="shared" si="1089"/>
        <v>06:20:12.918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4</v>
      </c>
      <c r="CP2831" t="s">
        <v>119</v>
      </c>
      <c r="CQ2831">
        <v>465</v>
      </c>
      <c r="CR2831">
        <v>1</v>
      </c>
      <c r="CW2831">
        <v>4727988</v>
      </c>
      <c r="CY2831">
        <v>1</v>
      </c>
      <c r="CZ2831">
        <v>0</v>
      </c>
      <c r="DA2831">
        <v>1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 t="shared" si="1087"/>
        <v>08/29/2020 06:20:09.706</v>
      </c>
      <c r="C2832" t="str">
        <f t="shared" si="1080"/>
        <v>FFDFD3C0</v>
      </c>
      <c r="D2832" t="s">
        <v>121</v>
      </c>
      <c r="E2832">
        <v>10</v>
      </c>
      <c r="F2832">
        <v>1010</v>
      </c>
      <c r="G2832" t="s">
        <v>114</v>
      </c>
      <c r="J2832" t="s">
        <v>123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088"/>
        <v>06:20:12.914</v>
      </c>
      <c r="U2832" t="str">
        <f t="shared" si="1081"/>
        <v>A7E2E0</v>
      </c>
      <c r="V2832">
        <v>0</v>
      </c>
      <c r="W2832">
        <v>0</v>
      </c>
      <c r="X2832">
        <v>1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0</v>
      </c>
      <c r="AI2832" t="s">
        <v>1430</v>
      </c>
      <c r="AJ2832">
        <v>38.880572000000001</v>
      </c>
      <c r="AK2832" t="s">
        <v>1246</v>
      </c>
      <c r="AL2832">
        <v>-87.610344999999995</v>
      </c>
      <c r="AM2832">
        <v>100</v>
      </c>
      <c r="AN2832">
        <v>2300</v>
      </c>
      <c r="AO2832" t="s">
        <v>118</v>
      </c>
      <c r="AP2832">
        <v>4</v>
      </c>
      <c r="AQ2832">
        <v>-131</v>
      </c>
      <c r="AR2832">
        <v>-256</v>
      </c>
      <c r="AZ2832">
        <v>4552</v>
      </c>
      <c r="BA2832">
        <v>1</v>
      </c>
      <c r="BB2832" t="str">
        <f t="shared" si="1082"/>
        <v xml:space="preserve">N607SR  </v>
      </c>
      <c r="BC2832">
        <v>1</v>
      </c>
      <c r="BE2832">
        <v>0</v>
      </c>
      <c r="BF2832">
        <v>0</v>
      </c>
      <c r="BG2832">
        <v>0</v>
      </c>
      <c r="BH2832">
        <v>2125</v>
      </c>
      <c r="BI2832">
        <v>1</v>
      </c>
      <c r="BJ2832">
        <v>1</v>
      </c>
      <c r="BK2832">
        <v>1</v>
      </c>
      <c r="BL2832">
        <v>0</v>
      </c>
      <c r="BO2832">
        <v>0</v>
      </c>
      <c r="BP2832">
        <v>0</v>
      </c>
      <c r="BW2832" t="str">
        <f t="shared" si="1089"/>
        <v>06:20:12.918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4</v>
      </c>
      <c r="CP2832" t="s">
        <v>119</v>
      </c>
      <c r="CQ2832">
        <v>465</v>
      </c>
      <c r="CR2832">
        <v>1</v>
      </c>
      <c r="CW2832">
        <v>4727988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 t="shared" si="1087"/>
        <v>08/29/2020 06:20:09.706</v>
      </c>
      <c r="C2833" t="str">
        <f t="shared" si="1080"/>
        <v>FFDFD3C0</v>
      </c>
      <c r="D2833" t="s">
        <v>939</v>
      </c>
      <c r="E2833">
        <v>10</v>
      </c>
      <c r="H2833">
        <v>79</v>
      </c>
      <c r="I2833" t="s">
        <v>940</v>
      </c>
      <c r="J2833" t="s">
        <v>130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088"/>
        <v>06:20:12.914</v>
      </c>
      <c r="U2833" t="str">
        <f t="shared" si="1081"/>
        <v>A7E2E0</v>
      </c>
      <c r="V2833">
        <v>0</v>
      </c>
      <c r="W2833">
        <v>0</v>
      </c>
      <c r="X2833">
        <v>1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0</v>
      </c>
      <c r="AI2833" t="s">
        <v>1430</v>
      </c>
      <c r="AJ2833">
        <v>38.880572000000001</v>
      </c>
      <c r="AK2833" t="s">
        <v>1246</v>
      </c>
      <c r="AL2833">
        <v>-87.610344999999995</v>
      </c>
      <c r="AM2833">
        <v>100</v>
      </c>
      <c r="AN2833">
        <v>2300</v>
      </c>
      <c r="AO2833" t="s">
        <v>118</v>
      </c>
      <c r="AP2833">
        <v>4</v>
      </c>
      <c r="AQ2833">
        <v>-131</v>
      </c>
      <c r="AR2833">
        <v>-256</v>
      </c>
      <c r="AZ2833">
        <v>4552</v>
      </c>
      <c r="BA2833">
        <v>1</v>
      </c>
      <c r="BB2833" t="str">
        <f t="shared" si="1082"/>
        <v xml:space="preserve">N607SR  </v>
      </c>
      <c r="BC2833">
        <v>1</v>
      </c>
      <c r="BE2833">
        <v>0</v>
      </c>
      <c r="BF2833">
        <v>0</v>
      </c>
      <c r="BG2833">
        <v>0</v>
      </c>
      <c r="BH2833">
        <v>2125</v>
      </c>
      <c r="BI2833">
        <v>1</v>
      </c>
      <c r="BJ2833">
        <v>1</v>
      </c>
      <c r="BK2833">
        <v>1</v>
      </c>
      <c r="BL2833">
        <v>0</v>
      </c>
      <c r="BO2833">
        <v>0</v>
      </c>
      <c r="BP2833">
        <v>0</v>
      </c>
      <c r="BW2833" t="str">
        <f t="shared" si="1089"/>
        <v>06:20:12.918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4</v>
      </c>
      <c r="CP2833" t="s">
        <v>119</v>
      </c>
      <c r="CQ2833">
        <v>465</v>
      </c>
      <c r="CR2833">
        <v>1</v>
      </c>
      <c r="CW2833">
        <v>4727988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 t="shared" si="1087"/>
        <v>08/29/2020 06:20:09.706</v>
      </c>
      <c r="C2834" t="str">
        <f t="shared" si="1080"/>
        <v>FFDFD3C0</v>
      </c>
      <c r="D2834" t="s">
        <v>121</v>
      </c>
      <c r="E2834">
        <v>13</v>
      </c>
      <c r="F2834">
        <v>1013</v>
      </c>
      <c r="G2834" t="s">
        <v>122</v>
      </c>
      <c r="J2834" t="s">
        <v>123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088"/>
        <v>06:20:12.914</v>
      </c>
      <c r="U2834" t="str">
        <f t="shared" si="1081"/>
        <v>A7E2E0</v>
      </c>
      <c r="V2834">
        <v>0</v>
      </c>
      <c r="W2834">
        <v>0</v>
      </c>
      <c r="X2834">
        <v>1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0</v>
      </c>
      <c r="AI2834" t="s">
        <v>1430</v>
      </c>
      <c r="AJ2834">
        <v>38.880572000000001</v>
      </c>
      <c r="AK2834" t="s">
        <v>1246</v>
      </c>
      <c r="AL2834">
        <v>-87.610344999999995</v>
      </c>
      <c r="AM2834">
        <v>100</v>
      </c>
      <c r="AN2834">
        <v>2300</v>
      </c>
      <c r="AO2834" t="s">
        <v>118</v>
      </c>
      <c r="AP2834">
        <v>4</v>
      </c>
      <c r="AQ2834">
        <v>-131</v>
      </c>
      <c r="AR2834">
        <v>-256</v>
      </c>
      <c r="AZ2834">
        <v>4552</v>
      </c>
      <c r="BA2834">
        <v>1</v>
      </c>
      <c r="BB2834" t="str">
        <f t="shared" si="1082"/>
        <v xml:space="preserve">N607SR  </v>
      </c>
      <c r="BC2834">
        <v>1</v>
      </c>
      <c r="BE2834">
        <v>0</v>
      </c>
      <c r="BF2834">
        <v>0</v>
      </c>
      <c r="BG2834">
        <v>0</v>
      </c>
      <c r="BH2834">
        <v>2125</v>
      </c>
      <c r="BI2834">
        <v>1</v>
      </c>
      <c r="BJ2834">
        <v>1</v>
      </c>
      <c r="BK2834">
        <v>1</v>
      </c>
      <c r="BL2834">
        <v>0</v>
      </c>
      <c r="BO2834">
        <v>0</v>
      </c>
      <c r="BP2834">
        <v>0</v>
      </c>
      <c r="BW2834" t="str">
        <f t="shared" si="1089"/>
        <v>06:20:12.918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4</v>
      </c>
      <c r="CP2834" t="s">
        <v>119</v>
      </c>
      <c r="CQ2834">
        <v>465</v>
      </c>
      <c r="CR2834">
        <v>1</v>
      </c>
      <c r="CW2834">
        <v>4727988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 t="shared" ref="A2835:A2840" si="1090">"08/29/2020 06:20:10.620"</f>
        <v>08/29/2020 06:20:10.620</v>
      </c>
      <c r="C2835" t="str">
        <f t="shared" si="1080"/>
        <v>FFDFD3C0</v>
      </c>
      <c r="D2835" t="s">
        <v>128</v>
      </c>
      <c r="E2835">
        <v>5</v>
      </c>
      <c r="H2835">
        <v>241</v>
      </c>
      <c r="I2835" t="s">
        <v>129</v>
      </c>
      <c r="J2835" t="s">
        <v>130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ref="S2835:S2840" si="1091">"06:20:13.844"</f>
        <v>06:20:13.844</v>
      </c>
      <c r="T2835" t="str">
        <f t="shared" ref="T2835:T2840" si="1092">"06:20:13.444"</f>
        <v>06:20:13.444</v>
      </c>
      <c r="U2835" t="str">
        <f t="shared" si="1081"/>
        <v>A7E2E0</v>
      </c>
      <c r="V2835">
        <v>0</v>
      </c>
      <c r="W2835">
        <v>0</v>
      </c>
      <c r="X2835">
        <v>1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0</v>
      </c>
      <c r="AI2835" t="s">
        <v>1431</v>
      </c>
      <c r="AJ2835">
        <v>38.880057000000001</v>
      </c>
      <c r="AK2835" t="s">
        <v>1246</v>
      </c>
      <c r="AL2835">
        <v>-87.610344999999995</v>
      </c>
      <c r="AM2835">
        <v>100</v>
      </c>
      <c r="AN2835">
        <v>2300</v>
      </c>
      <c r="AO2835" t="s">
        <v>118</v>
      </c>
      <c r="AP2835">
        <v>4</v>
      </c>
      <c r="AQ2835">
        <v>-131</v>
      </c>
      <c r="AR2835">
        <v>-192</v>
      </c>
      <c r="AZ2835">
        <v>4552</v>
      </c>
      <c r="BA2835">
        <v>1</v>
      </c>
      <c r="BB2835" t="str">
        <f t="shared" si="1082"/>
        <v xml:space="preserve">N607SR  </v>
      </c>
      <c r="BC2835">
        <v>1</v>
      </c>
      <c r="BE2835">
        <v>0</v>
      </c>
      <c r="BF2835">
        <v>0</v>
      </c>
      <c r="BG2835">
        <v>0</v>
      </c>
      <c r="BH2835">
        <v>2125</v>
      </c>
      <c r="BI2835">
        <v>1</v>
      </c>
      <c r="BJ2835">
        <v>1</v>
      </c>
      <c r="BK2835">
        <v>1</v>
      </c>
      <c r="BL2835">
        <v>0</v>
      </c>
      <c r="BO2835">
        <v>0</v>
      </c>
      <c r="BP2835">
        <v>0</v>
      </c>
      <c r="BW2835" t="str">
        <f t="shared" ref="BW2835:BW2840" si="1093">"06:20:13.845"</f>
        <v>06:20:13.845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6</v>
      </c>
      <c r="CP2835" t="s">
        <v>119</v>
      </c>
      <c r="CQ2835">
        <v>465</v>
      </c>
      <c r="CR2835">
        <v>0</v>
      </c>
      <c r="CW2835">
        <v>4728019</v>
      </c>
      <c r="CY2835">
        <v>1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 t="shared" si="1090"/>
        <v>08/29/2020 06:20:10.620</v>
      </c>
      <c r="C2836" t="str">
        <f t="shared" si="1080"/>
        <v>FFDFD3C0</v>
      </c>
      <c r="D2836" t="s">
        <v>121</v>
      </c>
      <c r="E2836">
        <v>11</v>
      </c>
      <c r="F2836">
        <v>1011</v>
      </c>
      <c r="G2836" t="s">
        <v>125</v>
      </c>
      <c r="J2836" t="s">
        <v>123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091"/>
        <v>06:20:13.844</v>
      </c>
      <c r="T2836" t="str">
        <f t="shared" si="1092"/>
        <v>06:20:13.444</v>
      </c>
      <c r="U2836" t="str">
        <f t="shared" si="1081"/>
        <v>A7E2E0</v>
      </c>
      <c r="V2836">
        <v>0</v>
      </c>
      <c r="W2836">
        <v>0</v>
      </c>
      <c r="X2836">
        <v>1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0</v>
      </c>
      <c r="AI2836" t="s">
        <v>1431</v>
      </c>
      <c r="AJ2836">
        <v>38.880057000000001</v>
      </c>
      <c r="AK2836" t="s">
        <v>1246</v>
      </c>
      <c r="AL2836">
        <v>-87.610344999999995</v>
      </c>
      <c r="AM2836">
        <v>100</v>
      </c>
      <c r="AN2836">
        <v>2300</v>
      </c>
      <c r="AO2836" t="s">
        <v>118</v>
      </c>
      <c r="AP2836">
        <v>4</v>
      </c>
      <c r="AQ2836">
        <v>-131</v>
      </c>
      <c r="AR2836">
        <v>-192</v>
      </c>
      <c r="AZ2836">
        <v>4552</v>
      </c>
      <c r="BA2836">
        <v>1</v>
      </c>
      <c r="BB2836" t="str">
        <f t="shared" si="1082"/>
        <v xml:space="preserve">N607SR  </v>
      </c>
      <c r="BC2836">
        <v>1</v>
      </c>
      <c r="BE2836">
        <v>0</v>
      </c>
      <c r="BF2836">
        <v>0</v>
      </c>
      <c r="BG2836">
        <v>0</v>
      </c>
      <c r="BH2836">
        <v>2125</v>
      </c>
      <c r="BI2836">
        <v>1</v>
      </c>
      <c r="BJ2836">
        <v>1</v>
      </c>
      <c r="BK2836">
        <v>1</v>
      </c>
      <c r="BL2836">
        <v>0</v>
      </c>
      <c r="BO2836">
        <v>0</v>
      </c>
      <c r="BP2836">
        <v>0</v>
      </c>
      <c r="BW2836" t="str">
        <f t="shared" si="1093"/>
        <v>06:20:13.845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5</v>
      </c>
      <c r="CP2836" t="s">
        <v>119</v>
      </c>
      <c r="CQ2836">
        <v>177</v>
      </c>
      <c r="CR2836">
        <v>2</v>
      </c>
      <c r="CW2836">
        <v>1683004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 t="shared" si="1090"/>
        <v>08/29/2020 06:20:10.620</v>
      </c>
      <c r="C2837" t="str">
        <f t="shared" si="1080"/>
        <v>FFDFD3C0</v>
      </c>
      <c r="D2837" t="s">
        <v>121</v>
      </c>
      <c r="E2837">
        <v>13</v>
      </c>
      <c r="F2837">
        <v>1013</v>
      </c>
      <c r="G2837" t="s">
        <v>122</v>
      </c>
      <c r="J2837" t="s">
        <v>123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091"/>
        <v>06:20:13.844</v>
      </c>
      <c r="T2837" t="str">
        <f t="shared" si="1092"/>
        <v>06:20:13.444</v>
      </c>
      <c r="U2837" t="str">
        <f t="shared" si="1081"/>
        <v>A7E2E0</v>
      </c>
      <c r="V2837">
        <v>0</v>
      </c>
      <c r="W2837">
        <v>0</v>
      </c>
      <c r="X2837">
        <v>1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0</v>
      </c>
      <c r="AI2837" t="s">
        <v>1431</v>
      </c>
      <c r="AJ2837">
        <v>38.880057000000001</v>
      </c>
      <c r="AK2837" t="s">
        <v>1246</v>
      </c>
      <c r="AL2837">
        <v>-87.610344999999995</v>
      </c>
      <c r="AM2837">
        <v>100</v>
      </c>
      <c r="AN2837">
        <v>2300</v>
      </c>
      <c r="AO2837" t="s">
        <v>118</v>
      </c>
      <c r="AP2837">
        <v>4</v>
      </c>
      <c r="AQ2837">
        <v>-131</v>
      </c>
      <c r="AR2837">
        <v>-192</v>
      </c>
      <c r="AZ2837">
        <v>4552</v>
      </c>
      <c r="BA2837">
        <v>1</v>
      </c>
      <c r="BB2837" t="str">
        <f t="shared" si="1082"/>
        <v xml:space="preserve">N607SR  </v>
      </c>
      <c r="BC2837">
        <v>1</v>
      </c>
      <c r="BE2837">
        <v>0</v>
      </c>
      <c r="BF2837">
        <v>0</v>
      </c>
      <c r="BG2837">
        <v>0</v>
      </c>
      <c r="BH2837">
        <v>2125</v>
      </c>
      <c r="BI2837">
        <v>1</v>
      </c>
      <c r="BJ2837">
        <v>1</v>
      </c>
      <c r="BK2837">
        <v>1</v>
      </c>
      <c r="BL2837">
        <v>0</v>
      </c>
      <c r="BO2837">
        <v>0</v>
      </c>
      <c r="BP2837">
        <v>0</v>
      </c>
      <c r="BW2837" t="str">
        <f t="shared" si="1093"/>
        <v>06:20:13.845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6</v>
      </c>
      <c r="CP2837" t="s">
        <v>119</v>
      </c>
      <c r="CQ2837">
        <v>465</v>
      </c>
      <c r="CR2837">
        <v>0</v>
      </c>
      <c r="CW2837">
        <v>4728019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 t="shared" si="1090"/>
        <v>08/29/2020 06:20:10.620</v>
      </c>
      <c r="C2838" t="str">
        <f t="shared" si="1080"/>
        <v>FFDFD3C0</v>
      </c>
      <c r="D2838" t="s">
        <v>121</v>
      </c>
      <c r="E2838">
        <v>10</v>
      </c>
      <c r="F2838">
        <v>1010</v>
      </c>
      <c r="G2838" t="s">
        <v>114</v>
      </c>
      <c r="J2838" t="s">
        <v>123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091"/>
        <v>06:20:13.844</v>
      </c>
      <c r="T2838" t="str">
        <f t="shared" si="1092"/>
        <v>06:20:13.444</v>
      </c>
      <c r="U2838" t="str">
        <f t="shared" si="1081"/>
        <v>A7E2E0</v>
      </c>
      <c r="V2838">
        <v>0</v>
      </c>
      <c r="W2838">
        <v>0</v>
      </c>
      <c r="X2838">
        <v>1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0</v>
      </c>
      <c r="AI2838" t="s">
        <v>1431</v>
      </c>
      <c r="AJ2838">
        <v>38.880057000000001</v>
      </c>
      <c r="AK2838" t="s">
        <v>1246</v>
      </c>
      <c r="AL2838">
        <v>-87.610344999999995</v>
      </c>
      <c r="AM2838">
        <v>100</v>
      </c>
      <c r="AN2838">
        <v>2300</v>
      </c>
      <c r="AO2838" t="s">
        <v>118</v>
      </c>
      <c r="AP2838">
        <v>4</v>
      </c>
      <c r="AQ2838">
        <v>-131</v>
      </c>
      <c r="AR2838">
        <v>-192</v>
      </c>
      <c r="AZ2838">
        <v>4552</v>
      </c>
      <c r="BA2838">
        <v>1</v>
      </c>
      <c r="BB2838" t="str">
        <f t="shared" si="1082"/>
        <v xml:space="preserve">N607SR  </v>
      </c>
      <c r="BC2838">
        <v>1</v>
      </c>
      <c r="BE2838">
        <v>0</v>
      </c>
      <c r="BF2838">
        <v>0</v>
      </c>
      <c r="BG2838">
        <v>0</v>
      </c>
      <c r="BH2838">
        <v>2125</v>
      </c>
      <c r="BI2838">
        <v>1</v>
      </c>
      <c r="BJ2838">
        <v>1</v>
      </c>
      <c r="BK2838">
        <v>1</v>
      </c>
      <c r="BL2838">
        <v>0</v>
      </c>
      <c r="BO2838">
        <v>0</v>
      </c>
      <c r="BP2838">
        <v>0</v>
      </c>
      <c r="BW2838" t="str">
        <f t="shared" si="1093"/>
        <v>06:20:13.845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6</v>
      </c>
      <c r="CP2838" t="s">
        <v>119</v>
      </c>
      <c r="CQ2838">
        <v>465</v>
      </c>
      <c r="CR2838">
        <v>0</v>
      </c>
      <c r="CW2838">
        <v>4728019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 t="shared" si="1090"/>
        <v>08/29/2020 06:20:10.620</v>
      </c>
      <c r="C2839" t="str">
        <f t="shared" si="1080"/>
        <v>FFDFD3C0</v>
      </c>
      <c r="D2839" t="s">
        <v>939</v>
      </c>
      <c r="E2839">
        <v>10</v>
      </c>
      <c r="H2839">
        <v>79</v>
      </c>
      <c r="I2839" t="s">
        <v>940</v>
      </c>
      <c r="J2839" t="s">
        <v>130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091"/>
        <v>06:20:13.844</v>
      </c>
      <c r="T2839" t="str">
        <f t="shared" si="1092"/>
        <v>06:20:13.444</v>
      </c>
      <c r="U2839" t="str">
        <f t="shared" si="1081"/>
        <v>A7E2E0</v>
      </c>
      <c r="V2839">
        <v>0</v>
      </c>
      <c r="W2839">
        <v>0</v>
      </c>
      <c r="X2839">
        <v>1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3</v>
      </c>
      <c r="AG2839">
        <v>2</v>
      </c>
      <c r="AH2839">
        <v>0</v>
      </c>
      <c r="AI2839" t="s">
        <v>1431</v>
      </c>
      <c r="AJ2839">
        <v>38.880057000000001</v>
      </c>
      <c r="AK2839" t="s">
        <v>1246</v>
      </c>
      <c r="AL2839">
        <v>-87.610344999999995</v>
      </c>
      <c r="AM2839">
        <v>100</v>
      </c>
      <c r="AN2839">
        <v>2300</v>
      </c>
      <c r="AO2839" t="s">
        <v>118</v>
      </c>
      <c r="AP2839">
        <v>4</v>
      </c>
      <c r="AQ2839">
        <v>-131</v>
      </c>
      <c r="AR2839">
        <v>-192</v>
      </c>
      <c r="AZ2839">
        <v>4552</v>
      </c>
      <c r="BA2839">
        <v>1</v>
      </c>
      <c r="BB2839" t="str">
        <f t="shared" si="1082"/>
        <v xml:space="preserve">N607SR  </v>
      </c>
      <c r="BC2839">
        <v>1</v>
      </c>
      <c r="BE2839">
        <v>0</v>
      </c>
      <c r="BF2839">
        <v>0</v>
      </c>
      <c r="BG2839">
        <v>0</v>
      </c>
      <c r="BH2839">
        <v>2125</v>
      </c>
      <c r="BI2839">
        <v>1</v>
      </c>
      <c r="BJ2839">
        <v>1</v>
      </c>
      <c r="BK2839">
        <v>1</v>
      </c>
      <c r="BL2839">
        <v>0</v>
      </c>
      <c r="BO2839">
        <v>0</v>
      </c>
      <c r="BP2839">
        <v>0</v>
      </c>
      <c r="BW2839" t="str">
        <f t="shared" si="1093"/>
        <v>06:20:13.845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6</v>
      </c>
      <c r="CP2839" t="s">
        <v>119</v>
      </c>
      <c r="CQ2839">
        <v>465</v>
      </c>
      <c r="CR2839">
        <v>0</v>
      </c>
      <c r="CW2839">
        <v>4728019</v>
      </c>
      <c r="CY2839">
        <v>1</v>
      </c>
      <c r="CZ2839">
        <v>0</v>
      </c>
      <c r="DA2839">
        <v>1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 t="shared" si="1090"/>
        <v>08/29/2020 06:20:10.620</v>
      </c>
      <c r="C2840" t="str">
        <f t="shared" si="1080"/>
        <v>FFDFD3C0</v>
      </c>
      <c r="D2840" t="s">
        <v>113</v>
      </c>
      <c r="E2840">
        <v>5</v>
      </c>
      <c r="H2840">
        <v>163</v>
      </c>
      <c r="I2840" t="s">
        <v>114</v>
      </c>
      <c r="J2840" t="s">
        <v>115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091"/>
        <v>06:20:13.844</v>
      </c>
      <c r="T2840" t="str">
        <f t="shared" si="1092"/>
        <v>06:20:13.444</v>
      </c>
      <c r="U2840" t="str">
        <f t="shared" si="1081"/>
        <v>A7E2E0</v>
      </c>
      <c r="V2840">
        <v>0</v>
      </c>
      <c r="W2840">
        <v>0</v>
      </c>
      <c r="X2840">
        <v>1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0</v>
      </c>
      <c r="AI2840" t="s">
        <v>1431</v>
      </c>
      <c r="AJ2840">
        <v>38.880057000000001</v>
      </c>
      <c r="AK2840" t="s">
        <v>1246</v>
      </c>
      <c r="AL2840">
        <v>-87.610344999999995</v>
      </c>
      <c r="AM2840">
        <v>100</v>
      </c>
      <c r="AN2840">
        <v>2300</v>
      </c>
      <c r="AO2840" t="s">
        <v>118</v>
      </c>
      <c r="AP2840">
        <v>4</v>
      </c>
      <c r="AQ2840">
        <v>-131</v>
      </c>
      <c r="AR2840">
        <v>-192</v>
      </c>
      <c r="AZ2840">
        <v>4552</v>
      </c>
      <c r="BA2840">
        <v>1</v>
      </c>
      <c r="BB2840" t="str">
        <f t="shared" si="1082"/>
        <v xml:space="preserve">N607SR  </v>
      </c>
      <c r="BC2840">
        <v>1</v>
      </c>
      <c r="BE2840">
        <v>0</v>
      </c>
      <c r="BF2840">
        <v>0</v>
      </c>
      <c r="BG2840">
        <v>0</v>
      </c>
      <c r="BH2840">
        <v>2125</v>
      </c>
      <c r="BI2840">
        <v>1</v>
      </c>
      <c r="BJ2840">
        <v>1</v>
      </c>
      <c r="BK2840">
        <v>1</v>
      </c>
      <c r="BL2840">
        <v>0</v>
      </c>
      <c r="BO2840">
        <v>0</v>
      </c>
      <c r="BP2840">
        <v>0</v>
      </c>
      <c r="BW2840" t="str">
        <f t="shared" si="1093"/>
        <v>06:20:13.845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6</v>
      </c>
      <c r="CP2840" t="s">
        <v>119</v>
      </c>
      <c r="CQ2840">
        <v>465</v>
      </c>
      <c r="CR2840">
        <v>0</v>
      </c>
      <c r="CW2840">
        <v>4728019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 t="shared" ref="A2841:A2846" si="1094">"08/29/2020 06:20:11.572"</f>
        <v>08/29/2020 06:20:11.572</v>
      </c>
      <c r="C2841" t="str">
        <f t="shared" si="1080"/>
        <v>FFDFD3C0</v>
      </c>
      <c r="D2841" t="s">
        <v>939</v>
      </c>
      <c r="E2841">
        <v>10</v>
      </c>
      <c r="H2841">
        <v>79</v>
      </c>
      <c r="I2841" t="s">
        <v>940</v>
      </c>
      <c r="J2841" t="s">
        <v>130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ref="S2841:S2846" si="1095">"06:20:14.758"</f>
        <v>06:20:14.758</v>
      </c>
      <c r="T2841" t="str">
        <f t="shared" ref="T2841:T2846" si="1096">"06:20:14.458"</f>
        <v>06:20:14.458</v>
      </c>
      <c r="U2841" t="str">
        <f t="shared" si="1081"/>
        <v>A7E2E0</v>
      </c>
      <c r="V2841">
        <v>0</v>
      </c>
      <c r="W2841">
        <v>0</v>
      </c>
      <c r="X2841">
        <v>1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0</v>
      </c>
      <c r="AI2841" t="s">
        <v>1432</v>
      </c>
      <c r="AJ2841">
        <v>38.879520999999997</v>
      </c>
      <c r="AK2841" t="s">
        <v>1433</v>
      </c>
      <c r="AL2841">
        <v>-87.610302000000004</v>
      </c>
      <c r="AM2841">
        <v>100</v>
      </c>
      <c r="AN2841">
        <v>2300</v>
      </c>
      <c r="AO2841" t="s">
        <v>118</v>
      </c>
      <c r="AP2841">
        <v>4</v>
      </c>
      <c r="AQ2841">
        <v>-131</v>
      </c>
      <c r="AR2841">
        <v>-192</v>
      </c>
      <c r="AZ2841">
        <v>4552</v>
      </c>
      <c r="BA2841">
        <v>1</v>
      </c>
      <c r="BB2841" t="str">
        <f t="shared" si="1082"/>
        <v xml:space="preserve">N607SR  </v>
      </c>
      <c r="BC2841">
        <v>1</v>
      </c>
      <c r="BE2841">
        <v>0</v>
      </c>
      <c r="BF2841">
        <v>0</v>
      </c>
      <c r="BG2841">
        <v>0</v>
      </c>
      <c r="BH2841">
        <v>2100</v>
      </c>
      <c r="BI2841">
        <v>1</v>
      </c>
      <c r="BJ2841">
        <v>1</v>
      </c>
      <c r="BK2841">
        <v>1</v>
      </c>
      <c r="BL2841">
        <v>0</v>
      </c>
      <c r="BO2841">
        <v>0</v>
      </c>
      <c r="BP2841">
        <v>0</v>
      </c>
      <c r="BW2841" t="str">
        <f t="shared" ref="BW2841:BW2846" si="1097">"06:20:14.763"</f>
        <v>06:20:14.763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6</v>
      </c>
      <c r="CP2841" t="s">
        <v>119</v>
      </c>
      <c r="CQ2841">
        <v>465</v>
      </c>
      <c r="CR2841">
        <v>0</v>
      </c>
      <c r="CW2841">
        <v>4728049</v>
      </c>
      <c r="CY2841">
        <v>1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 t="shared" si="1094"/>
        <v>08/29/2020 06:20:11.572</v>
      </c>
      <c r="C2842" t="str">
        <f t="shared" si="1080"/>
        <v>FFDFD3C0</v>
      </c>
      <c r="D2842" t="s">
        <v>121</v>
      </c>
      <c r="E2842">
        <v>10</v>
      </c>
      <c r="F2842">
        <v>1010</v>
      </c>
      <c r="G2842" t="s">
        <v>114</v>
      </c>
      <c r="J2842" t="s">
        <v>123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095"/>
        <v>06:20:14.758</v>
      </c>
      <c r="T2842" t="str">
        <f t="shared" si="1096"/>
        <v>06:20:14.458</v>
      </c>
      <c r="U2842" t="str">
        <f t="shared" si="1081"/>
        <v>A7E2E0</v>
      </c>
      <c r="V2842">
        <v>0</v>
      </c>
      <c r="W2842">
        <v>0</v>
      </c>
      <c r="X2842">
        <v>1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0</v>
      </c>
      <c r="AI2842" t="s">
        <v>1432</v>
      </c>
      <c r="AJ2842">
        <v>38.879520999999997</v>
      </c>
      <c r="AK2842" t="s">
        <v>1433</v>
      </c>
      <c r="AL2842">
        <v>-87.610302000000004</v>
      </c>
      <c r="AM2842">
        <v>100</v>
      </c>
      <c r="AN2842">
        <v>2300</v>
      </c>
      <c r="AO2842" t="s">
        <v>118</v>
      </c>
      <c r="AP2842">
        <v>4</v>
      </c>
      <c r="AQ2842">
        <v>-131</v>
      </c>
      <c r="AR2842">
        <v>-192</v>
      </c>
      <c r="AZ2842">
        <v>4552</v>
      </c>
      <c r="BA2842">
        <v>1</v>
      </c>
      <c r="BB2842" t="str">
        <f t="shared" si="1082"/>
        <v xml:space="preserve">N607SR  </v>
      </c>
      <c r="BC2842">
        <v>1</v>
      </c>
      <c r="BE2842">
        <v>0</v>
      </c>
      <c r="BF2842">
        <v>0</v>
      </c>
      <c r="BG2842">
        <v>0</v>
      </c>
      <c r="BH2842">
        <v>2100</v>
      </c>
      <c r="BI2842">
        <v>1</v>
      </c>
      <c r="BJ2842">
        <v>1</v>
      </c>
      <c r="BK2842">
        <v>1</v>
      </c>
      <c r="BL2842">
        <v>0</v>
      </c>
      <c r="BO2842">
        <v>0</v>
      </c>
      <c r="BP2842">
        <v>0</v>
      </c>
      <c r="BW2842" t="str">
        <f t="shared" si="1097"/>
        <v>06:20:14.763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6</v>
      </c>
      <c r="CP2842" t="s">
        <v>119</v>
      </c>
      <c r="CQ2842">
        <v>465</v>
      </c>
      <c r="CR2842">
        <v>0</v>
      </c>
      <c r="CW2842">
        <v>4728049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 t="shared" si="1094"/>
        <v>08/29/2020 06:20:11.572</v>
      </c>
      <c r="C2843" t="str">
        <f t="shared" si="1080"/>
        <v>FFDFD3C0</v>
      </c>
      <c r="D2843" t="s">
        <v>113</v>
      </c>
      <c r="E2843">
        <v>5</v>
      </c>
      <c r="H2843">
        <v>163</v>
      </c>
      <c r="I2843" t="s">
        <v>114</v>
      </c>
      <c r="J2843" t="s">
        <v>115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095"/>
        <v>06:20:14.758</v>
      </c>
      <c r="T2843" t="str">
        <f t="shared" si="1096"/>
        <v>06:20:14.458</v>
      </c>
      <c r="U2843" t="str">
        <f t="shared" si="1081"/>
        <v>A7E2E0</v>
      </c>
      <c r="V2843">
        <v>0</v>
      </c>
      <c r="W2843">
        <v>0</v>
      </c>
      <c r="X2843">
        <v>1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0</v>
      </c>
      <c r="AI2843" t="s">
        <v>1432</v>
      </c>
      <c r="AJ2843">
        <v>38.879520999999997</v>
      </c>
      <c r="AK2843" t="s">
        <v>1433</v>
      </c>
      <c r="AL2843">
        <v>-87.610302000000004</v>
      </c>
      <c r="AM2843">
        <v>100</v>
      </c>
      <c r="AN2843">
        <v>2300</v>
      </c>
      <c r="AO2843" t="s">
        <v>118</v>
      </c>
      <c r="AP2843">
        <v>4</v>
      </c>
      <c r="AQ2843">
        <v>-131</v>
      </c>
      <c r="AR2843">
        <v>-192</v>
      </c>
      <c r="AZ2843">
        <v>4552</v>
      </c>
      <c r="BA2843">
        <v>1</v>
      </c>
      <c r="BB2843" t="str">
        <f t="shared" si="1082"/>
        <v xml:space="preserve">N607SR  </v>
      </c>
      <c r="BC2843">
        <v>1</v>
      </c>
      <c r="BE2843">
        <v>0</v>
      </c>
      <c r="BF2843">
        <v>0</v>
      </c>
      <c r="BG2843">
        <v>0</v>
      </c>
      <c r="BH2843">
        <v>2100</v>
      </c>
      <c r="BI2843">
        <v>1</v>
      </c>
      <c r="BJ2843">
        <v>1</v>
      </c>
      <c r="BK2843">
        <v>1</v>
      </c>
      <c r="BL2843">
        <v>0</v>
      </c>
      <c r="BO2843">
        <v>0</v>
      </c>
      <c r="BP2843">
        <v>0</v>
      </c>
      <c r="BW2843" t="str">
        <f t="shared" si="1097"/>
        <v>06:20:14.763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6</v>
      </c>
      <c r="CP2843" t="s">
        <v>119</v>
      </c>
      <c r="CQ2843">
        <v>465</v>
      </c>
      <c r="CR2843">
        <v>0</v>
      </c>
      <c r="CW2843">
        <v>4728049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 t="shared" si="1094"/>
        <v>08/29/2020 06:20:11.572</v>
      </c>
      <c r="C2844" t="str">
        <f t="shared" si="1080"/>
        <v>FFDFD3C0</v>
      </c>
      <c r="D2844" t="s">
        <v>128</v>
      </c>
      <c r="E2844">
        <v>5</v>
      </c>
      <c r="H2844">
        <v>241</v>
      </c>
      <c r="I2844" t="s">
        <v>129</v>
      </c>
      <c r="J2844" t="s">
        <v>130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095"/>
        <v>06:20:14.758</v>
      </c>
      <c r="T2844" t="str">
        <f t="shared" si="1096"/>
        <v>06:20:14.458</v>
      </c>
      <c r="U2844" t="str">
        <f t="shared" si="1081"/>
        <v>A7E2E0</v>
      </c>
      <c r="V2844">
        <v>0</v>
      </c>
      <c r="W2844">
        <v>0</v>
      </c>
      <c r="X2844">
        <v>1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0</v>
      </c>
      <c r="AI2844" t="s">
        <v>1432</v>
      </c>
      <c r="AJ2844">
        <v>38.879520999999997</v>
      </c>
      <c r="AK2844" t="s">
        <v>1433</v>
      </c>
      <c r="AL2844">
        <v>-87.610302000000004</v>
      </c>
      <c r="AM2844">
        <v>100</v>
      </c>
      <c r="AN2844">
        <v>2300</v>
      </c>
      <c r="AO2844" t="s">
        <v>118</v>
      </c>
      <c r="AP2844">
        <v>4</v>
      </c>
      <c r="AQ2844">
        <v>-131</v>
      </c>
      <c r="AR2844">
        <v>-192</v>
      </c>
      <c r="AZ2844">
        <v>4552</v>
      </c>
      <c r="BA2844">
        <v>1</v>
      </c>
      <c r="BB2844" t="str">
        <f t="shared" si="1082"/>
        <v xml:space="preserve">N607SR  </v>
      </c>
      <c r="BC2844">
        <v>1</v>
      </c>
      <c r="BE2844">
        <v>0</v>
      </c>
      <c r="BF2844">
        <v>0</v>
      </c>
      <c r="BG2844">
        <v>0</v>
      </c>
      <c r="BH2844">
        <v>2100</v>
      </c>
      <c r="BI2844">
        <v>1</v>
      </c>
      <c r="BJ2844">
        <v>1</v>
      </c>
      <c r="BK2844">
        <v>1</v>
      </c>
      <c r="BL2844">
        <v>0</v>
      </c>
      <c r="BO2844">
        <v>0</v>
      </c>
      <c r="BP2844">
        <v>0</v>
      </c>
      <c r="BW2844" t="str">
        <f t="shared" si="1097"/>
        <v>06:20:14.763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6</v>
      </c>
      <c r="CP2844" t="s">
        <v>119</v>
      </c>
      <c r="CQ2844">
        <v>465</v>
      </c>
      <c r="CR2844">
        <v>0</v>
      </c>
      <c r="CW2844">
        <v>4728049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 t="shared" si="1094"/>
        <v>08/29/2020 06:20:11.572</v>
      </c>
      <c r="C2845" t="str">
        <f t="shared" si="1080"/>
        <v>FFDFD3C0</v>
      </c>
      <c r="D2845" t="s">
        <v>121</v>
      </c>
      <c r="E2845">
        <v>11</v>
      </c>
      <c r="F2845">
        <v>1011</v>
      </c>
      <c r="G2845" t="s">
        <v>125</v>
      </c>
      <c r="J2845" t="s">
        <v>123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095"/>
        <v>06:20:14.758</v>
      </c>
      <c r="T2845" t="str">
        <f t="shared" si="1096"/>
        <v>06:20:14.458</v>
      </c>
      <c r="U2845" t="str">
        <f t="shared" si="1081"/>
        <v>A7E2E0</v>
      </c>
      <c r="V2845">
        <v>0</v>
      </c>
      <c r="W2845">
        <v>0</v>
      </c>
      <c r="X2845">
        <v>1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0</v>
      </c>
      <c r="AI2845" t="s">
        <v>1432</v>
      </c>
      <c r="AJ2845">
        <v>38.879520999999997</v>
      </c>
      <c r="AK2845" t="s">
        <v>1433</v>
      </c>
      <c r="AL2845">
        <v>-87.610302000000004</v>
      </c>
      <c r="AM2845">
        <v>100</v>
      </c>
      <c r="AN2845">
        <v>2300</v>
      </c>
      <c r="AO2845" t="s">
        <v>118</v>
      </c>
      <c r="AP2845">
        <v>4</v>
      </c>
      <c r="AQ2845">
        <v>-131</v>
      </c>
      <c r="AR2845">
        <v>-192</v>
      </c>
      <c r="AZ2845">
        <v>4552</v>
      </c>
      <c r="BA2845">
        <v>1</v>
      </c>
      <c r="BB2845" t="str">
        <f t="shared" si="1082"/>
        <v xml:space="preserve">N607SR  </v>
      </c>
      <c r="BC2845">
        <v>1</v>
      </c>
      <c r="BE2845">
        <v>0</v>
      </c>
      <c r="BF2845">
        <v>0</v>
      </c>
      <c r="BG2845">
        <v>0</v>
      </c>
      <c r="BH2845">
        <v>2100</v>
      </c>
      <c r="BI2845">
        <v>1</v>
      </c>
      <c r="BJ2845">
        <v>1</v>
      </c>
      <c r="BK2845">
        <v>1</v>
      </c>
      <c r="BL2845">
        <v>0</v>
      </c>
      <c r="BO2845">
        <v>0</v>
      </c>
      <c r="BP2845">
        <v>0</v>
      </c>
      <c r="BW2845" t="str">
        <f t="shared" si="1097"/>
        <v>06:20:14.763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5</v>
      </c>
      <c r="CP2845" t="s">
        <v>119</v>
      </c>
      <c r="CQ2845">
        <v>177</v>
      </c>
      <c r="CR2845">
        <v>2</v>
      </c>
      <c r="CW2845">
        <v>1683122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 t="shared" si="1094"/>
        <v>08/29/2020 06:20:11.572</v>
      </c>
      <c r="C2846" t="str">
        <f t="shared" si="1080"/>
        <v>FFDFD3C0</v>
      </c>
      <c r="D2846" t="s">
        <v>121</v>
      </c>
      <c r="E2846">
        <v>13</v>
      </c>
      <c r="F2846">
        <v>1013</v>
      </c>
      <c r="G2846" t="s">
        <v>122</v>
      </c>
      <c r="J2846" t="s">
        <v>123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095"/>
        <v>06:20:14.758</v>
      </c>
      <c r="T2846" t="str">
        <f t="shared" si="1096"/>
        <v>06:20:14.458</v>
      </c>
      <c r="U2846" t="str">
        <f t="shared" si="1081"/>
        <v>A7E2E0</v>
      </c>
      <c r="V2846">
        <v>0</v>
      </c>
      <c r="W2846">
        <v>0</v>
      </c>
      <c r="X2846">
        <v>1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0</v>
      </c>
      <c r="AI2846" t="s">
        <v>1432</v>
      </c>
      <c r="AJ2846">
        <v>38.879520999999997</v>
      </c>
      <c r="AK2846" t="s">
        <v>1433</v>
      </c>
      <c r="AL2846">
        <v>-87.610302000000004</v>
      </c>
      <c r="AM2846">
        <v>100</v>
      </c>
      <c r="AN2846">
        <v>2300</v>
      </c>
      <c r="AO2846" t="s">
        <v>118</v>
      </c>
      <c r="AP2846">
        <v>4</v>
      </c>
      <c r="AQ2846">
        <v>-131</v>
      </c>
      <c r="AR2846">
        <v>-192</v>
      </c>
      <c r="AZ2846">
        <v>4552</v>
      </c>
      <c r="BA2846">
        <v>1</v>
      </c>
      <c r="BB2846" t="str">
        <f t="shared" si="1082"/>
        <v xml:space="preserve">N607SR  </v>
      </c>
      <c r="BC2846">
        <v>1</v>
      </c>
      <c r="BE2846">
        <v>0</v>
      </c>
      <c r="BF2846">
        <v>0</v>
      </c>
      <c r="BG2846">
        <v>0</v>
      </c>
      <c r="BH2846">
        <v>2100</v>
      </c>
      <c r="BI2846">
        <v>1</v>
      </c>
      <c r="BJ2846">
        <v>1</v>
      </c>
      <c r="BK2846">
        <v>1</v>
      </c>
      <c r="BL2846">
        <v>0</v>
      </c>
      <c r="BO2846">
        <v>0</v>
      </c>
      <c r="BP2846">
        <v>0</v>
      </c>
      <c r="BW2846" t="str">
        <f t="shared" si="1097"/>
        <v>06:20:14.763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6</v>
      </c>
      <c r="CP2846" t="s">
        <v>119</v>
      </c>
      <c r="CQ2846">
        <v>465</v>
      </c>
      <c r="CR2846">
        <v>0</v>
      </c>
      <c r="CW2846">
        <v>4728049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 t="shared" ref="A2847:A2852" si="1098">"08/29/2020 06:20:12.539"</f>
        <v>08/29/2020 06:20:12.539</v>
      </c>
      <c r="C2847" t="str">
        <f t="shared" si="1080"/>
        <v>FFDFD3C0</v>
      </c>
      <c r="D2847" t="s">
        <v>113</v>
      </c>
      <c r="E2847">
        <v>5</v>
      </c>
      <c r="H2847">
        <v>163</v>
      </c>
      <c r="I2847" t="s">
        <v>114</v>
      </c>
      <c r="J2847" t="s">
        <v>115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ref="S2847:S2852" si="1099">"06:20:15.758"</f>
        <v>06:20:15.758</v>
      </c>
      <c r="T2847" t="str">
        <f t="shared" ref="T2847:T2852" si="1100">"06:20:15.258"</f>
        <v>06:20:15.258</v>
      </c>
      <c r="U2847" t="str">
        <f t="shared" si="1081"/>
        <v>A7E2E0</v>
      </c>
      <c r="V2847">
        <v>0</v>
      </c>
      <c r="W2847">
        <v>0</v>
      </c>
      <c r="X2847">
        <v>1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0</v>
      </c>
      <c r="AI2847" t="s">
        <v>1434</v>
      </c>
      <c r="AJ2847">
        <v>38.878877000000003</v>
      </c>
      <c r="AK2847" t="s">
        <v>1433</v>
      </c>
      <c r="AL2847">
        <v>-87.610302000000004</v>
      </c>
      <c r="AM2847">
        <v>100</v>
      </c>
      <c r="AN2847">
        <v>2300</v>
      </c>
      <c r="AO2847" t="s">
        <v>118</v>
      </c>
      <c r="AP2847">
        <v>4</v>
      </c>
      <c r="AQ2847">
        <v>-130</v>
      </c>
      <c r="AR2847">
        <v>-128</v>
      </c>
      <c r="AZ2847">
        <v>4552</v>
      </c>
      <c r="BA2847">
        <v>1</v>
      </c>
      <c r="BB2847" t="str">
        <f t="shared" si="1082"/>
        <v xml:space="preserve">N607SR  </v>
      </c>
      <c r="BC2847">
        <v>1</v>
      </c>
      <c r="BE2847">
        <v>0</v>
      </c>
      <c r="BF2847">
        <v>0</v>
      </c>
      <c r="BG2847">
        <v>0</v>
      </c>
      <c r="BH2847">
        <v>2100</v>
      </c>
      <c r="BI2847">
        <v>1</v>
      </c>
      <c r="BJ2847">
        <v>1</v>
      </c>
      <c r="BK2847">
        <v>1</v>
      </c>
      <c r="BL2847">
        <v>0</v>
      </c>
      <c r="BO2847">
        <v>0</v>
      </c>
      <c r="BP2847">
        <v>0</v>
      </c>
      <c r="BW2847" t="str">
        <f t="shared" ref="BW2847:BW2852" si="1101">"06:20:15.761"</f>
        <v>06:20:15.761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6</v>
      </c>
      <c r="CP2847" t="s">
        <v>119</v>
      </c>
      <c r="CQ2847">
        <v>465</v>
      </c>
      <c r="CR2847">
        <v>0</v>
      </c>
      <c r="CW2847">
        <v>4728077</v>
      </c>
      <c r="CY2847">
        <v>1</v>
      </c>
      <c r="CZ2847">
        <v>0</v>
      </c>
      <c r="DA2847">
        <v>0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 t="shared" si="1098"/>
        <v>08/29/2020 06:20:12.539</v>
      </c>
      <c r="C2848" t="str">
        <f t="shared" si="1080"/>
        <v>FFDFD3C0</v>
      </c>
      <c r="D2848" t="s">
        <v>128</v>
      </c>
      <c r="E2848">
        <v>5</v>
      </c>
      <c r="H2848">
        <v>241</v>
      </c>
      <c r="I2848" t="s">
        <v>129</v>
      </c>
      <c r="J2848" t="s">
        <v>130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099"/>
        <v>06:20:15.758</v>
      </c>
      <c r="T2848" t="str">
        <f t="shared" si="1100"/>
        <v>06:20:15.258</v>
      </c>
      <c r="U2848" t="str">
        <f t="shared" si="1081"/>
        <v>A7E2E0</v>
      </c>
      <c r="V2848">
        <v>0</v>
      </c>
      <c r="W2848">
        <v>0</v>
      </c>
      <c r="X2848">
        <v>1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0</v>
      </c>
      <c r="AI2848" t="s">
        <v>1434</v>
      </c>
      <c r="AJ2848">
        <v>38.878877000000003</v>
      </c>
      <c r="AK2848" t="s">
        <v>1433</v>
      </c>
      <c r="AL2848">
        <v>-87.610302000000004</v>
      </c>
      <c r="AM2848">
        <v>100</v>
      </c>
      <c r="AN2848">
        <v>2300</v>
      </c>
      <c r="AO2848" t="s">
        <v>118</v>
      </c>
      <c r="AP2848">
        <v>4</v>
      </c>
      <c r="AQ2848">
        <v>-130</v>
      </c>
      <c r="AR2848">
        <v>-128</v>
      </c>
      <c r="AZ2848">
        <v>4552</v>
      </c>
      <c r="BA2848">
        <v>1</v>
      </c>
      <c r="BB2848" t="str">
        <f t="shared" si="1082"/>
        <v xml:space="preserve">N607SR  </v>
      </c>
      <c r="BC2848">
        <v>1</v>
      </c>
      <c r="BE2848">
        <v>0</v>
      </c>
      <c r="BF2848">
        <v>0</v>
      </c>
      <c r="BG2848">
        <v>0</v>
      </c>
      <c r="BH2848">
        <v>2100</v>
      </c>
      <c r="BI2848">
        <v>1</v>
      </c>
      <c r="BJ2848">
        <v>1</v>
      </c>
      <c r="BK2848">
        <v>1</v>
      </c>
      <c r="BL2848">
        <v>0</v>
      </c>
      <c r="BO2848">
        <v>0</v>
      </c>
      <c r="BP2848">
        <v>0</v>
      </c>
      <c r="BW2848" t="str">
        <f t="shared" si="1101"/>
        <v>06:20:15.761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6</v>
      </c>
      <c r="CP2848" t="s">
        <v>119</v>
      </c>
      <c r="CQ2848">
        <v>465</v>
      </c>
      <c r="CR2848">
        <v>0</v>
      </c>
      <c r="CW2848">
        <v>4728077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 t="shared" si="1098"/>
        <v>08/29/2020 06:20:12.539</v>
      </c>
      <c r="C2849" t="str">
        <f t="shared" si="1080"/>
        <v>FFDFD3C0</v>
      </c>
      <c r="D2849" t="s">
        <v>121</v>
      </c>
      <c r="E2849">
        <v>11</v>
      </c>
      <c r="F2849">
        <v>1011</v>
      </c>
      <c r="G2849" t="s">
        <v>125</v>
      </c>
      <c r="J2849" t="s">
        <v>123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099"/>
        <v>06:20:15.758</v>
      </c>
      <c r="T2849" t="str">
        <f t="shared" si="1100"/>
        <v>06:20:15.258</v>
      </c>
      <c r="U2849" t="str">
        <f t="shared" si="1081"/>
        <v>A7E2E0</v>
      </c>
      <c r="V2849">
        <v>0</v>
      </c>
      <c r="W2849">
        <v>0</v>
      </c>
      <c r="X2849">
        <v>1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0</v>
      </c>
      <c r="AI2849" t="s">
        <v>1434</v>
      </c>
      <c r="AJ2849">
        <v>38.878877000000003</v>
      </c>
      <c r="AK2849" t="s">
        <v>1433</v>
      </c>
      <c r="AL2849">
        <v>-87.610302000000004</v>
      </c>
      <c r="AM2849">
        <v>100</v>
      </c>
      <c r="AN2849">
        <v>2300</v>
      </c>
      <c r="AO2849" t="s">
        <v>118</v>
      </c>
      <c r="AP2849">
        <v>4</v>
      </c>
      <c r="AQ2849">
        <v>-130</v>
      </c>
      <c r="AR2849">
        <v>-128</v>
      </c>
      <c r="AZ2849">
        <v>4552</v>
      </c>
      <c r="BA2849">
        <v>1</v>
      </c>
      <c r="BB2849" t="str">
        <f t="shared" si="1082"/>
        <v xml:space="preserve">N607SR  </v>
      </c>
      <c r="BC2849">
        <v>1</v>
      </c>
      <c r="BE2849">
        <v>0</v>
      </c>
      <c r="BF2849">
        <v>0</v>
      </c>
      <c r="BG2849">
        <v>0</v>
      </c>
      <c r="BH2849">
        <v>2100</v>
      </c>
      <c r="BI2849">
        <v>1</v>
      </c>
      <c r="BJ2849">
        <v>1</v>
      </c>
      <c r="BK2849">
        <v>1</v>
      </c>
      <c r="BL2849">
        <v>0</v>
      </c>
      <c r="BO2849">
        <v>0</v>
      </c>
      <c r="BP2849">
        <v>0</v>
      </c>
      <c r="BW2849" t="str">
        <f t="shared" si="1101"/>
        <v>06:20:15.761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5</v>
      </c>
      <c r="CP2849" t="s">
        <v>119</v>
      </c>
      <c r="CQ2849">
        <v>177</v>
      </c>
      <c r="CR2849">
        <v>2</v>
      </c>
      <c r="CW2849">
        <v>1683313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 t="shared" si="1098"/>
        <v>08/29/2020 06:20:12.539</v>
      </c>
      <c r="C2850" t="str">
        <f t="shared" si="1080"/>
        <v>FFDFD3C0</v>
      </c>
      <c r="D2850" t="s">
        <v>121</v>
      </c>
      <c r="E2850">
        <v>13</v>
      </c>
      <c r="F2850">
        <v>1013</v>
      </c>
      <c r="G2850" t="s">
        <v>122</v>
      </c>
      <c r="J2850" t="s">
        <v>123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099"/>
        <v>06:20:15.758</v>
      </c>
      <c r="T2850" t="str">
        <f t="shared" si="1100"/>
        <v>06:20:15.258</v>
      </c>
      <c r="U2850" t="str">
        <f t="shared" si="1081"/>
        <v>A7E2E0</v>
      </c>
      <c r="V2850">
        <v>0</v>
      </c>
      <c r="W2850">
        <v>0</v>
      </c>
      <c r="X2850">
        <v>1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0</v>
      </c>
      <c r="AI2850" t="s">
        <v>1434</v>
      </c>
      <c r="AJ2850">
        <v>38.878877000000003</v>
      </c>
      <c r="AK2850" t="s">
        <v>1433</v>
      </c>
      <c r="AL2850">
        <v>-87.610302000000004</v>
      </c>
      <c r="AM2850">
        <v>100</v>
      </c>
      <c r="AN2850">
        <v>2300</v>
      </c>
      <c r="AO2850" t="s">
        <v>118</v>
      </c>
      <c r="AP2850">
        <v>4</v>
      </c>
      <c r="AQ2850">
        <v>-130</v>
      </c>
      <c r="AR2850">
        <v>-128</v>
      </c>
      <c r="AZ2850">
        <v>4552</v>
      </c>
      <c r="BA2850">
        <v>1</v>
      </c>
      <c r="BB2850" t="str">
        <f t="shared" si="1082"/>
        <v xml:space="preserve">N607SR  </v>
      </c>
      <c r="BC2850">
        <v>1</v>
      </c>
      <c r="BE2850">
        <v>0</v>
      </c>
      <c r="BF2850">
        <v>0</v>
      </c>
      <c r="BG2850">
        <v>0</v>
      </c>
      <c r="BH2850">
        <v>2100</v>
      </c>
      <c r="BI2850">
        <v>1</v>
      </c>
      <c r="BJ2850">
        <v>1</v>
      </c>
      <c r="BK2850">
        <v>1</v>
      </c>
      <c r="BL2850">
        <v>0</v>
      </c>
      <c r="BO2850">
        <v>0</v>
      </c>
      <c r="BP2850">
        <v>0</v>
      </c>
      <c r="BW2850" t="str">
        <f t="shared" si="1101"/>
        <v>06:20:15.761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6</v>
      </c>
      <c r="CP2850" t="s">
        <v>119</v>
      </c>
      <c r="CQ2850">
        <v>465</v>
      </c>
      <c r="CR2850">
        <v>0</v>
      </c>
      <c r="CW2850">
        <v>4728077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 t="shared" si="1098"/>
        <v>08/29/2020 06:20:12.539</v>
      </c>
      <c r="C2851" t="str">
        <f t="shared" si="1080"/>
        <v>FFDFD3C0</v>
      </c>
      <c r="D2851" t="s">
        <v>939</v>
      </c>
      <c r="E2851">
        <v>10</v>
      </c>
      <c r="H2851">
        <v>79</v>
      </c>
      <c r="I2851" t="s">
        <v>940</v>
      </c>
      <c r="J2851" t="s">
        <v>130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099"/>
        <v>06:20:15.758</v>
      </c>
      <c r="T2851" t="str">
        <f t="shared" si="1100"/>
        <v>06:20:15.258</v>
      </c>
      <c r="U2851" t="str">
        <f t="shared" si="1081"/>
        <v>A7E2E0</v>
      </c>
      <c r="V2851">
        <v>0</v>
      </c>
      <c r="W2851">
        <v>0</v>
      </c>
      <c r="X2851">
        <v>1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0</v>
      </c>
      <c r="AI2851" t="s">
        <v>1434</v>
      </c>
      <c r="AJ2851">
        <v>38.878877000000003</v>
      </c>
      <c r="AK2851" t="s">
        <v>1433</v>
      </c>
      <c r="AL2851">
        <v>-87.610302000000004</v>
      </c>
      <c r="AM2851">
        <v>100</v>
      </c>
      <c r="AN2851">
        <v>2300</v>
      </c>
      <c r="AO2851" t="s">
        <v>118</v>
      </c>
      <c r="AP2851">
        <v>4</v>
      </c>
      <c r="AQ2851">
        <v>-130</v>
      </c>
      <c r="AR2851">
        <v>-128</v>
      </c>
      <c r="AZ2851">
        <v>4552</v>
      </c>
      <c r="BA2851">
        <v>1</v>
      </c>
      <c r="BB2851" t="str">
        <f t="shared" si="1082"/>
        <v xml:space="preserve">N607SR  </v>
      </c>
      <c r="BC2851">
        <v>1</v>
      </c>
      <c r="BE2851">
        <v>0</v>
      </c>
      <c r="BF2851">
        <v>0</v>
      </c>
      <c r="BG2851">
        <v>0</v>
      </c>
      <c r="BH2851">
        <v>2100</v>
      </c>
      <c r="BI2851">
        <v>1</v>
      </c>
      <c r="BJ2851">
        <v>1</v>
      </c>
      <c r="BK2851">
        <v>1</v>
      </c>
      <c r="BL2851">
        <v>0</v>
      </c>
      <c r="BO2851">
        <v>0</v>
      </c>
      <c r="BP2851">
        <v>0</v>
      </c>
      <c r="BW2851" t="str">
        <f t="shared" si="1101"/>
        <v>06:20:15.761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6</v>
      </c>
      <c r="CP2851" t="s">
        <v>119</v>
      </c>
      <c r="CQ2851">
        <v>465</v>
      </c>
      <c r="CR2851">
        <v>0</v>
      </c>
      <c r="CW2851">
        <v>4728077</v>
      </c>
      <c r="CY2851">
        <v>1</v>
      </c>
      <c r="CZ2851">
        <v>0</v>
      </c>
      <c r="DA2851">
        <v>1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 t="shared" si="1098"/>
        <v>08/29/2020 06:20:12.539</v>
      </c>
      <c r="C2852" t="str">
        <f t="shared" si="1080"/>
        <v>FFDFD3C0</v>
      </c>
      <c r="D2852" t="s">
        <v>121</v>
      </c>
      <c r="E2852">
        <v>10</v>
      </c>
      <c r="F2852">
        <v>1010</v>
      </c>
      <c r="G2852" t="s">
        <v>114</v>
      </c>
      <c r="J2852" t="s">
        <v>123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099"/>
        <v>06:20:15.758</v>
      </c>
      <c r="T2852" t="str">
        <f t="shared" si="1100"/>
        <v>06:20:15.258</v>
      </c>
      <c r="U2852" t="str">
        <f t="shared" si="1081"/>
        <v>A7E2E0</v>
      </c>
      <c r="V2852">
        <v>0</v>
      </c>
      <c r="W2852">
        <v>0</v>
      </c>
      <c r="X2852">
        <v>1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0</v>
      </c>
      <c r="AI2852" t="s">
        <v>1434</v>
      </c>
      <c r="AJ2852">
        <v>38.878877000000003</v>
      </c>
      <c r="AK2852" t="s">
        <v>1433</v>
      </c>
      <c r="AL2852">
        <v>-87.610302000000004</v>
      </c>
      <c r="AM2852">
        <v>100</v>
      </c>
      <c r="AN2852">
        <v>2300</v>
      </c>
      <c r="AO2852" t="s">
        <v>118</v>
      </c>
      <c r="AP2852">
        <v>4</v>
      </c>
      <c r="AQ2852">
        <v>-130</v>
      </c>
      <c r="AR2852">
        <v>-128</v>
      </c>
      <c r="AZ2852">
        <v>4552</v>
      </c>
      <c r="BA2852">
        <v>1</v>
      </c>
      <c r="BB2852" t="str">
        <f t="shared" si="1082"/>
        <v xml:space="preserve">N607SR  </v>
      </c>
      <c r="BC2852">
        <v>1</v>
      </c>
      <c r="BE2852">
        <v>0</v>
      </c>
      <c r="BF2852">
        <v>0</v>
      </c>
      <c r="BG2852">
        <v>0</v>
      </c>
      <c r="BH2852">
        <v>2100</v>
      </c>
      <c r="BI2852">
        <v>1</v>
      </c>
      <c r="BJ2852">
        <v>1</v>
      </c>
      <c r="BK2852">
        <v>1</v>
      </c>
      <c r="BL2852">
        <v>0</v>
      </c>
      <c r="BO2852">
        <v>0</v>
      </c>
      <c r="BP2852">
        <v>0</v>
      </c>
      <c r="BW2852" t="str">
        <f t="shared" si="1101"/>
        <v>06:20:15.761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6</v>
      </c>
      <c r="CP2852" t="s">
        <v>119</v>
      </c>
      <c r="CQ2852">
        <v>465</v>
      </c>
      <c r="CR2852">
        <v>0</v>
      </c>
      <c r="CW2852">
        <v>4728077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 t="shared" ref="A2853:A2858" si="1102">"08/29/2020 06:20:13.482"</f>
        <v>08/29/2020 06:20:13.482</v>
      </c>
      <c r="C2853" t="str">
        <f t="shared" si="1080"/>
        <v>FFDFD3C0</v>
      </c>
      <c r="D2853" t="s">
        <v>939</v>
      </c>
      <c r="E2853">
        <v>10</v>
      </c>
      <c r="H2853">
        <v>79</v>
      </c>
      <c r="I2853" t="s">
        <v>940</v>
      </c>
      <c r="J2853" t="s">
        <v>130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ref="S2853:S2858" si="1103">"06:20:16.711"</f>
        <v>06:20:16.711</v>
      </c>
      <c r="T2853" t="str">
        <f t="shared" ref="T2853:T2858" si="1104">"06:20:16.311"</f>
        <v>06:20:16.311</v>
      </c>
      <c r="U2853" t="str">
        <f t="shared" si="1081"/>
        <v>A7E2E0</v>
      </c>
      <c r="V2853">
        <v>0</v>
      </c>
      <c r="W2853">
        <v>0</v>
      </c>
      <c r="X2853">
        <v>1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0</v>
      </c>
      <c r="AI2853" t="s">
        <v>1435</v>
      </c>
      <c r="AJ2853">
        <v>38.878276</v>
      </c>
      <c r="AK2853" t="s">
        <v>1436</v>
      </c>
      <c r="AL2853">
        <v>-87.610237999999995</v>
      </c>
      <c r="AM2853">
        <v>100</v>
      </c>
      <c r="AN2853">
        <v>2300</v>
      </c>
      <c r="AO2853" t="s">
        <v>118</v>
      </c>
      <c r="AP2853">
        <v>5</v>
      </c>
      <c r="AQ2853">
        <v>-130</v>
      </c>
      <c r="AR2853">
        <v>-128</v>
      </c>
      <c r="AZ2853">
        <v>4552</v>
      </c>
      <c r="BA2853">
        <v>1</v>
      </c>
      <c r="BB2853" t="str">
        <f t="shared" si="1082"/>
        <v xml:space="preserve">N607SR  </v>
      </c>
      <c r="BC2853">
        <v>1</v>
      </c>
      <c r="BE2853">
        <v>0</v>
      </c>
      <c r="BF2853">
        <v>0</v>
      </c>
      <c r="BG2853">
        <v>0</v>
      </c>
      <c r="BH2853">
        <v>2100</v>
      </c>
      <c r="BI2853">
        <v>1</v>
      </c>
      <c r="BJ2853">
        <v>1</v>
      </c>
      <c r="BK2853">
        <v>1</v>
      </c>
      <c r="BL2853">
        <v>0</v>
      </c>
      <c r="BO2853">
        <v>0</v>
      </c>
      <c r="BP2853">
        <v>0</v>
      </c>
      <c r="BW2853" t="str">
        <f t="shared" ref="BW2853:BW2858" si="1105">"06:20:16.716"</f>
        <v>06:20:16.716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6</v>
      </c>
      <c r="CP2853" t="s">
        <v>119</v>
      </c>
      <c r="CQ2853">
        <v>465</v>
      </c>
      <c r="CR2853">
        <v>0</v>
      </c>
      <c r="CW2853">
        <v>4728104</v>
      </c>
      <c r="CY2853">
        <v>1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 t="shared" si="1102"/>
        <v>08/29/2020 06:20:13.482</v>
      </c>
      <c r="C2854" t="str">
        <f t="shared" si="1080"/>
        <v>FFDFD3C0</v>
      </c>
      <c r="D2854" t="s">
        <v>121</v>
      </c>
      <c r="E2854">
        <v>11</v>
      </c>
      <c r="F2854">
        <v>1011</v>
      </c>
      <c r="G2854" t="s">
        <v>125</v>
      </c>
      <c r="J2854" t="s">
        <v>123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si="1103"/>
        <v>06:20:16.711</v>
      </c>
      <c r="T2854" t="str">
        <f t="shared" si="1104"/>
        <v>06:20:16.311</v>
      </c>
      <c r="U2854" t="str">
        <f t="shared" si="1081"/>
        <v>A7E2E0</v>
      </c>
      <c r="V2854">
        <v>0</v>
      </c>
      <c r="W2854">
        <v>0</v>
      </c>
      <c r="X2854">
        <v>1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0</v>
      </c>
      <c r="AI2854" t="s">
        <v>1435</v>
      </c>
      <c r="AJ2854">
        <v>38.878276</v>
      </c>
      <c r="AK2854" t="s">
        <v>1436</v>
      </c>
      <c r="AL2854">
        <v>-87.610237999999995</v>
      </c>
      <c r="AM2854">
        <v>100</v>
      </c>
      <c r="AN2854">
        <v>2300</v>
      </c>
      <c r="AO2854" t="s">
        <v>118</v>
      </c>
      <c r="AP2854">
        <v>5</v>
      </c>
      <c r="AQ2854">
        <v>-130</v>
      </c>
      <c r="AR2854">
        <v>-128</v>
      </c>
      <c r="AZ2854">
        <v>4552</v>
      </c>
      <c r="BA2854">
        <v>1</v>
      </c>
      <c r="BB2854" t="str">
        <f t="shared" si="1082"/>
        <v xml:space="preserve">N607SR  </v>
      </c>
      <c r="BC2854">
        <v>1</v>
      </c>
      <c r="BE2854">
        <v>0</v>
      </c>
      <c r="BF2854">
        <v>0</v>
      </c>
      <c r="BG2854">
        <v>0</v>
      </c>
      <c r="BH2854">
        <v>2100</v>
      </c>
      <c r="BI2854">
        <v>1</v>
      </c>
      <c r="BJ2854">
        <v>1</v>
      </c>
      <c r="BK2854">
        <v>1</v>
      </c>
      <c r="BL2854">
        <v>0</v>
      </c>
      <c r="BO2854">
        <v>0</v>
      </c>
      <c r="BP2854">
        <v>0</v>
      </c>
      <c r="BW2854" t="str">
        <f t="shared" si="1105"/>
        <v>06:20:16.716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5</v>
      </c>
      <c r="CP2854" t="s">
        <v>119</v>
      </c>
      <c r="CQ2854">
        <v>177</v>
      </c>
      <c r="CR2854">
        <v>2</v>
      </c>
      <c r="CW2854">
        <v>1683482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 t="shared" si="1102"/>
        <v>08/29/2020 06:20:13.482</v>
      </c>
      <c r="C2855" t="str">
        <f t="shared" si="1080"/>
        <v>FFDFD3C0</v>
      </c>
      <c r="D2855" t="s">
        <v>113</v>
      </c>
      <c r="E2855">
        <v>5</v>
      </c>
      <c r="H2855">
        <v>163</v>
      </c>
      <c r="I2855" t="s">
        <v>114</v>
      </c>
      <c r="J2855" t="s">
        <v>115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103"/>
        <v>06:20:16.711</v>
      </c>
      <c r="T2855" t="str">
        <f t="shared" si="1104"/>
        <v>06:20:16.311</v>
      </c>
      <c r="U2855" t="str">
        <f t="shared" si="1081"/>
        <v>A7E2E0</v>
      </c>
      <c r="V2855">
        <v>0</v>
      </c>
      <c r="W2855">
        <v>0</v>
      </c>
      <c r="X2855">
        <v>1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0</v>
      </c>
      <c r="AI2855" t="s">
        <v>1435</v>
      </c>
      <c r="AJ2855">
        <v>38.878276</v>
      </c>
      <c r="AK2855" t="s">
        <v>1436</v>
      </c>
      <c r="AL2855">
        <v>-87.610237999999995</v>
      </c>
      <c r="AM2855">
        <v>100</v>
      </c>
      <c r="AN2855">
        <v>2300</v>
      </c>
      <c r="AO2855" t="s">
        <v>118</v>
      </c>
      <c r="AP2855">
        <v>5</v>
      </c>
      <c r="AQ2855">
        <v>-130</v>
      </c>
      <c r="AR2855">
        <v>-128</v>
      </c>
      <c r="AZ2855">
        <v>4552</v>
      </c>
      <c r="BA2855">
        <v>1</v>
      </c>
      <c r="BB2855" t="str">
        <f t="shared" si="1082"/>
        <v xml:space="preserve">N607SR  </v>
      </c>
      <c r="BC2855">
        <v>1</v>
      </c>
      <c r="BE2855">
        <v>0</v>
      </c>
      <c r="BF2855">
        <v>0</v>
      </c>
      <c r="BG2855">
        <v>0</v>
      </c>
      <c r="BH2855">
        <v>2100</v>
      </c>
      <c r="BI2855">
        <v>1</v>
      </c>
      <c r="BJ2855">
        <v>1</v>
      </c>
      <c r="BK2855">
        <v>1</v>
      </c>
      <c r="BL2855">
        <v>0</v>
      </c>
      <c r="BO2855">
        <v>0</v>
      </c>
      <c r="BP2855">
        <v>0</v>
      </c>
      <c r="BW2855" t="str">
        <f t="shared" si="1105"/>
        <v>06:20:16.716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6</v>
      </c>
      <c r="CP2855" t="s">
        <v>119</v>
      </c>
      <c r="CQ2855">
        <v>465</v>
      </c>
      <c r="CR2855">
        <v>0</v>
      </c>
      <c r="CW2855">
        <v>4728104</v>
      </c>
      <c r="CY2855">
        <v>1</v>
      </c>
      <c r="CZ2855">
        <v>0</v>
      </c>
      <c r="DA2855">
        <v>1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 t="shared" si="1102"/>
        <v>08/29/2020 06:20:13.482</v>
      </c>
      <c r="C2856" t="str">
        <f t="shared" si="1080"/>
        <v>FFDFD3C0</v>
      </c>
      <c r="D2856" t="s">
        <v>121</v>
      </c>
      <c r="E2856">
        <v>10</v>
      </c>
      <c r="F2856">
        <v>1010</v>
      </c>
      <c r="G2856" t="s">
        <v>114</v>
      </c>
      <c r="J2856" t="s">
        <v>123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103"/>
        <v>06:20:16.711</v>
      </c>
      <c r="T2856" t="str">
        <f t="shared" si="1104"/>
        <v>06:20:16.311</v>
      </c>
      <c r="U2856" t="str">
        <f t="shared" si="1081"/>
        <v>A7E2E0</v>
      </c>
      <c r="V2856">
        <v>0</v>
      </c>
      <c r="W2856">
        <v>0</v>
      </c>
      <c r="X2856">
        <v>1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0</v>
      </c>
      <c r="AI2856" t="s">
        <v>1435</v>
      </c>
      <c r="AJ2856">
        <v>38.878276</v>
      </c>
      <c r="AK2856" t="s">
        <v>1436</v>
      </c>
      <c r="AL2856">
        <v>-87.610237999999995</v>
      </c>
      <c r="AM2856">
        <v>100</v>
      </c>
      <c r="AN2856">
        <v>2300</v>
      </c>
      <c r="AO2856" t="s">
        <v>118</v>
      </c>
      <c r="AP2856">
        <v>5</v>
      </c>
      <c r="AQ2856">
        <v>-130</v>
      </c>
      <c r="AR2856">
        <v>-128</v>
      </c>
      <c r="AZ2856">
        <v>4552</v>
      </c>
      <c r="BA2856">
        <v>1</v>
      </c>
      <c r="BB2856" t="str">
        <f t="shared" si="1082"/>
        <v xml:space="preserve">N607SR  </v>
      </c>
      <c r="BC2856">
        <v>1</v>
      </c>
      <c r="BE2856">
        <v>0</v>
      </c>
      <c r="BF2856">
        <v>0</v>
      </c>
      <c r="BG2856">
        <v>0</v>
      </c>
      <c r="BH2856">
        <v>2100</v>
      </c>
      <c r="BI2856">
        <v>1</v>
      </c>
      <c r="BJ2856">
        <v>1</v>
      </c>
      <c r="BK2856">
        <v>1</v>
      </c>
      <c r="BL2856">
        <v>0</v>
      </c>
      <c r="BO2856">
        <v>0</v>
      </c>
      <c r="BP2856">
        <v>0</v>
      </c>
      <c r="BW2856" t="str">
        <f t="shared" si="1105"/>
        <v>06:20:16.716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6</v>
      </c>
      <c r="CP2856" t="s">
        <v>119</v>
      </c>
      <c r="CQ2856">
        <v>465</v>
      </c>
      <c r="CR2856">
        <v>0</v>
      </c>
      <c r="CW2856">
        <v>4728104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 t="shared" si="1102"/>
        <v>08/29/2020 06:20:13.482</v>
      </c>
      <c r="C2857" t="str">
        <f t="shared" si="1080"/>
        <v>FFDFD3C0</v>
      </c>
      <c r="D2857" t="s">
        <v>128</v>
      </c>
      <c r="E2857">
        <v>5</v>
      </c>
      <c r="H2857">
        <v>241</v>
      </c>
      <c r="I2857" t="s">
        <v>129</v>
      </c>
      <c r="J2857" t="s">
        <v>130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103"/>
        <v>06:20:16.711</v>
      </c>
      <c r="T2857" t="str">
        <f t="shared" si="1104"/>
        <v>06:20:16.311</v>
      </c>
      <c r="U2857" t="str">
        <f t="shared" si="1081"/>
        <v>A7E2E0</v>
      </c>
      <c r="V2857">
        <v>0</v>
      </c>
      <c r="W2857">
        <v>0</v>
      </c>
      <c r="X2857">
        <v>1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0</v>
      </c>
      <c r="AI2857" t="s">
        <v>1435</v>
      </c>
      <c r="AJ2857">
        <v>38.878276</v>
      </c>
      <c r="AK2857" t="s">
        <v>1436</v>
      </c>
      <c r="AL2857">
        <v>-87.610237999999995</v>
      </c>
      <c r="AM2857">
        <v>100</v>
      </c>
      <c r="AN2857">
        <v>2300</v>
      </c>
      <c r="AO2857" t="s">
        <v>118</v>
      </c>
      <c r="AP2857">
        <v>5</v>
      </c>
      <c r="AQ2857">
        <v>-130</v>
      </c>
      <c r="AR2857">
        <v>-128</v>
      </c>
      <c r="AZ2857">
        <v>4552</v>
      </c>
      <c r="BA2857">
        <v>1</v>
      </c>
      <c r="BB2857" t="str">
        <f t="shared" si="1082"/>
        <v xml:space="preserve">N607SR  </v>
      </c>
      <c r="BC2857">
        <v>1</v>
      </c>
      <c r="BE2857">
        <v>0</v>
      </c>
      <c r="BF2857">
        <v>0</v>
      </c>
      <c r="BG2857">
        <v>0</v>
      </c>
      <c r="BH2857">
        <v>2100</v>
      </c>
      <c r="BI2857">
        <v>1</v>
      </c>
      <c r="BJ2857">
        <v>1</v>
      </c>
      <c r="BK2857">
        <v>1</v>
      </c>
      <c r="BL2857">
        <v>0</v>
      </c>
      <c r="BO2857">
        <v>0</v>
      </c>
      <c r="BP2857">
        <v>0</v>
      </c>
      <c r="BW2857" t="str">
        <f t="shared" si="1105"/>
        <v>06:20:16.716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6</v>
      </c>
      <c r="CP2857" t="s">
        <v>119</v>
      </c>
      <c r="CQ2857">
        <v>465</v>
      </c>
      <c r="CR2857">
        <v>0</v>
      </c>
      <c r="CW2857">
        <v>4728104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 t="shared" si="1102"/>
        <v>08/29/2020 06:20:13.482</v>
      </c>
      <c r="C2858" t="str">
        <f t="shared" si="1080"/>
        <v>FFDFD3C0</v>
      </c>
      <c r="D2858" t="s">
        <v>121</v>
      </c>
      <c r="E2858">
        <v>13</v>
      </c>
      <c r="F2858">
        <v>1013</v>
      </c>
      <c r="G2858" t="s">
        <v>122</v>
      </c>
      <c r="J2858" t="s">
        <v>123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103"/>
        <v>06:20:16.711</v>
      </c>
      <c r="T2858" t="str">
        <f t="shared" si="1104"/>
        <v>06:20:16.311</v>
      </c>
      <c r="U2858" t="str">
        <f t="shared" si="1081"/>
        <v>A7E2E0</v>
      </c>
      <c r="V2858">
        <v>0</v>
      </c>
      <c r="W2858">
        <v>0</v>
      </c>
      <c r="X2858">
        <v>1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0</v>
      </c>
      <c r="AI2858" t="s">
        <v>1435</v>
      </c>
      <c r="AJ2858">
        <v>38.878276</v>
      </c>
      <c r="AK2858" t="s">
        <v>1436</v>
      </c>
      <c r="AL2858">
        <v>-87.610237999999995</v>
      </c>
      <c r="AM2858">
        <v>100</v>
      </c>
      <c r="AN2858">
        <v>2300</v>
      </c>
      <c r="AO2858" t="s">
        <v>118</v>
      </c>
      <c r="AP2858">
        <v>5</v>
      </c>
      <c r="AQ2858">
        <v>-130</v>
      </c>
      <c r="AR2858">
        <v>-128</v>
      </c>
      <c r="AZ2858">
        <v>4552</v>
      </c>
      <c r="BA2858">
        <v>1</v>
      </c>
      <c r="BB2858" t="str">
        <f t="shared" si="1082"/>
        <v xml:space="preserve">N607SR  </v>
      </c>
      <c r="BC2858">
        <v>1</v>
      </c>
      <c r="BE2858">
        <v>0</v>
      </c>
      <c r="BF2858">
        <v>0</v>
      </c>
      <c r="BG2858">
        <v>0</v>
      </c>
      <c r="BH2858">
        <v>2100</v>
      </c>
      <c r="BI2858">
        <v>1</v>
      </c>
      <c r="BJ2858">
        <v>1</v>
      </c>
      <c r="BK2858">
        <v>1</v>
      </c>
      <c r="BL2858">
        <v>0</v>
      </c>
      <c r="BO2858">
        <v>0</v>
      </c>
      <c r="BP2858">
        <v>0</v>
      </c>
      <c r="BW2858" t="str">
        <f t="shared" si="1105"/>
        <v>06:20:16.716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6</v>
      </c>
      <c r="CP2858" t="s">
        <v>119</v>
      </c>
      <c r="CQ2858">
        <v>465</v>
      </c>
      <c r="CR2858">
        <v>0</v>
      </c>
      <c r="CW2858">
        <v>4728104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 t="shared" ref="A2859:A2864" si="1106">"08/29/2020 06:20:14.618"</f>
        <v>08/29/2020 06:20:14.618</v>
      </c>
      <c r="C2859" t="str">
        <f t="shared" si="1080"/>
        <v>FFDFD3C0</v>
      </c>
      <c r="D2859" t="s">
        <v>113</v>
      </c>
      <c r="E2859">
        <v>5</v>
      </c>
      <c r="H2859">
        <v>163</v>
      </c>
      <c r="I2859" t="s">
        <v>114</v>
      </c>
      <c r="J2859" t="s">
        <v>115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ref="S2859:S2864" si="1107">"06:20:17.828"</f>
        <v>06:20:17.828</v>
      </c>
      <c r="T2859" t="str">
        <f t="shared" ref="T2859:T2864" si="1108">"06:20:17.328"</f>
        <v>06:20:17.328</v>
      </c>
      <c r="U2859" t="str">
        <f t="shared" si="1081"/>
        <v>A7E2E0</v>
      </c>
      <c r="V2859">
        <v>0</v>
      </c>
      <c r="W2859">
        <v>0</v>
      </c>
      <c r="X2859">
        <v>1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0</v>
      </c>
      <c r="AI2859" t="s">
        <v>1437</v>
      </c>
      <c r="AJ2859">
        <v>38.877633000000003</v>
      </c>
      <c r="AK2859" t="s">
        <v>1436</v>
      </c>
      <c r="AL2859">
        <v>-87.610237999999995</v>
      </c>
      <c r="AM2859">
        <v>100</v>
      </c>
      <c r="AN2859">
        <v>2300</v>
      </c>
      <c r="AO2859" t="s">
        <v>118</v>
      </c>
      <c r="AP2859">
        <v>5</v>
      </c>
      <c r="AQ2859">
        <v>-130</v>
      </c>
      <c r="AR2859">
        <v>-192</v>
      </c>
      <c r="AZ2859">
        <v>4552</v>
      </c>
      <c r="BA2859">
        <v>1</v>
      </c>
      <c r="BB2859" t="str">
        <f t="shared" si="1082"/>
        <v xml:space="preserve">N607SR  </v>
      </c>
      <c r="BC2859">
        <v>1</v>
      </c>
      <c r="BE2859">
        <v>0</v>
      </c>
      <c r="BF2859">
        <v>0</v>
      </c>
      <c r="BG2859">
        <v>0</v>
      </c>
      <c r="BH2859">
        <v>2100</v>
      </c>
      <c r="BI2859">
        <v>1</v>
      </c>
      <c r="BJ2859">
        <v>1</v>
      </c>
      <c r="BK2859">
        <v>1</v>
      </c>
      <c r="BL2859">
        <v>0</v>
      </c>
      <c r="BO2859">
        <v>0</v>
      </c>
      <c r="BP2859">
        <v>0</v>
      </c>
      <c r="BW2859" t="str">
        <f t="shared" ref="BW2859:BW2864" si="1109">"06:20:17.828"</f>
        <v>06:20:17.828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6</v>
      </c>
      <c r="CP2859" t="s">
        <v>119</v>
      </c>
      <c r="CQ2859">
        <v>465</v>
      </c>
      <c r="CR2859">
        <v>0</v>
      </c>
      <c r="CW2859">
        <v>4728135</v>
      </c>
      <c r="CY2859">
        <v>1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 t="shared" si="1106"/>
        <v>08/29/2020 06:20:14.618</v>
      </c>
      <c r="C2860" t="str">
        <f t="shared" si="1080"/>
        <v>FFDFD3C0</v>
      </c>
      <c r="D2860" t="s">
        <v>128</v>
      </c>
      <c r="E2860">
        <v>5</v>
      </c>
      <c r="H2860">
        <v>241</v>
      </c>
      <c r="I2860" t="s">
        <v>129</v>
      </c>
      <c r="J2860" t="s">
        <v>130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107"/>
        <v>06:20:17.828</v>
      </c>
      <c r="T2860" t="str">
        <f t="shared" si="1108"/>
        <v>06:20:17.328</v>
      </c>
      <c r="U2860" t="str">
        <f t="shared" si="1081"/>
        <v>A7E2E0</v>
      </c>
      <c r="V2860">
        <v>0</v>
      </c>
      <c r="W2860">
        <v>0</v>
      </c>
      <c r="X2860">
        <v>1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0</v>
      </c>
      <c r="AI2860" t="s">
        <v>1437</v>
      </c>
      <c r="AJ2860">
        <v>38.877633000000003</v>
      </c>
      <c r="AK2860" t="s">
        <v>1436</v>
      </c>
      <c r="AL2860">
        <v>-87.610237999999995</v>
      </c>
      <c r="AM2860">
        <v>100</v>
      </c>
      <c r="AN2860">
        <v>2300</v>
      </c>
      <c r="AO2860" t="s">
        <v>118</v>
      </c>
      <c r="AP2860">
        <v>5</v>
      </c>
      <c r="AQ2860">
        <v>-130</v>
      </c>
      <c r="AR2860">
        <v>-192</v>
      </c>
      <c r="AZ2860">
        <v>4552</v>
      </c>
      <c r="BA2860">
        <v>1</v>
      </c>
      <c r="BB2860" t="str">
        <f t="shared" si="1082"/>
        <v xml:space="preserve">N607SR  </v>
      </c>
      <c r="BC2860">
        <v>1</v>
      </c>
      <c r="BE2860">
        <v>0</v>
      </c>
      <c r="BF2860">
        <v>0</v>
      </c>
      <c r="BG2860">
        <v>0</v>
      </c>
      <c r="BH2860">
        <v>2100</v>
      </c>
      <c r="BI2860">
        <v>1</v>
      </c>
      <c r="BJ2860">
        <v>1</v>
      </c>
      <c r="BK2860">
        <v>1</v>
      </c>
      <c r="BL2860">
        <v>0</v>
      </c>
      <c r="BO2860">
        <v>0</v>
      </c>
      <c r="BP2860">
        <v>0</v>
      </c>
      <c r="BW2860" t="str">
        <f t="shared" si="1109"/>
        <v>06:20:17.828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6</v>
      </c>
      <c r="CP2860" t="s">
        <v>119</v>
      </c>
      <c r="CQ2860">
        <v>465</v>
      </c>
      <c r="CR2860">
        <v>0</v>
      </c>
      <c r="CW2860">
        <v>4728135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 t="shared" si="1106"/>
        <v>08/29/2020 06:20:14.618</v>
      </c>
      <c r="C2861" t="str">
        <f t="shared" si="1080"/>
        <v>FFDFD3C0</v>
      </c>
      <c r="D2861" t="s">
        <v>121</v>
      </c>
      <c r="E2861">
        <v>13</v>
      </c>
      <c r="F2861">
        <v>1013</v>
      </c>
      <c r="G2861" t="s">
        <v>122</v>
      </c>
      <c r="J2861" t="s">
        <v>123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107"/>
        <v>06:20:17.828</v>
      </c>
      <c r="T2861" t="str">
        <f t="shared" si="1108"/>
        <v>06:20:17.328</v>
      </c>
      <c r="U2861" t="str">
        <f t="shared" si="1081"/>
        <v>A7E2E0</v>
      </c>
      <c r="V2861">
        <v>0</v>
      </c>
      <c r="W2861">
        <v>0</v>
      </c>
      <c r="X2861">
        <v>1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0</v>
      </c>
      <c r="AI2861" t="s">
        <v>1437</v>
      </c>
      <c r="AJ2861">
        <v>38.877633000000003</v>
      </c>
      <c r="AK2861" t="s">
        <v>1436</v>
      </c>
      <c r="AL2861">
        <v>-87.610237999999995</v>
      </c>
      <c r="AM2861">
        <v>100</v>
      </c>
      <c r="AN2861">
        <v>2300</v>
      </c>
      <c r="AO2861" t="s">
        <v>118</v>
      </c>
      <c r="AP2861">
        <v>5</v>
      </c>
      <c r="AQ2861">
        <v>-130</v>
      </c>
      <c r="AR2861">
        <v>-192</v>
      </c>
      <c r="AZ2861">
        <v>4552</v>
      </c>
      <c r="BA2861">
        <v>1</v>
      </c>
      <c r="BB2861" t="str">
        <f t="shared" si="1082"/>
        <v xml:space="preserve">N607SR  </v>
      </c>
      <c r="BC2861">
        <v>1</v>
      </c>
      <c r="BE2861">
        <v>0</v>
      </c>
      <c r="BF2861">
        <v>0</v>
      </c>
      <c r="BG2861">
        <v>0</v>
      </c>
      <c r="BH2861">
        <v>2100</v>
      </c>
      <c r="BI2861">
        <v>1</v>
      </c>
      <c r="BJ2861">
        <v>1</v>
      </c>
      <c r="BK2861">
        <v>1</v>
      </c>
      <c r="BL2861">
        <v>0</v>
      </c>
      <c r="BO2861">
        <v>0</v>
      </c>
      <c r="BP2861">
        <v>0</v>
      </c>
      <c r="BW2861" t="str">
        <f t="shared" si="1109"/>
        <v>06:20:17.828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6</v>
      </c>
      <c r="CP2861" t="s">
        <v>119</v>
      </c>
      <c r="CQ2861">
        <v>465</v>
      </c>
      <c r="CR2861">
        <v>0</v>
      </c>
      <c r="CW2861">
        <v>4728135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 t="shared" si="1106"/>
        <v>08/29/2020 06:20:14.618</v>
      </c>
      <c r="C2862" t="str">
        <f t="shared" si="1080"/>
        <v>FFDFD3C0</v>
      </c>
      <c r="D2862" t="s">
        <v>121</v>
      </c>
      <c r="E2862">
        <v>11</v>
      </c>
      <c r="F2862">
        <v>1011</v>
      </c>
      <c r="G2862" t="s">
        <v>125</v>
      </c>
      <c r="J2862" t="s">
        <v>123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107"/>
        <v>06:20:17.828</v>
      </c>
      <c r="T2862" t="str">
        <f t="shared" si="1108"/>
        <v>06:20:17.328</v>
      </c>
      <c r="U2862" t="str">
        <f t="shared" si="1081"/>
        <v>A7E2E0</v>
      </c>
      <c r="V2862">
        <v>0</v>
      </c>
      <c r="W2862">
        <v>0</v>
      </c>
      <c r="X2862">
        <v>1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0</v>
      </c>
      <c r="AI2862" t="s">
        <v>1437</v>
      </c>
      <c r="AJ2862">
        <v>38.877633000000003</v>
      </c>
      <c r="AK2862" t="s">
        <v>1436</v>
      </c>
      <c r="AL2862">
        <v>-87.610237999999995</v>
      </c>
      <c r="AM2862">
        <v>100</v>
      </c>
      <c r="AN2862">
        <v>2300</v>
      </c>
      <c r="AO2862" t="s">
        <v>118</v>
      </c>
      <c r="AP2862">
        <v>5</v>
      </c>
      <c r="AQ2862">
        <v>-130</v>
      </c>
      <c r="AR2862">
        <v>-192</v>
      </c>
      <c r="AZ2862">
        <v>4552</v>
      </c>
      <c r="BA2862">
        <v>1</v>
      </c>
      <c r="BB2862" t="str">
        <f t="shared" si="1082"/>
        <v xml:space="preserve">N607SR  </v>
      </c>
      <c r="BC2862">
        <v>1</v>
      </c>
      <c r="BE2862">
        <v>0</v>
      </c>
      <c r="BF2862">
        <v>0</v>
      </c>
      <c r="BG2862">
        <v>0</v>
      </c>
      <c r="BH2862">
        <v>2100</v>
      </c>
      <c r="BI2862">
        <v>1</v>
      </c>
      <c r="BJ2862">
        <v>1</v>
      </c>
      <c r="BK2862">
        <v>1</v>
      </c>
      <c r="BL2862">
        <v>0</v>
      </c>
      <c r="BO2862">
        <v>0</v>
      </c>
      <c r="BP2862">
        <v>0</v>
      </c>
      <c r="BW2862" t="str">
        <f t="shared" si="1109"/>
        <v>06:20:17.828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5</v>
      </c>
      <c r="CP2862" t="s">
        <v>119</v>
      </c>
      <c r="CQ2862">
        <v>177</v>
      </c>
      <c r="CR2862">
        <v>2</v>
      </c>
      <c r="CW2862">
        <v>1683672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 t="shared" si="1106"/>
        <v>08/29/2020 06:20:14.618</v>
      </c>
      <c r="C2863" t="str">
        <f t="shared" si="1080"/>
        <v>FFDFD3C0</v>
      </c>
      <c r="D2863" t="s">
        <v>939</v>
      </c>
      <c r="E2863">
        <v>10</v>
      </c>
      <c r="H2863">
        <v>79</v>
      </c>
      <c r="I2863" t="s">
        <v>940</v>
      </c>
      <c r="J2863" t="s">
        <v>130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107"/>
        <v>06:20:17.828</v>
      </c>
      <c r="T2863" t="str">
        <f t="shared" si="1108"/>
        <v>06:20:17.328</v>
      </c>
      <c r="U2863" t="str">
        <f t="shared" si="1081"/>
        <v>A7E2E0</v>
      </c>
      <c r="V2863">
        <v>0</v>
      </c>
      <c r="W2863">
        <v>0</v>
      </c>
      <c r="X2863">
        <v>1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0</v>
      </c>
      <c r="AI2863" t="s">
        <v>1437</v>
      </c>
      <c r="AJ2863">
        <v>38.877633000000003</v>
      </c>
      <c r="AK2863" t="s">
        <v>1436</v>
      </c>
      <c r="AL2863">
        <v>-87.610237999999995</v>
      </c>
      <c r="AM2863">
        <v>100</v>
      </c>
      <c r="AN2863">
        <v>2300</v>
      </c>
      <c r="AO2863" t="s">
        <v>118</v>
      </c>
      <c r="AP2863">
        <v>5</v>
      </c>
      <c r="AQ2863">
        <v>-130</v>
      </c>
      <c r="AR2863">
        <v>-192</v>
      </c>
      <c r="AZ2863">
        <v>4552</v>
      </c>
      <c r="BA2863">
        <v>1</v>
      </c>
      <c r="BB2863" t="str">
        <f t="shared" si="1082"/>
        <v xml:space="preserve">N607SR  </v>
      </c>
      <c r="BC2863">
        <v>1</v>
      </c>
      <c r="BE2863">
        <v>0</v>
      </c>
      <c r="BF2863">
        <v>0</v>
      </c>
      <c r="BG2863">
        <v>0</v>
      </c>
      <c r="BH2863">
        <v>2100</v>
      </c>
      <c r="BI2863">
        <v>1</v>
      </c>
      <c r="BJ2863">
        <v>1</v>
      </c>
      <c r="BK2863">
        <v>1</v>
      </c>
      <c r="BL2863">
        <v>0</v>
      </c>
      <c r="BO2863">
        <v>0</v>
      </c>
      <c r="BP2863">
        <v>0</v>
      </c>
      <c r="BW2863" t="str">
        <f t="shared" si="1109"/>
        <v>06:20:17.828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6</v>
      </c>
      <c r="CP2863" t="s">
        <v>119</v>
      </c>
      <c r="CQ2863">
        <v>465</v>
      </c>
      <c r="CR2863">
        <v>0</v>
      </c>
      <c r="CW2863">
        <v>4728135</v>
      </c>
      <c r="CY2863">
        <v>1</v>
      </c>
      <c r="CZ2863">
        <v>0</v>
      </c>
      <c r="DA2863">
        <v>1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 t="shared" si="1106"/>
        <v>08/29/2020 06:20:14.618</v>
      </c>
      <c r="C2864" t="str">
        <f t="shared" si="1080"/>
        <v>FFDFD3C0</v>
      </c>
      <c r="D2864" t="s">
        <v>121</v>
      </c>
      <c r="E2864">
        <v>10</v>
      </c>
      <c r="F2864">
        <v>1010</v>
      </c>
      <c r="G2864" t="s">
        <v>114</v>
      </c>
      <c r="J2864" t="s">
        <v>123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107"/>
        <v>06:20:17.828</v>
      </c>
      <c r="T2864" t="str">
        <f t="shared" si="1108"/>
        <v>06:20:17.328</v>
      </c>
      <c r="U2864" t="str">
        <f t="shared" si="1081"/>
        <v>A7E2E0</v>
      </c>
      <c r="V2864">
        <v>0</v>
      </c>
      <c r="W2864">
        <v>0</v>
      </c>
      <c r="X2864">
        <v>1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0</v>
      </c>
      <c r="AI2864" t="s">
        <v>1437</v>
      </c>
      <c r="AJ2864">
        <v>38.877633000000003</v>
      </c>
      <c r="AK2864" t="s">
        <v>1436</v>
      </c>
      <c r="AL2864">
        <v>-87.610237999999995</v>
      </c>
      <c r="AM2864">
        <v>100</v>
      </c>
      <c r="AN2864">
        <v>2300</v>
      </c>
      <c r="AO2864" t="s">
        <v>118</v>
      </c>
      <c r="AP2864">
        <v>5</v>
      </c>
      <c r="AQ2864">
        <v>-130</v>
      </c>
      <c r="AR2864">
        <v>-192</v>
      </c>
      <c r="AZ2864">
        <v>4552</v>
      </c>
      <c r="BA2864">
        <v>1</v>
      </c>
      <c r="BB2864" t="str">
        <f t="shared" si="1082"/>
        <v xml:space="preserve">N607SR  </v>
      </c>
      <c r="BC2864">
        <v>1</v>
      </c>
      <c r="BE2864">
        <v>0</v>
      </c>
      <c r="BF2864">
        <v>0</v>
      </c>
      <c r="BG2864">
        <v>0</v>
      </c>
      <c r="BH2864">
        <v>2100</v>
      </c>
      <c r="BI2864">
        <v>1</v>
      </c>
      <c r="BJ2864">
        <v>1</v>
      </c>
      <c r="BK2864">
        <v>1</v>
      </c>
      <c r="BL2864">
        <v>0</v>
      </c>
      <c r="BO2864">
        <v>0</v>
      </c>
      <c r="BP2864">
        <v>0</v>
      </c>
      <c r="BW2864" t="str">
        <f t="shared" si="1109"/>
        <v>06:20:17.828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6</v>
      </c>
      <c r="CP2864" t="s">
        <v>119</v>
      </c>
      <c r="CQ2864">
        <v>465</v>
      </c>
      <c r="CR2864">
        <v>0</v>
      </c>
      <c r="CW2864">
        <v>4728135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 t="shared" ref="A2865:A2870" si="1110">"08/29/2020 06:20:15.537"</f>
        <v>08/29/2020 06:20:15.537</v>
      </c>
      <c r="C2865" t="str">
        <f t="shared" si="1080"/>
        <v>FFDFD3C0</v>
      </c>
      <c r="D2865" t="s">
        <v>128</v>
      </c>
      <c r="E2865">
        <v>5</v>
      </c>
      <c r="H2865">
        <v>241</v>
      </c>
      <c r="I2865" t="s">
        <v>129</v>
      </c>
      <c r="J2865" t="s">
        <v>130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ref="S2865:S2870" si="1111">"06:20:18.758"</f>
        <v>06:20:18.758</v>
      </c>
      <c r="T2865" t="str">
        <f t="shared" ref="T2865:T2870" si="1112">"06:20:18.358"</f>
        <v>06:20:18.358</v>
      </c>
      <c r="U2865" t="str">
        <f t="shared" si="1081"/>
        <v>A7E2E0</v>
      </c>
      <c r="V2865">
        <v>0</v>
      </c>
      <c r="W2865">
        <v>0</v>
      </c>
      <c r="X2865">
        <v>1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0</v>
      </c>
      <c r="AI2865" t="s">
        <v>1438</v>
      </c>
      <c r="AJ2865">
        <v>38.877096000000002</v>
      </c>
      <c r="AK2865" t="s">
        <v>1439</v>
      </c>
      <c r="AL2865">
        <v>-87.610173000000003</v>
      </c>
      <c r="AM2865">
        <v>100</v>
      </c>
      <c r="AN2865">
        <v>2300</v>
      </c>
      <c r="AO2865" t="s">
        <v>118</v>
      </c>
      <c r="AP2865">
        <v>5</v>
      </c>
      <c r="AQ2865">
        <v>-130</v>
      </c>
      <c r="AR2865">
        <v>-320</v>
      </c>
      <c r="AZ2865">
        <v>4552</v>
      </c>
      <c r="BA2865">
        <v>1</v>
      </c>
      <c r="BB2865" t="str">
        <f t="shared" si="1082"/>
        <v xml:space="preserve">N607SR  </v>
      </c>
      <c r="BC2865">
        <v>1</v>
      </c>
      <c r="BE2865">
        <v>0</v>
      </c>
      <c r="BF2865">
        <v>0</v>
      </c>
      <c r="BG2865">
        <v>0</v>
      </c>
      <c r="BH2865">
        <v>2100</v>
      </c>
      <c r="BI2865">
        <v>1</v>
      </c>
      <c r="BJ2865">
        <v>1</v>
      </c>
      <c r="BK2865">
        <v>1</v>
      </c>
      <c r="BL2865">
        <v>0</v>
      </c>
      <c r="BO2865">
        <v>0</v>
      </c>
      <c r="BP2865">
        <v>0</v>
      </c>
      <c r="BW2865" t="str">
        <f t="shared" ref="BW2865:BW2870" si="1113">"06:20:18.761"</f>
        <v>06:20:18.761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6</v>
      </c>
      <c r="CP2865" t="s">
        <v>119</v>
      </c>
      <c r="CQ2865">
        <v>465</v>
      </c>
      <c r="CR2865">
        <v>0</v>
      </c>
      <c r="CW2865">
        <v>4728167</v>
      </c>
      <c r="CY2865">
        <v>1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 t="shared" si="1110"/>
        <v>08/29/2020 06:20:15.537</v>
      </c>
      <c r="C2866" t="str">
        <f t="shared" si="1080"/>
        <v>FFDFD3C0</v>
      </c>
      <c r="D2866" t="s">
        <v>121</v>
      </c>
      <c r="E2866">
        <v>13</v>
      </c>
      <c r="F2866">
        <v>1013</v>
      </c>
      <c r="G2866" t="s">
        <v>122</v>
      </c>
      <c r="J2866" t="s">
        <v>123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111"/>
        <v>06:20:18.758</v>
      </c>
      <c r="T2866" t="str">
        <f t="shared" si="1112"/>
        <v>06:20:18.358</v>
      </c>
      <c r="U2866" t="str">
        <f t="shared" si="1081"/>
        <v>A7E2E0</v>
      </c>
      <c r="V2866">
        <v>0</v>
      </c>
      <c r="W2866">
        <v>0</v>
      </c>
      <c r="X2866">
        <v>1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0</v>
      </c>
      <c r="AI2866" t="s">
        <v>1438</v>
      </c>
      <c r="AJ2866">
        <v>38.877096000000002</v>
      </c>
      <c r="AK2866" t="s">
        <v>1439</v>
      </c>
      <c r="AL2866">
        <v>-87.610173000000003</v>
      </c>
      <c r="AM2866">
        <v>100</v>
      </c>
      <c r="AN2866">
        <v>2300</v>
      </c>
      <c r="AO2866" t="s">
        <v>118</v>
      </c>
      <c r="AP2866">
        <v>5</v>
      </c>
      <c r="AQ2866">
        <v>-130</v>
      </c>
      <c r="AR2866">
        <v>-320</v>
      </c>
      <c r="AZ2866">
        <v>4552</v>
      </c>
      <c r="BA2866">
        <v>1</v>
      </c>
      <c r="BB2866" t="str">
        <f t="shared" si="1082"/>
        <v xml:space="preserve">N607SR  </v>
      </c>
      <c r="BC2866">
        <v>1</v>
      </c>
      <c r="BE2866">
        <v>0</v>
      </c>
      <c r="BF2866">
        <v>0</v>
      </c>
      <c r="BG2866">
        <v>0</v>
      </c>
      <c r="BH2866">
        <v>2100</v>
      </c>
      <c r="BI2866">
        <v>1</v>
      </c>
      <c r="BJ2866">
        <v>1</v>
      </c>
      <c r="BK2866">
        <v>1</v>
      </c>
      <c r="BL2866">
        <v>0</v>
      </c>
      <c r="BO2866">
        <v>0</v>
      </c>
      <c r="BP2866">
        <v>0</v>
      </c>
      <c r="BW2866" t="str">
        <f t="shared" si="1113"/>
        <v>06:20:18.761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6</v>
      </c>
      <c r="CP2866" t="s">
        <v>119</v>
      </c>
      <c r="CQ2866">
        <v>465</v>
      </c>
      <c r="CR2866">
        <v>0</v>
      </c>
      <c r="CW2866">
        <v>4728167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 t="shared" si="1110"/>
        <v>08/29/2020 06:20:15.537</v>
      </c>
      <c r="C2867" t="str">
        <f t="shared" si="1080"/>
        <v>FFDFD3C0</v>
      </c>
      <c r="D2867" t="s">
        <v>121</v>
      </c>
      <c r="E2867">
        <v>11</v>
      </c>
      <c r="F2867">
        <v>1011</v>
      </c>
      <c r="G2867" t="s">
        <v>125</v>
      </c>
      <c r="J2867" t="s">
        <v>123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111"/>
        <v>06:20:18.758</v>
      </c>
      <c r="T2867" t="str">
        <f t="shared" si="1112"/>
        <v>06:20:18.358</v>
      </c>
      <c r="U2867" t="str">
        <f t="shared" si="1081"/>
        <v>A7E2E0</v>
      </c>
      <c r="V2867">
        <v>0</v>
      </c>
      <c r="W2867">
        <v>0</v>
      </c>
      <c r="X2867">
        <v>1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0</v>
      </c>
      <c r="AI2867" t="s">
        <v>1438</v>
      </c>
      <c r="AJ2867">
        <v>38.877096000000002</v>
      </c>
      <c r="AK2867" t="s">
        <v>1439</v>
      </c>
      <c r="AL2867">
        <v>-87.610173000000003</v>
      </c>
      <c r="AM2867">
        <v>100</v>
      </c>
      <c r="AN2867">
        <v>2300</v>
      </c>
      <c r="AO2867" t="s">
        <v>118</v>
      </c>
      <c r="AP2867">
        <v>5</v>
      </c>
      <c r="AQ2867">
        <v>-130</v>
      </c>
      <c r="AR2867">
        <v>-320</v>
      </c>
      <c r="AZ2867">
        <v>4552</v>
      </c>
      <c r="BA2867">
        <v>1</v>
      </c>
      <c r="BB2867" t="str">
        <f t="shared" si="1082"/>
        <v xml:space="preserve">N607SR  </v>
      </c>
      <c r="BC2867">
        <v>1</v>
      </c>
      <c r="BE2867">
        <v>0</v>
      </c>
      <c r="BF2867">
        <v>0</v>
      </c>
      <c r="BG2867">
        <v>0</v>
      </c>
      <c r="BH2867">
        <v>2100</v>
      </c>
      <c r="BI2867">
        <v>1</v>
      </c>
      <c r="BJ2867">
        <v>1</v>
      </c>
      <c r="BK2867">
        <v>1</v>
      </c>
      <c r="BL2867">
        <v>0</v>
      </c>
      <c r="BO2867">
        <v>0</v>
      </c>
      <c r="BP2867">
        <v>0</v>
      </c>
      <c r="BW2867" t="str">
        <f t="shared" si="1113"/>
        <v>06:20:18.761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5</v>
      </c>
      <c r="CP2867" t="s">
        <v>119</v>
      </c>
      <c r="CQ2867">
        <v>177</v>
      </c>
      <c r="CR2867">
        <v>2</v>
      </c>
      <c r="CW2867">
        <v>1683813</v>
      </c>
      <c r="CY2867">
        <v>1</v>
      </c>
      <c r="CZ2867">
        <v>0</v>
      </c>
      <c r="DA2867">
        <v>1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 t="shared" si="1110"/>
        <v>08/29/2020 06:20:15.537</v>
      </c>
      <c r="C2868" t="str">
        <f t="shared" si="1080"/>
        <v>FFDFD3C0</v>
      </c>
      <c r="D2868" t="s">
        <v>939</v>
      </c>
      <c r="E2868">
        <v>10</v>
      </c>
      <c r="H2868">
        <v>79</v>
      </c>
      <c r="I2868" t="s">
        <v>940</v>
      </c>
      <c r="J2868" t="s">
        <v>130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111"/>
        <v>06:20:18.758</v>
      </c>
      <c r="T2868" t="str">
        <f t="shared" si="1112"/>
        <v>06:20:18.358</v>
      </c>
      <c r="U2868" t="str">
        <f t="shared" si="1081"/>
        <v>A7E2E0</v>
      </c>
      <c r="V2868">
        <v>0</v>
      </c>
      <c r="W2868">
        <v>0</v>
      </c>
      <c r="X2868">
        <v>1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0</v>
      </c>
      <c r="AI2868" t="s">
        <v>1438</v>
      </c>
      <c r="AJ2868">
        <v>38.877096000000002</v>
      </c>
      <c r="AK2868" t="s">
        <v>1439</v>
      </c>
      <c r="AL2868">
        <v>-87.610173000000003</v>
      </c>
      <c r="AM2868">
        <v>100</v>
      </c>
      <c r="AN2868">
        <v>2300</v>
      </c>
      <c r="AO2868" t="s">
        <v>118</v>
      </c>
      <c r="AP2868">
        <v>5</v>
      </c>
      <c r="AQ2868">
        <v>-130</v>
      </c>
      <c r="AR2868">
        <v>-320</v>
      </c>
      <c r="AZ2868">
        <v>4552</v>
      </c>
      <c r="BA2868">
        <v>1</v>
      </c>
      <c r="BB2868" t="str">
        <f t="shared" si="1082"/>
        <v xml:space="preserve">N607SR  </v>
      </c>
      <c r="BC2868">
        <v>1</v>
      </c>
      <c r="BE2868">
        <v>0</v>
      </c>
      <c r="BF2868">
        <v>0</v>
      </c>
      <c r="BG2868">
        <v>0</v>
      </c>
      <c r="BH2868">
        <v>2100</v>
      </c>
      <c r="BI2868">
        <v>1</v>
      </c>
      <c r="BJ2868">
        <v>1</v>
      </c>
      <c r="BK2868">
        <v>1</v>
      </c>
      <c r="BL2868">
        <v>0</v>
      </c>
      <c r="BO2868">
        <v>0</v>
      </c>
      <c r="BP2868">
        <v>0</v>
      </c>
      <c r="BW2868" t="str">
        <f t="shared" si="1113"/>
        <v>06:20:18.761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6</v>
      </c>
      <c r="CP2868" t="s">
        <v>119</v>
      </c>
      <c r="CQ2868">
        <v>465</v>
      </c>
      <c r="CR2868">
        <v>0</v>
      </c>
      <c r="CW2868">
        <v>4728167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 t="shared" si="1110"/>
        <v>08/29/2020 06:20:15.537</v>
      </c>
      <c r="C2869" t="str">
        <f t="shared" si="1080"/>
        <v>FFDFD3C0</v>
      </c>
      <c r="D2869" t="s">
        <v>121</v>
      </c>
      <c r="E2869">
        <v>10</v>
      </c>
      <c r="F2869">
        <v>1010</v>
      </c>
      <c r="G2869" t="s">
        <v>114</v>
      </c>
      <c r="J2869" t="s">
        <v>123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111"/>
        <v>06:20:18.758</v>
      </c>
      <c r="T2869" t="str">
        <f t="shared" si="1112"/>
        <v>06:20:18.358</v>
      </c>
      <c r="U2869" t="str">
        <f t="shared" si="1081"/>
        <v>A7E2E0</v>
      </c>
      <c r="V2869">
        <v>0</v>
      </c>
      <c r="W2869">
        <v>0</v>
      </c>
      <c r="X2869">
        <v>1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0</v>
      </c>
      <c r="AI2869" t="s">
        <v>1438</v>
      </c>
      <c r="AJ2869">
        <v>38.877096000000002</v>
      </c>
      <c r="AK2869" t="s">
        <v>1439</v>
      </c>
      <c r="AL2869">
        <v>-87.610173000000003</v>
      </c>
      <c r="AM2869">
        <v>100</v>
      </c>
      <c r="AN2869">
        <v>2300</v>
      </c>
      <c r="AO2869" t="s">
        <v>118</v>
      </c>
      <c r="AP2869">
        <v>5</v>
      </c>
      <c r="AQ2869">
        <v>-130</v>
      </c>
      <c r="AR2869">
        <v>-320</v>
      </c>
      <c r="AZ2869">
        <v>4552</v>
      </c>
      <c r="BA2869">
        <v>1</v>
      </c>
      <c r="BB2869" t="str">
        <f t="shared" si="1082"/>
        <v xml:space="preserve">N607SR  </v>
      </c>
      <c r="BC2869">
        <v>1</v>
      </c>
      <c r="BE2869">
        <v>0</v>
      </c>
      <c r="BF2869">
        <v>0</v>
      </c>
      <c r="BG2869">
        <v>0</v>
      </c>
      <c r="BH2869">
        <v>2100</v>
      </c>
      <c r="BI2869">
        <v>1</v>
      </c>
      <c r="BJ2869">
        <v>1</v>
      </c>
      <c r="BK2869">
        <v>1</v>
      </c>
      <c r="BL2869">
        <v>0</v>
      </c>
      <c r="BO2869">
        <v>0</v>
      </c>
      <c r="BP2869">
        <v>0</v>
      </c>
      <c r="BW2869" t="str">
        <f t="shared" si="1113"/>
        <v>06:20:18.761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6</v>
      </c>
      <c r="CP2869" t="s">
        <v>119</v>
      </c>
      <c r="CQ2869">
        <v>465</v>
      </c>
      <c r="CR2869">
        <v>0</v>
      </c>
      <c r="CW2869">
        <v>4728167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 t="shared" si="1110"/>
        <v>08/29/2020 06:20:15.537</v>
      </c>
      <c r="C2870" t="str">
        <f t="shared" si="1080"/>
        <v>FFDFD3C0</v>
      </c>
      <c r="D2870" t="s">
        <v>113</v>
      </c>
      <c r="E2870">
        <v>5</v>
      </c>
      <c r="H2870">
        <v>163</v>
      </c>
      <c r="I2870" t="s">
        <v>114</v>
      </c>
      <c r="J2870" t="s">
        <v>115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si="1111"/>
        <v>06:20:18.758</v>
      </c>
      <c r="T2870" t="str">
        <f t="shared" si="1112"/>
        <v>06:20:18.358</v>
      </c>
      <c r="U2870" t="str">
        <f t="shared" si="1081"/>
        <v>A7E2E0</v>
      </c>
      <c r="V2870">
        <v>0</v>
      </c>
      <c r="W2870">
        <v>0</v>
      </c>
      <c r="X2870">
        <v>1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0</v>
      </c>
      <c r="AI2870" t="s">
        <v>1438</v>
      </c>
      <c r="AJ2870">
        <v>38.877096000000002</v>
      </c>
      <c r="AK2870" t="s">
        <v>1439</v>
      </c>
      <c r="AL2870">
        <v>-87.610173000000003</v>
      </c>
      <c r="AM2870">
        <v>100</v>
      </c>
      <c r="AN2870">
        <v>2300</v>
      </c>
      <c r="AO2870" t="s">
        <v>118</v>
      </c>
      <c r="AP2870">
        <v>5</v>
      </c>
      <c r="AQ2870">
        <v>-130</v>
      </c>
      <c r="AR2870">
        <v>-320</v>
      </c>
      <c r="AZ2870">
        <v>4552</v>
      </c>
      <c r="BA2870">
        <v>1</v>
      </c>
      <c r="BB2870" t="str">
        <f t="shared" si="1082"/>
        <v xml:space="preserve">N607SR  </v>
      </c>
      <c r="BC2870">
        <v>1</v>
      </c>
      <c r="BE2870">
        <v>0</v>
      </c>
      <c r="BF2870">
        <v>0</v>
      </c>
      <c r="BG2870">
        <v>0</v>
      </c>
      <c r="BH2870">
        <v>2100</v>
      </c>
      <c r="BI2870">
        <v>1</v>
      </c>
      <c r="BJ2870">
        <v>1</v>
      </c>
      <c r="BK2870">
        <v>1</v>
      </c>
      <c r="BL2870">
        <v>0</v>
      </c>
      <c r="BO2870">
        <v>0</v>
      </c>
      <c r="BP2870">
        <v>0</v>
      </c>
      <c r="BW2870" t="str">
        <f t="shared" si="1113"/>
        <v>06:20:18.761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6</v>
      </c>
      <c r="CP2870" t="s">
        <v>119</v>
      </c>
      <c r="CQ2870">
        <v>465</v>
      </c>
      <c r="CR2870">
        <v>0</v>
      </c>
      <c r="CW2870">
        <v>4728167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 t="shared" ref="A2871:A2876" si="1114">"08/29/2020 06:20:16.595"</f>
        <v>08/29/2020 06:20:16.595</v>
      </c>
      <c r="C2871" t="str">
        <f t="shared" si="1080"/>
        <v>FFDFD3C0</v>
      </c>
      <c r="D2871" t="s">
        <v>113</v>
      </c>
      <c r="E2871">
        <v>5</v>
      </c>
      <c r="H2871">
        <v>163</v>
      </c>
      <c r="I2871" t="s">
        <v>114</v>
      </c>
      <c r="J2871" t="s">
        <v>115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ref="S2871:S2876" si="1115">"06:20:19.805"</f>
        <v>06:20:19.805</v>
      </c>
      <c r="T2871" t="str">
        <f t="shared" ref="T2871:T2876" si="1116">"06:20:19.305"</f>
        <v>06:20:19.305</v>
      </c>
      <c r="U2871" t="str">
        <f t="shared" si="1081"/>
        <v>A7E2E0</v>
      </c>
      <c r="V2871">
        <v>0</v>
      </c>
      <c r="W2871">
        <v>0</v>
      </c>
      <c r="X2871">
        <v>1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0</v>
      </c>
      <c r="AI2871" t="s">
        <v>1440</v>
      </c>
      <c r="AJ2871">
        <v>38.876430999999997</v>
      </c>
      <c r="AK2871" t="s">
        <v>1439</v>
      </c>
      <c r="AL2871">
        <v>-87.610173000000003</v>
      </c>
      <c r="AM2871">
        <v>100</v>
      </c>
      <c r="AN2871">
        <v>2300</v>
      </c>
      <c r="AO2871" t="s">
        <v>118</v>
      </c>
      <c r="AP2871">
        <v>5</v>
      </c>
      <c r="AQ2871">
        <v>-130</v>
      </c>
      <c r="AR2871">
        <v>-256</v>
      </c>
      <c r="AZ2871">
        <v>4552</v>
      </c>
      <c r="BA2871">
        <v>1</v>
      </c>
      <c r="BB2871" t="str">
        <f t="shared" si="1082"/>
        <v xml:space="preserve">N607SR  </v>
      </c>
      <c r="BC2871">
        <v>1</v>
      </c>
      <c r="BE2871">
        <v>0</v>
      </c>
      <c r="BF2871">
        <v>0</v>
      </c>
      <c r="BG2871">
        <v>0</v>
      </c>
      <c r="BH2871">
        <v>2100</v>
      </c>
      <c r="BI2871">
        <v>1</v>
      </c>
      <c r="BJ2871">
        <v>1</v>
      </c>
      <c r="BK2871">
        <v>1</v>
      </c>
      <c r="BL2871">
        <v>0</v>
      </c>
      <c r="BO2871">
        <v>0</v>
      </c>
      <c r="BP2871">
        <v>0</v>
      </c>
      <c r="BW2871" t="str">
        <f t="shared" ref="BW2871:BW2876" si="1117">"06:20:19.811"</f>
        <v>06:20:19.811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6</v>
      </c>
      <c r="CP2871" t="s">
        <v>119</v>
      </c>
      <c r="CQ2871">
        <v>465</v>
      </c>
      <c r="CR2871">
        <v>0</v>
      </c>
      <c r="CW2871">
        <v>4728194</v>
      </c>
      <c r="CY2871">
        <v>1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 t="shared" si="1114"/>
        <v>08/29/2020 06:20:16.595</v>
      </c>
      <c r="C2872" t="str">
        <f t="shared" si="1080"/>
        <v>FFDFD3C0</v>
      </c>
      <c r="D2872" t="s">
        <v>128</v>
      </c>
      <c r="E2872">
        <v>5</v>
      </c>
      <c r="H2872">
        <v>241</v>
      </c>
      <c r="I2872" t="s">
        <v>129</v>
      </c>
      <c r="J2872" t="s">
        <v>130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115"/>
        <v>06:20:19.805</v>
      </c>
      <c r="T2872" t="str">
        <f t="shared" si="1116"/>
        <v>06:20:19.305</v>
      </c>
      <c r="U2872" t="str">
        <f t="shared" si="1081"/>
        <v>A7E2E0</v>
      </c>
      <c r="V2872">
        <v>0</v>
      </c>
      <c r="W2872">
        <v>0</v>
      </c>
      <c r="X2872">
        <v>1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0</v>
      </c>
      <c r="AI2872" t="s">
        <v>1440</v>
      </c>
      <c r="AJ2872">
        <v>38.876430999999997</v>
      </c>
      <c r="AK2872" t="s">
        <v>1439</v>
      </c>
      <c r="AL2872">
        <v>-87.610173000000003</v>
      </c>
      <c r="AM2872">
        <v>100</v>
      </c>
      <c r="AN2872">
        <v>2300</v>
      </c>
      <c r="AO2872" t="s">
        <v>118</v>
      </c>
      <c r="AP2872">
        <v>5</v>
      </c>
      <c r="AQ2872">
        <v>-130</v>
      </c>
      <c r="AR2872">
        <v>-256</v>
      </c>
      <c r="AZ2872">
        <v>4552</v>
      </c>
      <c r="BA2872">
        <v>1</v>
      </c>
      <c r="BB2872" t="str">
        <f t="shared" si="1082"/>
        <v xml:space="preserve">N607SR  </v>
      </c>
      <c r="BC2872">
        <v>1</v>
      </c>
      <c r="BE2872">
        <v>0</v>
      </c>
      <c r="BF2872">
        <v>0</v>
      </c>
      <c r="BG2872">
        <v>0</v>
      </c>
      <c r="BH2872">
        <v>2100</v>
      </c>
      <c r="BI2872">
        <v>1</v>
      </c>
      <c r="BJ2872">
        <v>1</v>
      </c>
      <c r="BK2872">
        <v>1</v>
      </c>
      <c r="BL2872">
        <v>0</v>
      </c>
      <c r="BO2872">
        <v>0</v>
      </c>
      <c r="BP2872">
        <v>0</v>
      </c>
      <c r="BW2872" t="str">
        <f t="shared" si="1117"/>
        <v>06:20:19.811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6</v>
      </c>
      <c r="CP2872" t="s">
        <v>119</v>
      </c>
      <c r="CQ2872">
        <v>465</v>
      </c>
      <c r="CR2872">
        <v>0</v>
      </c>
      <c r="CW2872">
        <v>4728194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 t="shared" si="1114"/>
        <v>08/29/2020 06:20:16.595</v>
      </c>
      <c r="C2873" t="str">
        <f t="shared" si="1080"/>
        <v>FFDFD3C0</v>
      </c>
      <c r="D2873" t="s">
        <v>121</v>
      </c>
      <c r="E2873">
        <v>13</v>
      </c>
      <c r="F2873">
        <v>1013</v>
      </c>
      <c r="G2873" t="s">
        <v>122</v>
      </c>
      <c r="J2873" t="s">
        <v>123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1115"/>
        <v>06:20:19.805</v>
      </c>
      <c r="T2873" t="str">
        <f t="shared" si="1116"/>
        <v>06:20:19.305</v>
      </c>
      <c r="U2873" t="str">
        <f t="shared" si="1081"/>
        <v>A7E2E0</v>
      </c>
      <c r="V2873">
        <v>0</v>
      </c>
      <c r="W2873">
        <v>0</v>
      </c>
      <c r="X2873">
        <v>1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0</v>
      </c>
      <c r="AI2873" t="s">
        <v>1440</v>
      </c>
      <c r="AJ2873">
        <v>38.876430999999997</v>
      </c>
      <c r="AK2873" t="s">
        <v>1439</v>
      </c>
      <c r="AL2873">
        <v>-87.610173000000003</v>
      </c>
      <c r="AM2873">
        <v>100</v>
      </c>
      <c r="AN2873">
        <v>2300</v>
      </c>
      <c r="AO2873" t="s">
        <v>118</v>
      </c>
      <c r="AP2873">
        <v>5</v>
      </c>
      <c r="AQ2873">
        <v>-130</v>
      </c>
      <c r="AR2873">
        <v>-256</v>
      </c>
      <c r="AZ2873">
        <v>4552</v>
      </c>
      <c r="BA2873">
        <v>1</v>
      </c>
      <c r="BB2873" t="str">
        <f t="shared" si="1082"/>
        <v xml:space="preserve">N607SR  </v>
      </c>
      <c r="BC2873">
        <v>1</v>
      </c>
      <c r="BE2873">
        <v>0</v>
      </c>
      <c r="BF2873">
        <v>0</v>
      </c>
      <c r="BG2873">
        <v>0</v>
      </c>
      <c r="BH2873">
        <v>2100</v>
      </c>
      <c r="BI2873">
        <v>1</v>
      </c>
      <c r="BJ2873">
        <v>1</v>
      </c>
      <c r="BK2873">
        <v>1</v>
      </c>
      <c r="BL2873">
        <v>0</v>
      </c>
      <c r="BO2873">
        <v>0</v>
      </c>
      <c r="BP2873">
        <v>0</v>
      </c>
      <c r="BW2873" t="str">
        <f t="shared" si="1117"/>
        <v>06:20:19.811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6</v>
      </c>
      <c r="CP2873" t="s">
        <v>119</v>
      </c>
      <c r="CQ2873">
        <v>465</v>
      </c>
      <c r="CR2873">
        <v>0</v>
      </c>
      <c r="CW2873">
        <v>4728194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 t="shared" si="1114"/>
        <v>08/29/2020 06:20:16.595</v>
      </c>
      <c r="C2874" t="str">
        <f t="shared" si="1080"/>
        <v>FFDFD3C0</v>
      </c>
      <c r="D2874" t="s">
        <v>121</v>
      </c>
      <c r="E2874">
        <v>11</v>
      </c>
      <c r="F2874">
        <v>1011</v>
      </c>
      <c r="G2874" t="s">
        <v>125</v>
      </c>
      <c r="J2874" t="s">
        <v>123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115"/>
        <v>06:20:19.805</v>
      </c>
      <c r="T2874" t="str">
        <f t="shared" si="1116"/>
        <v>06:20:19.305</v>
      </c>
      <c r="U2874" t="str">
        <f t="shared" si="1081"/>
        <v>A7E2E0</v>
      </c>
      <c r="V2874">
        <v>0</v>
      </c>
      <c r="W2874">
        <v>0</v>
      </c>
      <c r="X2874">
        <v>1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0</v>
      </c>
      <c r="AI2874" t="s">
        <v>1440</v>
      </c>
      <c r="AJ2874">
        <v>38.876430999999997</v>
      </c>
      <c r="AK2874" t="s">
        <v>1439</v>
      </c>
      <c r="AL2874">
        <v>-87.610173000000003</v>
      </c>
      <c r="AM2874">
        <v>100</v>
      </c>
      <c r="AN2874">
        <v>2300</v>
      </c>
      <c r="AO2874" t="s">
        <v>118</v>
      </c>
      <c r="AP2874">
        <v>5</v>
      </c>
      <c r="AQ2874">
        <v>-130</v>
      </c>
      <c r="AR2874">
        <v>-256</v>
      </c>
      <c r="AZ2874">
        <v>4552</v>
      </c>
      <c r="BA2874">
        <v>1</v>
      </c>
      <c r="BB2874" t="str">
        <f t="shared" si="1082"/>
        <v xml:space="preserve">N607SR  </v>
      </c>
      <c r="BC2874">
        <v>1</v>
      </c>
      <c r="BE2874">
        <v>0</v>
      </c>
      <c r="BF2874">
        <v>0</v>
      </c>
      <c r="BG2874">
        <v>0</v>
      </c>
      <c r="BH2874">
        <v>2100</v>
      </c>
      <c r="BI2874">
        <v>1</v>
      </c>
      <c r="BJ2874">
        <v>1</v>
      </c>
      <c r="BK2874">
        <v>1</v>
      </c>
      <c r="BL2874">
        <v>0</v>
      </c>
      <c r="BO2874">
        <v>0</v>
      </c>
      <c r="BP2874">
        <v>0</v>
      </c>
      <c r="BW2874" t="str">
        <f t="shared" si="1117"/>
        <v>06:20:19.811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5</v>
      </c>
      <c r="CP2874" t="s">
        <v>119</v>
      </c>
      <c r="CQ2874">
        <v>177</v>
      </c>
      <c r="CR2874">
        <v>2</v>
      </c>
      <c r="CW2874">
        <v>1683972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 t="shared" si="1114"/>
        <v>08/29/2020 06:20:16.595</v>
      </c>
      <c r="C2875" t="str">
        <f t="shared" si="1080"/>
        <v>FFDFD3C0</v>
      </c>
      <c r="D2875" t="s">
        <v>939</v>
      </c>
      <c r="E2875">
        <v>10</v>
      </c>
      <c r="H2875">
        <v>79</v>
      </c>
      <c r="I2875" t="s">
        <v>940</v>
      </c>
      <c r="J2875" t="s">
        <v>130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115"/>
        <v>06:20:19.805</v>
      </c>
      <c r="T2875" t="str">
        <f t="shared" si="1116"/>
        <v>06:20:19.305</v>
      </c>
      <c r="U2875" t="str">
        <f t="shared" si="1081"/>
        <v>A7E2E0</v>
      </c>
      <c r="V2875">
        <v>0</v>
      </c>
      <c r="W2875">
        <v>0</v>
      </c>
      <c r="X2875">
        <v>1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0</v>
      </c>
      <c r="AI2875" t="s">
        <v>1440</v>
      </c>
      <c r="AJ2875">
        <v>38.876430999999997</v>
      </c>
      <c r="AK2875" t="s">
        <v>1439</v>
      </c>
      <c r="AL2875">
        <v>-87.610173000000003</v>
      </c>
      <c r="AM2875">
        <v>100</v>
      </c>
      <c r="AN2875">
        <v>2300</v>
      </c>
      <c r="AO2875" t="s">
        <v>118</v>
      </c>
      <c r="AP2875">
        <v>5</v>
      </c>
      <c r="AQ2875">
        <v>-130</v>
      </c>
      <c r="AR2875">
        <v>-256</v>
      </c>
      <c r="AZ2875">
        <v>4552</v>
      </c>
      <c r="BA2875">
        <v>1</v>
      </c>
      <c r="BB2875" t="str">
        <f t="shared" si="1082"/>
        <v xml:space="preserve">N607SR  </v>
      </c>
      <c r="BC2875">
        <v>1</v>
      </c>
      <c r="BE2875">
        <v>0</v>
      </c>
      <c r="BF2875">
        <v>0</v>
      </c>
      <c r="BG2875">
        <v>0</v>
      </c>
      <c r="BH2875">
        <v>2100</v>
      </c>
      <c r="BI2875">
        <v>1</v>
      </c>
      <c r="BJ2875">
        <v>1</v>
      </c>
      <c r="BK2875">
        <v>1</v>
      </c>
      <c r="BL2875">
        <v>0</v>
      </c>
      <c r="BO2875">
        <v>0</v>
      </c>
      <c r="BP2875">
        <v>0</v>
      </c>
      <c r="BW2875" t="str">
        <f t="shared" si="1117"/>
        <v>06:20:19.811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6</v>
      </c>
      <c r="CP2875" t="s">
        <v>119</v>
      </c>
      <c r="CQ2875">
        <v>465</v>
      </c>
      <c r="CR2875">
        <v>0</v>
      </c>
      <c r="CW2875">
        <v>4728194</v>
      </c>
      <c r="CY2875">
        <v>1</v>
      </c>
      <c r="CZ2875">
        <v>0</v>
      </c>
      <c r="DA2875">
        <v>1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 t="shared" si="1114"/>
        <v>08/29/2020 06:20:16.595</v>
      </c>
      <c r="C2876" t="str">
        <f t="shared" si="1080"/>
        <v>FFDFD3C0</v>
      </c>
      <c r="D2876" t="s">
        <v>121</v>
      </c>
      <c r="E2876">
        <v>10</v>
      </c>
      <c r="F2876">
        <v>1010</v>
      </c>
      <c r="G2876" t="s">
        <v>114</v>
      </c>
      <c r="J2876" t="s">
        <v>123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115"/>
        <v>06:20:19.805</v>
      </c>
      <c r="T2876" t="str">
        <f t="shared" si="1116"/>
        <v>06:20:19.305</v>
      </c>
      <c r="U2876" t="str">
        <f t="shared" si="1081"/>
        <v>A7E2E0</v>
      </c>
      <c r="V2876">
        <v>0</v>
      </c>
      <c r="W2876">
        <v>0</v>
      </c>
      <c r="X2876">
        <v>1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0</v>
      </c>
      <c r="AI2876" t="s">
        <v>1440</v>
      </c>
      <c r="AJ2876">
        <v>38.876430999999997</v>
      </c>
      <c r="AK2876" t="s">
        <v>1439</v>
      </c>
      <c r="AL2876">
        <v>-87.610173000000003</v>
      </c>
      <c r="AM2876">
        <v>100</v>
      </c>
      <c r="AN2876">
        <v>2300</v>
      </c>
      <c r="AO2876" t="s">
        <v>118</v>
      </c>
      <c r="AP2876">
        <v>5</v>
      </c>
      <c r="AQ2876">
        <v>-130</v>
      </c>
      <c r="AR2876">
        <v>-256</v>
      </c>
      <c r="AZ2876">
        <v>4552</v>
      </c>
      <c r="BA2876">
        <v>1</v>
      </c>
      <c r="BB2876" t="str">
        <f t="shared" si="1082"/>
        <v xml:space="preserve">N607SR  </v>
      </c>
      <c r="BC2876">
        <v>1</v>
      </c>
      <c r="BE2876">
        <v>0</v>
      </c>
      <c r="BF2876">
        <v>0</v>
      </c>
      <c r="BG2876">
        <v>0</v>
      </c>
      <c r="BH2876">
        <v>2100</v>
      </c>
      <c r="BI2876">
        <v>1</v>
      </c>
      <c r="BJ2876">
        <v>1</v>
      </c>
      <c r="BK2876">
        <v>1</v>
      </c>
      <c r="BL2876">
        <v>0</v>
      </c>
      <c r="BO2876">
        <v>0</v>
      </c>
      <c r="BP2876">
        <v>0</v>
      </c>
      <c r="BW2876" t="str">
        <f t="shared" si="1117"/>
        <v>06:20:19.811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6</v>
      </c>
      <c r="CP2876" t="s">
        <v>119</v>
      </c>
      <c r="CQ2876">
        <v>465</v>
      </c>
      <c r="CR2876">
        <v>0</v>
      </c>
      <c r="CW2876">
        <v>4728194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 t="shared" ref="A2877:A2882" si="1118">"08/29/2020 06:20:17.588"</f>
        <v>08/29/2020 06:20:17.588</v>
      </c>
      <c r="C2877" t="str">
        <f t="shared" si="1080"/>
        <v>FFDFD3C0</v>
      </c>
      <c r="D2877" t="s">
        <v>121</v>
      </c>
      <c r="E2877">
        <v>10</v>
      </c>
      <c r="F2877">
        <v>1010</v>
      </c>
      <c r="G2877" t="s">
        <v>114</v>
      </c>
      <c r="J2877" t="s">
        <v>123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ref="S2877:S2882" si="1119">"06:20:20.844"</f>
        <v>06:20:20.844</v>
      </c>
      <c r="T2877" t="str">
        <f t="shared" ref="T2877:T2882" si="1120">"06:20:20.344"</f>
        <v>06:20:20.344</v>
      </c>
      <c r="U2877" t="str">
        <f t="shared" si="1081"/>
        <v>A7E2E0</v>
      </c>
      <c r="V2877">
        <v>0</v>
      </c>
      <c r="W2877">
        <v>0</v>
      </c>
      <c r="X2877">
        <v>1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0</v>
      </c>
      <c r="AI2877" t="s">
        <v>1441</v>
      </c>
      <c r="AJ2877">
        <v>38.875830000000001</v>
      </c>
      <c r="AK2877" t="s">
        <v>1442</v>
      </c>
      <c r="AL2877">
        <v>-87.610108999999994</v>
      </c>
      <c r="AM2877">
        <v>100</v>
      </c>
      <c r="AN2877">
        <v>2300</v>
      </c>
      <c r="AO2877" t="s">
        <v>118</v>
      </c>
      <c r="AP2877">
        <v>5</v>
      </c>
      <c r="AQ2877">
        <v>-130</v>
      </c>
      <c r="AR2877">
        <v>-192</v>
      </c>
      <c r="AZ2877">
        <v>4552</v>
      </c>
      <c r="BA2877">
        <v>1</v>
      </c>
      <c r="BB2877" t="str">
        <f t="shared" si="1082"/>
        <v xml:space="preserve">N607SR  </v>
      </c>
      <c r="BC2877">
        <v>1</v>
      </c>
      <c r="BE2877">
        <v>0</v>
      </c>
      <c r="BF2877">
        <v>0</v>
      </c>
      <c r="BG2877">
        <v>0</v>
      </c>
      <c r="BH2877">
        <v>2100</v>
      </c>
      <c r="BI2877">
        <v>1</v>
      </c>
      <c r="BJ2877">
        <v>1</v>
      </c>
      <c r="BK2877">
        <v>1</v>
      </c>
      <c r="BL2877">
        <v>0</v>
      </c>
      <c r="BO2877">
        <v>0</v>
      </c>
      <c r="BP2877">
        <v>0</v>
      </c>
      <c r="BW2877" t="str">
        <f>"06:20:20.846"</f>
        <v>06:20:20.846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6</v>
      </c>
      <c r="CP2877" t="s">
        <v>119</v>
      </c>
      <c r="CQ2877">
        <v>465</v>
      </c>
      <c r="CR2877">
        <v>0</v>
      </c>
      <c r="CW2877">
        <v>4728223</v>
      </c>
      <c r="CY2877">
        <v>1</v>
      </c>
      <c r="CZ2877">
        <v>0</v>
      </c>
      <c r="DA2877">
        <v>0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 t="shared" si="1118"/>
        <v>08/29/2020 06:20:17.588</v>
      </c>
      <c r="C2878" t="str">
        <f t="shared" si="1080"/>
        <v>FFDFD3C0</v>
      </c>
      <c r="D2878" t="s">
        <v>939</v>
      </c>
      <c r="E2878">
        <v>10</v>
      </c>
      <c r="H2878">
        <v>79</v>
      </c>
      <c r="I2878" t="s">
        <v>940</v>
      </c>
      <c r="J2878" t="s">
        <v>130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119"/>
        <v>06:20:20.844</v>
      </c>
      <c r="T2878" t="str">
        <f t="shared" si="1120"/>
        <v>06:20:20.344</v>
      </c>
      <c r="U2878" t="str">
        <f t="shared" si="1081"/>
        <v>A7E2E0</v>
      </c>
      <c r="V2878">
        <v>0</v>
      </c>
      <c r="W2878">
        <v>0</v>
      </c>
      <c r="X2878">
        <v>1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0</v>
      </c>
      <c r="AI2878" t="s">
        <v>1441</v>
      </c>
      <c r="AJ2878">
        <v>38.875830000000001</v>
      </c>
      <c r="AK2878" t="s">
        <v>1442</v>
      </c>
      <c r="AL2878">
        <v>-87.610108999999994</v>
      </c>
      <c r="AM2878">
        <v>100</v>
      </c>
      <c r="AN2878">
        <v>2300</v>
      </c>
      <c r="AO2878" t="s">
        <v>118</v>
      </c>
      <c r="AP2878">
        <v>5</v>
      </c>
      <c r="AQ2878">
        <v>-130</v>
      </c>
      <c r="AR2878">
        <v>-192</v>
      </c>
      <c r="AZ2878">
        <v>4552</v>
      </c>
      <c r="BA2878">
        <v>1</v>
      </c>
      <c r="BB2878" t="str">
        <f t="shared" si="1082"/>
        <v xml:space="preserve">N607SR  </v>
      </c>
      <c r="BC2878">
        <v>1</v>
      </c>
      <c r="BE2878">
        <v>0</v>
      </c>
      <c r="BF2878">
        <v>0</v>
      </c>
      <c r="BG2878">
        <v>0</v>
      </c>
      <c r="BH2878">
        <v>2100</v>
      </c>
      <c r="BI2878">
        <v>1</v>
      </c>
      <c r="BJ2878">
        <v>1</v>
      </c>
      <c r="BK2878">
        <v>1</v>
      </c>
      <c r="BL2878">
        <v>0</v>
      </c>
      <c r="BO2878">
        <v>0</v>
      </c>
      <c r="BP2878">
        <v>0</v>
      </c>
      <c r="BW2878" t="str">
        <f>"06:20:20.846"</f>
        <v>06:20:20.846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6</v>
      </c>
      <c r="CP2878" t="s">
        <v>119</v>
      </c>
      <c r="CQ2878">
        <v>465</v>
      </c>
      <c r="CR2878">
        <v>0</v>
      </c>
      <c r="CW2878">
        <v>4728223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 t="shared" si="1118"/>
        <v>08/29/2020 06:20:17.588</v>
      </c>
      <c r="C2879" t="str">
        <f t="shared" si="1080"/>
        <v>FFDFD3C0</v>
      </c>
      <c r="D2879" t="s">
        <v>113</v>
      </c>
      <c r="E2879">
        <v>5</v>
      </c>
      <c r="H2879">
        <v>163</v>
      </c>
      <c r="I2879" t="s">
        <v>114</v>
      </c>
      <c r="J2879" t="s">
        <v>115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119"/>
        <v>06:20:20.844</v>
      </c>
      <c r="T2879" t="str">
        <f t="shared" si="1120"/>
        <v>06:20:20.344</v>
      </c>
      <c r="U2879" t="str">
        <f t="shared" si="1081"/>
        <v>A7E2E0</v>
      </c>
      <c r="V2879">
        <v>0</v>
      </c>
      <c r="W2879">
        <v>0</v>
      </c>
      <c r="X2879">
        <v>1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0</v>
      </c>
      <c r="AI2879" t="s">
        <v>1441</v>
      </c>
      <c r="AJ2879">
        <v>38.875830000000001</v>
      </c>
      <c r="AK2879" t="s">
        <v>1442</v>
      </c>
      <c r="AL2879">
        <v>-87.610108999999994</v>
      </c>
      <c r="AM2879">
        <v>100</v>
      </c>
      <c r="AN2879">
        <v>2300</v>
      </c>
      <c r="AO2879" t="s">
        <v>118</v>
      </c>
      <c r="AP2879">
        <v>5</v>
      </c>
      <c r="AQ2879">
        <v>-130</v>
      </c>
      <c r="AR2879">
        <v>-192</v>
      </c>
      <c r="AZ2879">
        <v>4552</v>
      </c>
      <c r="BA2879">
        <v>1</v>
      </c>
      <c r="BB2879" t="str">
        <f t="shared" si="1082"/>
        <v xml:space="preserve">N607SR  </v>
      </c>
      <c r="BC2879">
        <v>1</v>
      </c>
      <c r="BE2879">
        <v>0</v>
      </c>
      <c r="BF2879">
        <v>0</v>
      </c>
      <c r="BG2879">
        <v>0</v>
      </c>
      <c r="BH2879">
        <v>2100</v>
      </c>
      <c r="BI2879">
        <v>1</v>
      </c>
      <c r="BJ2879">
        <v>1</v>
      </c>
      <c r="BK2879">
        <v>1</v>
      </c>
      <c r="BL2879">
        <v>0</v>
      </c>
      <c r="BO2879">
        <v>0</v>
      </c>
      <c r="BP2879">
        <v>0</v>
      </c>
      <c r="BW2879" t="str">
        <f>"06:20:20.846"</f>
        <v>06:20:20.846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6</v>
      </c>
      <c r="CP2879" t="s">
        <v>119</v>
      </c>
      <c r="CQ2879">
        <v>465</v>
      </c>
      <c r="CR2879">
        <v>0</v>
      </c>
      <c r="CW2879">
        <v>4728223</v>
      </c>
      <c r="CY2879">
        <v>1</v>
      </c>
      <c r="CZ2879">
        <v>0</v>
      </c>
      <c r="DA2879">
        <v>1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 t="shared" si="1118"/>
        <v>08/29/2020 06:20:17.588</v>
      </c>
      <c r="C2880" t="str">
        <f t="shared" si="1080"/>
        <v>FFDFD3C0</v>
      </c>
      <c r="D2880" t="s">
        <v>128</v>
      </c>
      <c r="E2880">
        <v>5</v>
      </c>
      <c r="H2880">
        <v>241</v>
      </c>
      <c r="I2880" t="s">
        <v>129</v>
      </c>
      <c r="J2880" t="s">
        <v>130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119"/>
        <v>06:20:20.844</v>
      </c>
      <c r="T2880" t="str">
        <f t="shared" si="1120"/>
        <v>06:20:20.344</v>
      </c>
      <c r="U2880" t="str">
        <f t="shared" si="1081"/>
        <v>A7E2E0</v>
      </c>
      <c r="V2880">
        <v>0</v>
      </c>
      <c r="W2880">
        <v>0</v>
      </c>
      <c r="X2880">
        <v>1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0</v>
      </c>
      <c r="AI2880" t="s">
        <v>1441</v>
      </c>
      <c r="AJ2880">
        <v>38.875830000000001</v>
      </c>
      <c r="AK2880" t="s">
        <v>1442</v>
      </c>
      <c r="AL2880">
        <v>-87.610108999999994</v>
      </c>
      <c r="AM2880">
        <v>100</v>
      </c>
      <c r="AN2880">
        <v>2300</v>
      </c>
      <c r="AO2880" t="s">
        <v>118</v>
      </c>
      <c r="AP2880">
        <v>5</v>
      </c>
      <c r="AQ2880">
        <v>-130</v>
      </c>
      <c r="AR2880">
        <v>-192</v>
      </c>
      <c r="AZ2880">
        <v>4552</v>
      </c>
      <c r="BA2880">
        <v>1</v>
      </c>
      <c r="BB2880" t="str">
        <f t="shared" si="1082"/>
        <v xml:space="preserve">N607SR  </v>
      </c>
      <c r="BC2880">
        <v>1</v>
      </c>
      <c r="BE2880">
        <v>0</v>
      </c>
      <c r="BF2880">
        <v>0</v>
      </c>
      <c r="BG2880">
        <v>0</v>
      </c>
      <c r="BH2880">
        <v>2100</v>
      </c>
      <c r="BI2880">
        <v>1</v>
      </c>
      <c r="BJ2880">
        <v>1</v>
      </c>
      <c r="BK2880">
        <v>1</v>
      </c>
      <c r="BL2880">
        <v>0</v>
      </c>
      <c r="BO2880">
        <v>0</v>
      </c>
      <c r="BP2880">
        <v>0</v>
      </c>
      <c r="BW2880" t="str">
        <f>"06:20:20.846"</f>
        <v>06:20:20.846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6</v>
      </c>
      <c r="CP2880" t="s">
        <v>119</v>
      </c>
      <c r="CQ2880">
        <v>465</v>
      </c>
      <c r="CR2880">
        <v>0</v>
      </c>
      <c r="CW2880">
        <v>4728223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 t="shared" si="1118"/>
        <v>08/29/2020 06:20:17.588</v>
      </c>
      <c r="C2881" t="str">
        <f t="shared" si="1080"/>
        <v>FFDFD3C0</v>
      </c>
      <c r="D2881" t="s">
        <v>121</v>
      </c>
      <c r="E2881">
        <v>13</v>
      </c>
      <c r="F2881">
        <v>1013</v>
      </c>
      <c r="G2881" t="s">
        <v>122</v>
      </c>
      <c r="J2881" t="s">
        <v>123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119"/>
        <v>06:20:20.844</v>
      </c>
      <c r="T2881" t="str">
        <f t="shared" si="1120"/>
        <v>06:20:20.344</v>
      </c>
      <c r="U2881" t="str">
        <f t="shared" si="1081"/>
        <v>A7E2E0</v>
      </c>
      <c r="V2881">
        <v>0</v>
      </c>
      <c r="W2881">
        <v>0</v>
      </c>
      <c r="X2881">
        <v>1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0</v>
      </c>
      <c r="AI2881" t="s">
        <v>1441</v>
      </c>
      <c r="AJ2881">
        <v>38.875830000000001</v>
      </c>
      <c r="AK2881" t="s">
        <v>1442</v>
      </c>
      <c r="AL2881">
        <v>-87.610108999999994</v>
      </c>
      <c r="AM2881">
        <v>100</v>
      </c>
      <c r="AN2881">
        <v>2300</v>
      </c>
      <c r="AO2881" t="s">
        <v>118</v>
      </c>
      <c r="AP2881">
        <v>5</v>
      </c>
      <c r="AQ2881">
        <v>-130</v>
      </c>
      <c r="AR2881">
        <v>-192</v>
      </c>
      <c r="AZ2881">
        <v>4552</v>
      </c>
      <c r="BA2881">
        <v>1</v>
      </c>
      <c r="BB2881" t="str">
        <f t="shared" si="1082"/>
        <v xml:space="preserve">N607SR  </v>
      </c>
      <c r="BC2881">
        <v>1</v>
      </c>
      <c r="BE2881">
        <v>0</v>
      </c>
      <c r="BF2881">
        <v>0</v>
      </c>
      <c r="BG2881">
        <v>0</v>
      </c>
      <c r="BH2881">
        <v>2100</v>
      </c>
      <c r="BI2881">
        <v>1</v>
      </c>
      <c r="BJ2881">
        <v>1</v>
      </c>
      <c r="BK2881">
        <v>1</v>
      </c>
      <c r="BL2881">
        <v>0</v>
      </c>
      <c r="BO2881">
        <v>0</v>
      </c>
      <c r="BP2881">
        <v>0</v>
      </c>
      <c r="BW2881" t="str">
        <f>"06:20:20.846"</f>
        <v>06:20:20.846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6</v>
      </c>
      <c r="CP2881" t="s">
        <v>119</v>
      </c>
      <c r="CQ2881">
        <v>465</v>
      </c>
      <c r="CR2881">
        <v>0</v>
      </c>
      <c r="CW2881">
        <v>4728223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 t="shared" si="1118"/>
        <v>08/29/2020 06:20:17.588</v>
      </c>
      <c r="C2882" t="str">
        <f t="shared" ref="C2882:C2945" si="1121">"FFDFD3C0"</f>
        <v>FFDFD3C0</v>
      </c>
      <c r="D2882" t="s">
        <v>121</v>
      </c>
      <c r="E2882">
        <v>11</v>
      </c>
      <c r="F2882">
        <v>1011</v>
      </c>
      <c r="G2882" t="s">
        <v>125</v>
      </c>
      <c r="J2882" t="s">
        <v>123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119"/>
        <v>06:20:20.844</v>
      </c>
      <c r="T2882" t="str">
        <f t="shared" si="1120"/>
        <v>06:20:20.344</v>
      </c>
      <c r="U2882" t="str">
        <f t="shared" ref="U2882:U2945" si="1122">"A7E2E0"</f>
        <v>A7E2E0</v>
      </c>
      <c r="V2882">
        <v>0</v>
      </c>
      <c r="W2882">
        <v>0</v>
      </c>
      <c r="X2882">
        <v>1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0</v>
      </c>
      <c r="AI2882" t="s">
        <v>1441</v>
      </c>
      <c r="AJ2882">
        <v>38.875830000000001</v>
      </c>
      <c r="AK2882" t="s">
        <v>1442</v>
      </c>
      <c r="AL2882">
        <v>-87.610108999999994</v>
      </c>
      <c r="AM2882">
        <v>100</v>
      </c>
      <c r="AN2882">
        <v>2300</v>
      </c>
      <c r="AO2882" t="s">
        <v>118</v>
      </c>
      <c r="AP2882">
        <v>5</v>
      </c>
      <c r="AQ2882">
        <v>-130</v>
      </c>
      <c r="AR2882">
        <v>-192</v>
      </c>
      <c r="AZ2882">
        <v>4552</v>
      </c>
      <c r="BA2882">
        <v>1</v>
      </c>
      <c r="BB2882" t="str">
        <f t="shared" ref="BB2882:BB2945" si="1123">"N607SR  "</f>
        <v xml:space="preserve">N607SR  </v>
      </c>
      <c r="BC2882">
        <v>1</v>
      </c>
      <c r="BE2882">
        <v>0</v>
      </c>
      <c r="BF2882">
        <v>0</v>
      </c>
      <c r="BG2882">
        <v>0</v>
      </c>
      <c r="BH2882">
        <v>2100</v>
      </c>
      <c r="BI2882">
        <v>1</v>
      </c>
      <c r="BJ2882">
        <v>1</v>
      </c>
      <c r="BK2882">
        <v>1</v>
      </c>
      <c r="BL2882">
        <v>0</v>
      </c>
      <c r="BO2882">
        <v>0</v>
      </c>
      <c r="BP2882">
        <v>0</v>
      </c>
      <c r="BW2882" t="str">
        <f>"06:20:20.847"</f>
        <v>06:20:20.847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5</v>
      </c>
      <c r="CP2882" t="s">
        <v>119</v>
      </c>
      <c r="CQ2882">
        <v>177</v>
      </c>
      <c r="CR2882">
        <v>2</v>
      </c>
      <c r="CW2882">
        <v>1684154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 t="shared" ref="A2883:A2888" si="1124">"08/29/2020 06:20:18.515"</f>
        <v>08/29/2020 06:20:18.515</v>
      </c>
      <c r="C2883" t="str">
        <f t="shared" si="1121"/>
        <v>FFDFD3C0</v>
      </c>
      <c r="D2883" t="s">
        <v>939</v>
      </c>
      <c r="E2883">
        <v>10</v>
      </c>
      <c r="H2883">
        <v>79</v>
      </c>
      <c r="I2883" t="s">
        <v>940</v>
      </c>
      <c r="J2883" t="s">
        <v>130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ref="S2883:S2888" si="1125">"06:20:21.773"</f>
        <v>06:20:21.773</v>
      </c>
      <c r="T2883" t="str">
        <f t="shared" ref="T2883:T2888" si="1126">"06:20:21.273"</f>
        <v>06:20:21.273</v>
      </c>
      <c r="U2883" t="str">
        <f t="shared" si="1122"/>
        <v>A7E2E0</v>
      </c>
      <c r="V2883">
        <v>0</v>
      </c>
      <c r="W2883">
        <v>0</v>
      </c>
      <c r="X2883">
        <v>1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0</v>
      </c>
      <c r="AI2883" t="s">
        <v>1443</v>
      </c>
      <c r="AJ2883">
        <v>38.875315000000001</v>
      </c>
      <c r="AK2883" t="s">
        <v>1442</v>
      </c>
      <c r="AL2883">
        <v>-87.610108999999994</v>
      </c>
      <c r="AM2883">
        <v>100</v>
      </c>
      <c r="AN2883">
        <v>2300</v>
      </c>
      <c r="AO2883" t="s">
        <v>118</v>
      </c>
      <c r="AP2883">
        <v>5</v>
      </c>
      <c r="AQ2883">
        <v>-129</v>
      </c>
      <c r="AR2883">
        <v>-128</v>
      </c>
      <c r="AZ2883">
        <v>4552</v>
      </c>
      <c r="BA2883">
        <v>1</v>
      </c>
      <c r="BB2883" t="str">
        <f t="shared" si="1123"/>
        <v xml:space="preserve">N607SR  </v>
      </c>
      <c r="BC2883">
        <v>1</v>
      </c>
      <c r="BE2883">
        <v>0</v>
      </c>
      <c r="BF2883">
        <v>0</v>
      </c>
      <c r="BG2883">
        <v>0</v>
      </c>
      <c r="BH2883">
        <v>2100</v>
      </c>
      <c r="BI2883">
        <v>1</v>
      </c>
      <c r="BJ2883">
        <v>1</v>
      </c>
      <c r="BK2883">
        <v>1</v>
      </c>
      <c r="BL2883">
        <v>0</v>
      </c>
      <c r="BO2883">
        <v>0</v>
      </c>
      <c r="BP2883">
        <v>0</v>
      </c>
      <c r="BW2883" t="str">
        <f t="shared" ref="BW2883:BW2888" si="1127">"06:20:21.779"</f>
        <v>06:20:21.779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6</v>
      </c>
      <c r="CP2883" t="s">
        <v>119</v>
      </c>
      <c r="CQ2883">
        <v>465</v>
      </c>
      <c r="CR2883">
        <v>0</v>
      </c>
      <c r="CW2883">
        <v>4728249</v>
      </c>
      <c r="CY2883">
        <v>1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 t="shared" si="1124"/>
        <v>08/29/2020 06:20:18.515</v>
      </c>
      <c r="C2884" t="str">
        <f t="shared" si="1121"/>
        <v>FFDFD3C0</v>
      </c>
      <c r="D2884" t="s">
        <v>113</v>
      </c>
      <c r="E2884">
        <v>5</v>
      </c>
      <c r="H2884">
        <v>163</v>
      </c>
      <c r="I2884" t="s">
        <v>114</v>
      </c>
      <c r="J2884" t="s">
        <v>115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125"/>
        <v>06:20:21.773</v>
      </c>
      <c r="T2884" t="str">
        <f t="shared" si="1126"/>
        <v>06:20:21.273</v>
      </c>
      <c r="U2884" t="str">
        <f t="shared" si="1122"/>
        <v>A7E2E0</v>
      </c>
      <c r="V2884">
        <v>0</v>
      </c>
      <c r="W2884">
        <v>0</v>
      </c>
      <c r="X2884">
        <v>1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0</v>
      </c>
      <c r="AI2884" t="s">
        <v>1443</v>
      </c>
      <c r="AJ2884">
        <v>38.875315000000001</v>
      </c>
      <c r="AK2884" t="s">
        <v>1442</v>
      </c>
      <c r="AL2884">
        <v>-87.610108999999994</v>
      </c>
      <c r="AM2884">
        <v>100</v>
      </c>
      <c r="AN2884">
        <v>2300</v>
      </c>
      <c r="AO2884" t="s">
        <v>118</v>
      </c>
      <c r="AP2884">
        <v>5</v>
      </c>
      <c r="AQ2884">
        <v>-129</v>
      </c>
      <c r="AR2884">
        <v>-128</v>
      </c>
      <c r="AZ2884">
        <v>4552</v>
      </c>
      <c r="BA2884">
        <v>1</v>
      </c>
      <c r="BB2884" t="str">
        <f t="shared" si="1123"/>
        <v xml:space="preserve">N607SR  </v>
      </c>
      <c r="BC2884">
        <v>1</v>
      </c>
      <c r="BE2884">
        <v>0</v>
      </c>
      <c r="BF2884">
        <v>0</v>
      </c>
      <c r="BG2884">
        <v>0</v>
      </c>
      <c r="BH2884">
        <v>2100</v>
      </c>
      <c r="BI2884">
        <v>1</v>
      </c>
      <c r="BJ2884">
        <v>1</v>
      </c>
      <c r="BK2884">
        <v>1</v>
      </c>
      <c r="BL2884">
        <v>0</v>
      </c>
      <c r="BO2884">
        <v>0</v>
      </c>
      <c r="BP2884">
        <v>0</v>
      </c>
      <c r="BW2884" t="str">
        <f t="shared" si="1127"/>
        <v>06:20:21.779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6</v>
      </c>
      <c r="CP2884" t="s">
        <v>119</v>
      </c>
      <c r="CQ2884">
        <v>465</v>
      </c>
      <c r="CR2884">
        <v>0</v>
      </c>
      <c r="CW2884">
        <v>4728249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 t="shared" si="1124"/>
        <v>08/29/2020 06:20:18.515</v>
      </c>
      <c r="C2885" t="str">
        <f t="shared" si="1121"/>
        <v>FFDFD3C0</v>
      </c>
      <c r="D2885" t="s">
        <v>128</v>
      </c>
      <c r="E2885">
        <v>5</v>
      </c>
      <c r="H2885">
        <v>241</v>
      </c>
      <c r="I2885" t="s">
        <v>129</v>
      </c>
      <c r="J2885" t="s">
        <v>130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125"/>
        <v>06:20:21.773</v>
      </c>
      <c r="T2885" t="str">
        <f t="shared" si="1126"/>
        <v>06:20:21.273</v>
      </c>
      <c r="U2885" t="str">
        <f t="shared" si="1122"/>
        <v>A7E2E0</v>
      </c>
      <c r="V2885">
        <v>0</v>
      </c>
      <c r="W2885">
        <v>0</v>
      </c>
      <c r="X2885">
        <v>1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0</v>
      </c>
      <c r="AI2885" t="s">
        <v>1443</v>
      </c>
      <c r="AJ2885">
        <v>38.875315000000001</v>
      </c>
      <c r="AK2885" t="s">
        <v>1442</v>
      </c>
      <c r="AL2885">
        <v>-87.610108999999994</v>
      </c>
      <c r="AM2885">
        <v>100</v>
      </c>
      <c r="AN2885">
        <v>2300</v>
      </c>
      <c r="AO2885" t="s">
        <v>118</v>
      </c>
      <c r="AP2885">
        <v>5</v>
      </c>
      <c r="AQ2885">
        <v>-129</v>
      </c>
      <c r="AR2885">
        <v>-128</v>
      </c>
      <c r="AZ2885">
        <v>4552</v>
      </c>
      <c r="BA2885">
        <v>1</v>
      </c>
      <c r="BB2885" t="str">
        <f t="shared" si="1123"/>
        <v xml:space="preserve">N607SR  </v>
      </c>
      <c r="BC2885">
        <v>1</v>
      </c>
      <c r="BE2885">
        <v>0</v>
      </c>
      <c r="BF2885">
        <v>0</v>
      </c>
      <c r="BG2885">
        <v>0</v>
      </c>
      <c r="BH2885">
        <v>2100</v>
      </c>
      <c r="BI2885">
        <v>1</v>
      </c>
      <c r="BJ2885">
        <v>1</v>
      </c>
      <c r="BK2885">
        <v>1</v>
      </c>
      <c r="BL2885">
        <v>0</v>
      </c>
      <c r="BO2885">
        <v>0</v>
      </c>
      <c r="BP2885">
        <v>0</v>
      </c>
      <c r="BW2885" t="str">
        <f t="shared" si="1127"/>
        <v>06:20:21.779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6</v>
      </c>
      <c r="CP2885" t="s">
        <v>119</v>
      </c>
      <c r="CQ2885">
        <v>465</v>
      </c>
      <c r="CR2885">
        <v>0</v>
      </c>
      <c r="CW2885">
        <v>4728249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 t="shared" si="1124"/>
        <v>08/29/2020 06:20:18.515</v>
      </c>
      <c r="C2886" t="str">
        <f t="shared" si="1121"/>
        <v>FFDFD3C0</v>
      </c>
      <c r="D2886" t="s">
        <v>121</v>
      </c>
      <c r="E2886">
        <v>13</v>
      </c>
      <c r="F2886">
        <v>1013</v>
      </c>
      <c r="G2886" t="s">
        <v>122</v>
      </c>
      <c r="J2886" t="s">
        <v>123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125"/>
        <v>06:20:21.773</v>
      </c>
      <c r="T2886" t="str">
        <f t="shared" si="1126"/>
        <v>06:20:21.273</v>
      </c>
      <c r="U2886" t="str">
        <f t="shared" si="1122"/>
        <v>A7E2E0</v>
      </c>
      <c r="V2886">
        <v>0</v>
      </c>
      <c r="W2886">
        <v>0</v>
      </c>
      <c r="X2886">
        <v>1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0</v>
      </c>
      <c r="AI2886" t="s">
        <v>1443</v>
      </c>
      <c r="AJ2886">
        <v>38.875315000000001</v>
      </c>
      <c r="AK2886" t="s">
        <v>1442</v>
      </c>
      <c r="AL2886">
        <v>-87.610108999999994</v>
      </c>
      <c r="AM2886">
        <v>100</v>
      </c>
      <c r="AN2886">
        <v>2300</v>
      </c>
      <c r="AO2886" t="s">
        <v>118</v>
      </c>
      <c r="AP2886">
        <v>5</v>
      </c>
      <c r="AQ2886">
        <v>-129</v>
      </c>
      <c r="AR2886">
        <v>-128</v>
      </c>
      <c r="AZ2886">
        <v>4552</v>
      </c>
      <c r="BA2886">
        <v>1</v>
      </c>
      <c r="BB2886" t="str">
        <f t="shared" si="1123"/>
        <v xml:space="preserve">N607SR  </v>
      </c>
      <c r="BC2886">
        <v>1</v>
      </c>
      <c r="BE2886">
        <v>0</v>
      </c>
      <c r="BF2886">
        <v>0</v>
      </c>
      <c r="BG2886">
        <v>0</v>
      </c>
      <c r="BH2886">
        <v>2100</v>
      </c>
      <c r="BI2886">
        <v>1</v>
      </c>
      <c r="BJ2886">
        <v>1</v>
      </c>
      <c r="BK2886">
        <v>1</v>
      </c>
      <c r="BL2886">
        <v>0</v>
      </c>
      <c r="BO2886">
        <v>0</v>
      </c>
      <c r="BP2886">
        <v>0</v>
      </c>
      <c r="BW2886" t="str">
        <f t="shared" si="1127"/>
        <v>06:20:21.779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6</v>
      </c>
      <c r="CP2886" t="s">
        <v>119</v>
      </c>
      <c r="CQ2886">
        <v>465</v>
      </c>
      <c r="CR2886">
        <v>0</v>
      </c>
      <c r="CW2886">
        <v>4728249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 t="shared" si="1124"/>
        <v>08/29/2020 06:20:18.515</v>
      </c>
      <c r="C2887" t="str">
        <f t="shared" si="1121"/>
        <v>FFDFD3C0</v>
      </c>
      <c r="D2887" t="s">
        <v>121</v>
      </c>
      <c r="E2887">
        <v>11</v>
      </c>
      <c r="F2887">
        <v>1011</v>
      </c>
      <c r="G2887" t="s">
        <v>125</v>
      </c>
      <c r="J2887" t="s">
        <v>123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125"/>
        <v>06:20:21.773</v>
      </c>
      <c r="T2887" t="str">
        <f t="shared" si="1126"/>
        <v>06:20:21.273</v>
      </c>
      <c r="U2887" t="str">
        <f t="shared" si="1122"/>
        <v>A7E2E0</v>
      </c>
      <c r="V2887">
        <v>0</v>
      </c>
      <c r="W2887">
        <v>0</v>
      </c>
      <c r="X2887">
        <v>1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0</v>
      </c>
      <c r="AI2887" t="s">
        <v>1443</v>
      </c>
      <c r="AJ2887">
        <v>38.875315000000001</v>
      </c>
      <c r="AK2887" t="s">
        <v>1442</v>
      </c>
      <c r="AL2887">
        <v>-87.610108999999994</v>
      </c>
      <c r="AM2887">
        <v>100</v>
      </c>
      <c r="AN2887">
        <v>2300</v>
      </c>
      <c r="AO2887" t="s">
        <v>118</v>
      </c>
      <c r="AP2887">
        <v>5</v>
      </c>
      <c r="AQ2887">
        <v>-129</v>
      </c>
      <c r="AR2887">
        <v>-128</v>
      </c>
      <c r="AZ2887">
        <v>4552</v>
      </c>
      <c r="BA2887">
        <v>1</v>
      </c>
      <c r="BB2887" t="str">
        <f t="shared" si="1123"/>
        <v xml:space="preserve">N607SR  </v>
      </c>
      <c r="BC2887">
        <v>1</v>
      </c>
      <c r="BE2887">
        <v>0</v>
      </c>
      <c r="BF2887">
        <v>0</v>
      </c>
      <c r="BG2887">
        <v>0</v>
      </c>
      <c r="BH2887">
        <v>2100</v>
      </c>
      <c r="BI2887">
        <v>1</v>
      </c>
      <c r="BJ2887">
        <v>1</v>
      </c>
      <c r="BK2887">
        <v>1</v>
      </c>
      <c r="BL2887">
        <v>0</v>
      </c>
      <c r="BO2887">
        <v>0</v>
      </c>
      <c r="BP2887">
        <v>0</v>
      </c>
      <c r="BW2887" t="str">
        <f t="shared" si="1127"/>
        <v>06:20:21.779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5</v>
      </c>
      <c r="CP2887" t="s">
        <v>119</v>
      </c>
      <c r="CQ2887">
        <v>177</v>
      </c>
      <c r="CR2887">
        <v>2</v>
      </c>
      <c r="CW2887">
        <v>1684321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 t="shared" si="1124"/>
        <v>08/29/2020 06:20:18.515</v>
      </c>
      <c r="C2888" t="str">
        <f t="shared" si="1121"/>
        <v>FFDFD3C0</v>
      </c>
      <c r="D2888" t="s">
        <v>121</v>
      </c>
      <c r="E2888">
        <v>10</v>
      </c>
      <c r="F2888">
        <v>1010</v>
      </c>
      <c r="G2888" t="s">
        <v>114</v>
      </c>
      <c r="J2888" t="s">
        <v>123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125"/>
        <v>06:20:21.773</v>
      </c>
      <c r="T2888" t="str">
        <f t="shared" si="1126"/>
        <v>06:20:21.273</v>
      </c>
      <c r="U2888" t="str">
        <f t="shared" si="1122"/>
        <v>A7E2E0</v>
      </c>
      <c r="V2888">
        <v>0</v>
      </c>
      <c r="W2888">
        <v>0</v>
      </c>
      <c r="X2888">
        <v>1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0</v>
      </c>
      <c r="AI2888" t="s">
        <v>1443</v>
      </c>
      <c r="AJ2888">
        <v>38.875315000000001</v>
      </c>
      <c r="AK2888" t="s">
        <v>1442</v>
      </c>
      <c r="AL2888">
        <v>-87.610108999999994</v>
      </c>
      <c r="AM2888">
        <v>100</v>
      </c>
      <c r="AN2888">
        <v>2300</v>
      </c>
      <c r="AO2888" t="s">
        <v>118</v>
      </c>
      <c r="AP2888">
        <v>5</v>
      </c>
      <c r="AQ2888">
        <v>-129</v>
      </c>
      <c r="AR2888">
        <v>-128</v>
      </c>
      <c r="AZ2888">
        <v>4552</v>
      </c>
      <c r="BA2888">
        <v>1</v>
      </c>
      <c r="BB2888" t="str">
        <f t="shared" si="1123"/>
        <v xml:space="preserve">N607SR  </v>
      </c>
      <c r="BC2888">
        <v>1</v>
      </c>
      <c r="BE2888">
        <v>0</v>
      </c>
      <c r="BF2888">
        <v>0</v>
      </c>
      <c r="BG2888">
        <v>0</v>
      </c>
      <c r="BH2888">
        <v>2100</v>
      </c>
      <c r="BI2888">
        <v>1</v>
      </c>
      <c r="BJ2888">
        <v>1</v>
      </c>
      <c r="BK2888">
        <v>1</v>
      </c>
      <c r="BL2888">
        <v>0</v>
      </c>
      <c r="BO2888">
        <v>0</v>
      </c>
      <c r="BP2888">
        <v>0</v>
      </c>
      <c r="BW2888" t="str">
        <f t="shared" si="1127"/>
        <v>06:20:21.779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6</v>
      </c>
      <c r="CP2888" t="s">
        <v>119</v>
      </c>
      <c r="CQ2888">
        <v>465</v>
      </c>
      <c r="CR2888">
        <v>0</v>
      </c>
      <c r="CW2888">
        <v>4728249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 t="shared" ref="A2889:A2894" si="1128">"08/29/2020 06:20:19.435"</f>
        <v>08/29/2020 06:20:19.435</v>
      </c>
      <c r="C2889" t="str">
        <f t="shared" si="1121"/>
        <v>FFDFD3C0</v>
      </c>
      <c r="D2889" t="s">
        <v>113</v>
      </c>
      <c r="E2889">
        <v>5</v>
      </c>
      <c r="H2889">
        <v>163</v>
      </c>
      <c r="I2889" t="s">
        <v>114</v>
      </c>
      <c r="J2889" t="s">
        <v>115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ref="S2889:S2894" si="1129">"06:20:22.656"</f>
        <v>06:20:22.656</v>
      </c>
      <c r="T2889" t="str">
        <f t="shared" ref="T2889:T2894" si="1130">"06:20:22.256"</f>
        <v>06:20:22.256</v>
      </c>
      <c r="U2889" t="str">
        <f t="shared" si="1122"/>
        <v>A7E2E0</v>
      </c>
      <c r="V2889">
        <v>0</v>
      </c>
      <c r="W2889">
        <v>0</v>
      </c>
      <c r="X2889">
        <v>1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0</v>
      </c>
      <c r="AI2889" t="s">
        <v>1444</v>
      </c>
      <c r="AJ2889">
        <v>38.874693000000001</v>
      </c>
      <c r="AK2889" t="s">
        <v>1445</v>
      </c>
      <c r="AL2889">
        <v>-87.610044000000002</v>
      </c>
      <c r="AM2889">
        <v>100</v>
      </c>
      <c r="AN2889">
        <v>2300</v>
      </c>
      <c r="AO2889" t="s">
        <v>118</v>
      </c>
      <c r="AP2889">
        <v>5</v>
      </c>
      <c r="AQ2889">
        <v>-129</v>
      </c>
      <c r="AR2889">
        <v>-128</v>
      </c>
      <c r="AZ2889">
        <v>4552</v>
      </c>
      <c r="BA2889">
        <v>1</v>
      </c>
      <c r="BB2889" t="str">
        <f t="shared" si="1123"/>
        <v xml:space="preserve">N607SR  </v>
      </c>
      <c r="BC2889">
        <v>1</v>
      </c>
      <c r="BE2889">
        <v>0</v>
      </c>
      <c r="BF2889">
        <v>0</v>
      </c>
      <c r="BG2889">
        <v>0</v>
      </c>
      <c r="BH2889">
        <v>2100</v>
      </c>
      <c r="BI2889">
        <v>1</v>
      </c>
      <c r="BJ2889">
        <v>1</v>
      </c>
      <c r="BK2889">
        <v>1</v>
      </c>
      <c r="BL2889">
        <v>0</v>
      </c>
      <c r="BO2889">
        <v>0</v>
      </c>
      <c r="BP2889">
        <v>0</v>
      </c>
      <c r="BW2889" t="str">
        <f t="shared" ref="BW2889:BW2894" si="1131">"06:20:22.662"</f>
        <v>06:20:22.662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6</v>
      </c>
      <c r="CP2889" t="s">
        <v>119</v>
      </c>
      <c r="CQ2889">
        <v>465</v>
      </c>
      <c r="CR2889">
        <v>0</v>
      </c>
      <c r="CW2889">
        <v>4728277</v>
      </c>
      <c r="CY2889">
        <v>1</v>
      </c>
      <c r="CZ2889">
        <v>0</v>
      </c>
      <c r="DA2889">
        <v>0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 t="shared" si="1128"/>
        <v>08/29/2020 06:20:19.435</v>
      </c>
      <c r="C2890" t="str">
        <f t="shared" si="1121"/>
        <v>FFDFD3C0</v>
      </c>
      <c r="D2890" t="s">
        <v>128</v>
      </c>
      <c r="E2890">
        <v>5</v>
      </c>
      <c r="H2890">
        <v>241</v>
      </c>
      <c r="I2890" t="s">
        <v>129</v>
      </c>
      <c r="J2890" t="s">
        <v>130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129"/>
        <v>06:20:22.656</v>
      </c>
      <c r="T2890" t="str">
        <f t="shared" si="1130"/>
        <v>06:20:22.256</v>
      </c>
      <c r="U2890" t="str">
        <f t="shared" si="1122"/>
        <v>A7E2E0</v>
      </c>
      <c r="V2890">
        <v>0</v>
      </c>
      <c r="W2890">
        <v>0</v>
      </c>
      <c r="X2890">
        <v>1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0</v>
      </c>
      <c r="AI2890" t="s">
        <v>1444</v>
      </c>
      <c r="AJ2890">
        <v>38.874693000000001</v>
      </c>
      <c r="AK2890" t="s">
        <v>1445</v>
      </c>
      <c r="AL2890">
        <v>-87.610044000000002</v>
      </c>
      <c r="AM2890">
        <v>100</v>
      </c>
      <c r="AN2890">
        <v>2300</v>
      </c>
      <c r="AO2890" t="s">
        <v>118</v>
      </c>
      <c r="AP2890">
        <v>5</v>
      </c>
      <c r="AQ2890">
        <v>-129</v>
      </c>
      <c r="AR2890">
        <v>-128</v>
      </c>
      <c r="AZ2890">
        <v>4552</v>
      </c>
      <c r="BA2890">
        <v>1</v>
      </c>
      <c r="BB2890" t="str">
        <f t="shared" si="1123"/>
        <v xml:space="preserve">N607SR  </v>
      </c>
      <c r="BC2890">
        <v>1</v>
      </c>
      <c r="BE2890">
        <v>0</v>
      </c>
      <c r="BF2890">
        <v>0</v>
      </c>
      <c r="BG2890">
        <v>0</v>
      </c>
      <c r="BH2890">
        <v>2100</v>
      </c>
      <c r="BI2890">
        <v>1</v>
      </c>
      <c r="BJ2890">
        <v>1</v>
      </c>
      <c r="BK2890">
        <v>1</v>
      </c>
      <c r="BL2890">
        <v>0</v>
      </c>
      <c r="BO2890">
        <v>0</v>
      </c>
      <c r="BP2890">
        <v>0</v>
      </c>
      <c r="BW2890" t="str">
        <f t="shared" si="1131"/>
        <v>06:20:22.662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6</v>
      </c>
      <c r="CP2890" t="s">
        <v>119</v>
      </c>
      <c r="CQ2890">
        <v>465</v>
      </c>
      <c r="CR2890">
        <v>0</v>
      </c>
      <c r="CW2890">
        <v>4728277</v>
      </c>
      <c r="CY2890">
        <v>1</v>
      </c>
      <c r="CZ2890">
        <v>0</v>
      </c>
      <c r="DA2890">
        <v>1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 t="shared" si="1128"/>
        <v>08/29/2020 06:20:19.435</v>
      </c>
      <c r="C2891" t="str">
        <f t="shared" si="1121"/>
        <v>FFDFD3C0</v>
      </c>
      <c r="D2891" t="s">
        <v>121</v>
      </c>
      <c r="E2891">
        <v>13</v>
      </c>
      <c r="F2891">
        <v>1013</v>
      </c>
      <c r="G2891" t="s">
        <v>122</v>
      </c>
      <c r="J2891" t="s">
        <v>123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129"/>
        <v>06:20:22.656</v>
      </c>
      <c r="T2891" t="str">
        <f t="shared" si="1130"/>
        <v>06:20:22.256</v>
      </c>
      <c r="U2891" t="str">
        <f t="shared" si="1122"/>
        <v>A7E2E0</v>
      </c>
      <c r="V2891">
        <v>0</v>
      </c>
      <c r="W2891">
        <v>0</v>
      </c>
      <c r="X2891">
        <v>1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0</v>
      </c>
      <c r="AI2891" t="s">
        <v>1444</v>
      </c>
      <c r="AJ2891">
        <v>38.874693000000001</v>
      </c>
      <c r="AK2891" t="s">
        <v>1445</v>
      </c>
      <c r="AL2891">
        <v>-87.610044000000002</v>
      </c>
      <c r="AM2891">
        <v>100</v>
      </c>
      <c r="AN2891">
        <v>2300</v>
      </c>
      <c r="AO2891" t="s">
        <v>118</v>
      </c>
      <c r="AP2891">
        <v>5</v>
      </c>
      <c r="AQ2891">
        <v>-129</v>
      </c>
      <c r="AR2891">
        <v>-128</v>
      </c>
      <c r="AZ2891">
        <v>4552</v>
      </c>
      <c r="BA2891">
        <v>1</v>
      </c>
      <c r="BB2891" t="str">
        <f t="shared" si="1123"/>
        <v xml:space="preserve">N607SR  </v>
      </c>
      <c r="BC2891">
        <v>1</v>
      </c>
      <c r="BE2891">
        <v>0</v>
      </c>
      <c r="BF2891">
        <v>0</v>
      </c>
      <c r="BG2891">
        <v>0</v>
      </c>
      <c r="BH2891">
        <v>2100</v>
      </c>
      <c r="BI2891">
        <v>1</v>
      </c>
      <c r="BJ2891">
        <v>1</v>
      </c>
      <c r="BK2891">
        <v>1</v>
      </c>
      <c r="BL2891">
        <v>0</v>
      </c>
      <c r="BO2891">
        <v>0</v>
      </c>
      <c r="BP2891">
        <v>0</v>
      </c>
      <c r="BW2891" t="str">
        <f t="shared" si="1131"/>
        <v>06:20:22.662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6</v>
      </c>
      <c r="CP2891" t="s">
        <v>119</v>
      </c>
      <c r="CQ2891">
        <v>465</v>
      </c>
      <c r="CR2891">
        <v>0</v>
      </c>
      <c r="CW2891">
        <v>4728277</v>
      </c>
      <c r="CY2891">
        <v>1</v>
      </c>
      <c r="CZ2891">
        <v>0</v>
      </c>
      <c r="DA2891">
        <v>1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 t="shared" si="1128"/>
        <v>08/29/2020 06:20:19.435</v>
      </c>
      <c r="C2892" t="str">
        <f t="shared" si="1121"/>
        <v>FFDFD3C0</v>
      </c>
      <c r="D2892" t="s">
        <v>121</v>
      </c>
      <c r="E2892">
        <v>11</v>
      </c>
      <c r="F2892">
        <v>1011</v>
      </c>
      <c r="G2892" t="s">
        <v>125</v>
      </c>
      <c r="J2892" t="s">
        <v>123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129"/>
        <v>06:20:22.656</v>
      </c>
      <c r="T2892" t="str">
        <f t="shared" si="1130"/>
        <v>06:20:22.256</v>
      </c>
      <c r="U2892" t="str">
        <f t="shared" si="1122"/>
        <v>A7E2E0</v>
      </c>
      <c r="V2892">
        <v>0</v>
      </c>
      <c r="W2892">
        <v>0</v>
      </c>
      <c r="X2892">
        <v>1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0</v>
      </c>
      <c r="AI2892" t="s">
        <v>1444</v>
      </c>
      <c r="AJ2892">
        <v>38.874693000000001</v>
      </c>
      <c r="AK2892" t="s">
        <v>1445</v>
      </c>
      <c r="AL2892">
        <v>-87.610044000000002</v>
      </c>
      <c r="AM2892">
        <v>100</v>
      </c>
      <c r="AN2892">
        <v>2300</v>
      </c>
      <c r="AO2892" t="s">
        <v>118</v>
      </c>
      <c r="AP2892">
        <v>5</v>
      </c>
      <c r="AQ2892">
        <v>-129</v>
      </c>
      <c r="AR2892">
        <v>-128</v>
      </c>
      <c r="AZ2892">
        <v>4552</v>
      </c>
      <c r="BA2892">
        <v>1</v>
      </c>
      <c r="BB2892" t="str">
        <f t="shared" si="1123"/>
        <v xml:space="preserve">N607SR  </v>
      </c>
      <c r="BC2892">
        <v>1</v>
      </c>
      <c r="BE2892">
        <v>0</v>
      </c>
      <c r="BF2892">
        <v>0</v>
      </c>
      <c r="BG2892">
        <v>0</v>
      </c>
      <c r="BH2892">
        <v>2100</v>
      </c>
      <c r="BI2892">
        <v>1</v>
      </c>
      <c r="BJ2892">
        <v>1</v>
      </c>
      <c r="BK2892">
        <v>1</v>
      </c>
      <c r="BL2892">
        <v>0</v>
      </c>
      <c r="BO2892">
        <v>0</v>
      </c>
      <c r="BP2892">
        <v>0</v>
      </c>
      <c r="BW2892" t="str">
        <f t="shared" si="1131"/>
        <v>06:20:22.662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5</v>
      </c>
      <c r="CP2892" t="s">
        <v>119</v>
      </c>
      <c r="CQ2892">
        <v>177</v>
      </c>
      <c r="CR2892">
        <v>2</v>
      </c>
      <c r="CW2892">
        <v>1684476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 t="shared" si="1128"/>
        <v>08/29/2020 06:20:19.435</v>
      </c>
      <c r="C2893" t="str">
        <f t="shared" si="1121"/>
        <v>FFDFD3C0</v>
      </c>
      <c r="D2893" t="s">
        <v>121</v>
      </c>
      <c r="E2893">
        <v>10</v>
      </c>
      <c r="F2893">
        <v>1010</v>
      </c>
      <c r="G2893" t="s">
        <v>114</v>
      </c>
      <c r="J2893" t="s">
        <v>123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129"/>
        <v>06:20:22.656</v>
      </c>
      <c r="T2893" t="str">
        <f t="shared" si="1130"/>
        <v>06:20:22.256</v>
      </c>
      <c r="U2893" t="str">
        <f t="shared" si="1122"/>
        <v>A7E2E0</v>
      </c>
      <c r="V2893">
        <v>0</v>
      </c>
      <c r="W2893">
        <v>0</v>
      </c>
      <c r="X2893">
        <v>1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0</v>
      </c>
      <c r="AI2893" t="s">
        <v>1444</v>
      </c>
      <c r="AJ2893">
        <v>38.874693000000001</v>
      </c>
      <c r="AK2893" t="s">
        <v>1445</v>
      </c>
      <c r="AL2893">
        <v>-87.610044000000002</v>
      </c>
      <c r="AM2893">
        <v>100</v>
      </c>
      <c r="AN2893">
        <v>2300</v>
      </c>
      <c r="AO2893" t="s">
        <v>118</v>
      </c>
      <c r="AP2893">
        <v>5</v>
      </c>
      <c r="AQ2893">
        <v>-129</v>
      </c>
      <c r="AR2893">
        <v>-128</v>
      </c>
      <c r="AZ2893">
        <v>4552</v>
      </c>
      <c r="BA2893">
        <v>1</v>
      </c>
      <c r="BB2893" t="str">
        <f t="shared" si="1123"/>
        <v xml:space="preserve">N607SR  </v>
      </c>
      <c r="BC2893">
        <v>1</v>
      </c>
      <c r="BE2893">
        <v>0</v>
      </c>
      <c r="BF2893">
        <v>0</v>
      </c>
      <c r="BG2893">
        <v>0</v>
      </c>
      <c r="BH2893">
        <v>2100</v>
      </c>
      <c r="BI2893">
        <v>1</v>
      </c>
      <c r="BJ2893">
        <v>1</v>
      </c>
      <c r="BK2893">
        <v>1</v>
      </c>
      <c r="BL2893">
        <v>0</v>
      </c>
      <c r="BO2893">
        <v>0</v>
      </c>
      <c r="BP2893">
        <v>0</v>
      </c>
      <c r="BW2893" t="str">
        <f t="shared" si="1131"/>
        <v>06:20:22.662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6</v>
      </c>
      <c r="CP2893" t="s">
        <v>119</v>
      </c>
      <c r="CQ2893">
        <v>465</v>
      </c>
      <c r="CR2893">
        <v>0</v>
      </c>
      <c r="CW2893">
        <v>4728277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 t="shared" si="1128"/>
        <v>08/29/2020 06:20:19.435</v>
      </c>
      <c r="C2894" t="str">
        <f t="shared" si="1121"/>
        <v>FFDFD3C0</v>
      </c>
      <c r="D2894" t="s">
        <v>939</v>
      </c>
      <c r="E2894">
        <v>10</v>
      </c>
      <c r="H2894">
        <v>79</v>
      </c>
      <c r="I2894" t="s">
        <v>940</v>
      </c>
      <c r="J2894" t="s">
        <v>130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129"/>
        <v>06:20:22.656</v>
      </c>
      <c r="T2894" t="str">
        <f t="shared" si="1130"/>
        <v>06:20:22.256</v>
      </c>
      <c r="U2894" t="str">
        <f t="shared" si="1122"/>
        <v>A7E2E0</v>
      </c>
      <c r="V2894">
        <v>0</v>
      </c>
      <c r="W2894">
        <v>0</v>
      </c>
      <c r="X2894">
        <v>1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0</v>
      </c>
      <c r="AI2894" t="s">
        <v>1444</v>
      </c>
      <c r="AJ2894">
        <v>38.874693000000001</v>
      </c>
      <c r="AK2894" t="s">
        <v>1445</v>
      </c>
      <c r="AL2894">
        <v>-87.610044000000002</v>
      </c>
      <c r="AM2894">
        <v>100</v>
      </c>
      <c r="AN2894">
        <v>2300</v>
      </c>
      <c r="AO2894" t="s">
        <v>118</v>
      </c>
      <c r="AP2894">
        <v>5</v>
      </c>
      <c r="AQ2894">
        <v>-129</v>
      </c>
      <c r="AR2894">
        <v>-128</v>
      </c>
      <c r="AZ2894">
        <v>4552</v>
      </c>
      <c r="BA2894">
        <v>1</v>
      </c>
      <c r="BB2894" t="str">
        <f t="shared" si="1123"/>
        <v xml:space="preserve">N607SR  </v>
      </c>
      <c r="BC2894">
        <v>1</v>
      </c>
      <c r="BE2894">
        <v>0</v>
      </c>
      <c r="BF2894">
        <v>0</v>
      </c>
      <c r="BG2894">
        <v>0</v>
      </c>
      <c r="BH2894">
        <v>2100</v>
      </c>
      <c r="BI2894">
        <v>1</v>
      </c>
      <c r="BJ2894">
        <v>1</v>
      </c>
      <c r="BK2894">
        <v>1</v>
      </c>
      <c r="BL2894">
        <v>0</v>
      </c>
      <c r="BO2894">
        <v>0</v>
      </c>
      <c r="BP2894">
        <v>0</v>
      </c>
      <c r="BW2894" t="str">
        <f t="shared" si="1131"/>
        <v>06:20:22.662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6</v>
      </c>
      <c r="CP2894" t="s">
        <v>119</v>
      </c>
      <c r="CQ2894">
        <v>465</v>
      </c>
      <c r="CR2894">
        <v>0</v>
      </c>
      <c r="CW2894">
        <v>4728277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 t="shared" ref="A2895:A2900" si="1132">"08/29/2020 06:20:20.450"</f>
        <v>08/29/2020 06:20:20.450</v>
      </c>
      <c r="C2895" t="str">
        <f t="shared" si="1121"/>
        <v>FFDFD3C0</v>
      </c>
      <c r="D2895" t="s">
        <v>113</v>
      </c>
      <c r="E2895">
        <v>5</v>
      </c>
      <c r="H2895">
        <v>163</v>
      </c>
      <c r="I2895" t="s">
        <v>114</v>
      </c>
      <c r="J2895" t="s">
        <v>115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ref="S2895:S2900" si="1133">"06:20:23.703"</f>
        <v>06:20:23.703</v>
      </c>
      <c r="T2895" t="str">
        <f t="shared" ref="T2895:T2900" si="1134">"06:20:23.203"</f>
        <v>06:20:23.203</v>
      </c>
      <c r="U2895" t="str">
        <f t="shared" si="1122"/>
        <v>A7E2E0</v>
      </c>
      <c r="V2895">
        <v>0</v>
      </c>
      <c r="W2895">
        <v>0</v>
      </c>
      <c r="X2895">
        <v>1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0</v>
      </c>
      <c r="AI2895" t="s">
        <v>1446</v>
      </c>
      <c r="AJ2895">
        <v>38.874135000000003</v>
      </c>
      <c r="AK2895" t="s">
        <v>1445</v>
      </c>
      <c r="AL2895">
        <v>-87.610044000000002</v>
      </c>
      <c r="AM2895">
        <v>100</v>
      </c>
      <c r="AN2895">
        <v>2300</v>
      </c>
      <c r="AO2895" t="s">
        <v>118</v>
      </c>
      <c r="AP2895">
        <v>6</v>
      </c>
      <c r="AQ2895">
        <v>-129</v>
      </c>
      <c r="AR2895">
        <v>0</v>
      </c>
      <c r="AZ2895">
        <v>4552</v>
      </c>
      <c r="BA2895">
        <v>1</v>
      </c>
      <c r="BB2895" t="str">
        <f t="shared" si="1123"/>
        <v xml:space="preserve">N607SR  </v>
      </c>
      <c r="BC2895">
        <v>1</v>
      </c>
      <c r="BE2895">
        <v>0</v>
      </c>
      <c r="BF2895">
        <v>0</v>
      </c>
      <c r="BG2895">
        <v>0</v>
      </c>
      <c r="BH2895">
        <v>2075</v>
      </c>
      <c r="BI2895">
        <v>1</v>
      </c>
      <c r="BJ2895">
        <v>1</v>
      </c>
      <c r="BK2895">
        <v>1</v>
      </c>
      <c r="BL2895">
        <v>0</v>
      </c>
      <c r="BO2895">
        <v>0</v>
      </c>
      <c r="BP2895">
        <v>0</v>
      </c>
      <c r="BW2895" t="str">
        <f t="shared" ref="BW2895:BW2900" si="1135">"06:20:23.704"</f>
        <v>06:20:23.704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6</v>
      </c>
      <c r="CP2895" t="s">
        <v>119</v>
      </c>
      <c r="CQ2895">
        <v>465</v>
      </c>
      <c r="CR2895">
        <v>0</v>
      </c>
      <c r="CW2895">
        <v>4728307</v>
      </c>
      <c r="CY2895">
        <v>1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 t="shared" si="1132"/>
        <v>08/29/2020 06:20:20.450</v>
      </c>
      <c r="C2896" t="str">
        <f t="shared" si="1121"/>
        <v>FFDFD3C0</v>
      </c>
      <c r="D2896" t="s">
        <v>128</v>
      </c>
      <c r="E2896">
        <v>5</v>
      </c>
      <c r="H2896">
        <v>241</v>
      </c>
      <c r="I2896" t="s">
        <v>129</v>
      </c>
      <c r="J2896" t="s">
        <v>130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133"/>
        <v>06:20:23.703</v>
      </c>
      <c r="T2896" t="str">
        <f t="shared" si="1134"/>
        <v>06:20:23.203</v>
      </c>
      <c r="U2896" t="str">
        <f t="shared" si="1122"/>
        <v>A7E2E0</v>
      </c>
      <c r="V2896">
        <v>0</v>
      </c>
      <c r="W2896">
        <v>0</v>
      </c>
      <c r="X2896">
        <v>1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0</v>
      </c>
      <c r="AI2896" t="s">
        <v>1446</v>
      </c>
      <c r="AJ2896">
        <v>38.874135000000003</v>
      </c>
      <c r="AK2896" t="s">
        <v>1445</v>
      </c>
      <c r="AL2896">
        <v>-87.610044000000002</v>
      </c>
      <c r="AM2896">
        <v>100</v>
      </c>
      <c r="AN2896">
        <v>2300</v>
      </c>
      <c r="AO2896" t="s">
        <v>118</v>
      </c>
      <c r="AP2896">
        <v>6</v>
      </c>
      <c r="AQ2896">
        <v>-129</v>
      </c>
      <c r="AR2896">
        <v>0</v>
      </c>
      <c r="AZ2896">
        <v>4552</v>
      </c>
      <c r="BA2896">
        <v>1</v>
      </c>
      <c r="BB2896" t="str">
        <f t="shared" si="1123"/>
        <v xml:space="preserve">N607SR  </v>
      </c>
      <c r="BC2896">
        <v>1</v>
      </c>
      <c r="BE2896">
        <v>0</v>
      </c>
      <c r="BF2896">
        <v>0</v>
      </c>
      <c r="BG2896">
        <v>0</v>
      </c>
      <c r="BH2896">
        <v>2075</v>
      </c>
      <c r="BI2896">
        <v>1</v>
      </c>
      <c r="BJ2896">
        <v>1</v>
      </c>
      <c r="BK2896">
        <v>1</v>
      </c>
      <c r="BL2896">
        <v>0</v>
      </c>
      <c r="BO2896">
        <v>0</v>
      </c>
      <c r="BP2896">
        <v>0</v>
      </c>
      <c r="BW2896" t="str">
        <f t="shared" si="1135"/>
        <v>06:20:23.704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6</v>
      </c>
      <c r="CP2896" t="s">
        <v>119</v>
      </c>
      <c r="CQ2896">
        <v>465</v>
      </c>
      <c r="CR2896">
        <v>0</v>
      </c>
      <c r="CW2896">
        <v>4728307</v>
      </c>
      <c r="CY2896">
        <v>1</v>
      </c>
      <c r="CZ2896">
        <v>0</v>
      </c>
      <c r="DA2896">
        <v>1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 t="shared" si="1132"/>
        <v>08/29/2020 06:20:20.450</v>
      </c>
      <c r="C2897" t="str">
        <f t="shared" si="1121"/>
        <v>FFDFD3C0</v>
      </c>
      <c r="D2897" t="s">
        <v>121</v>
      </c>
      <c r="E2897">
        <v>13</v>
      </c>
      <c r="F2897">
        <v>1013</v>
      </c>
      <c r="G2897" t="s">
        <v>122</v>
      </c>
      <c r="J2897" t="s">
        <v>123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133"/>
        <v>06:20:23.703</v>
      </c>
      <c r="T2897" t="str">
        <f t="shared" si="1134"/>
        <v>06:20:23.203</v>
      </c>
      <c r="U2897" t="str">
        <f t="shared" si="1122"/>
        <v>A7E2E0</v>
      </c>
      <c r="V2897">
        <v>0</v>
      </c>
      <c r="W2897">
        <v>0</v>
      </c>
      <c r="X2897">
        <v>1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0</v>
      </c>
      <c r="AI2897" t="s">
        <v>1446</v>
      </c>
      <c r="AJ2897">
        <v>38.874135000000003</v>
      </c>
      <c r="AK2897" t="s">
        <v>1445</v>
      </c>
      <c r="AL2897">
        <v>-87.610044000000002</v>
      </c>
      <c r="AM2897">
        <v>100</v>
      </c>
      <c r="AN2897">
        <v>2300</v>
      </c>
      <c r="AO2897" t="s">
        <v>118</v>
      </c>
      <c r="AP2897">
        <v>6</v>
      </c>
      <c r="AQ2897">
        <v>-129</v>
      </c>
      <c r="AR2897">
        <v>0</v>
      </c>
      <c r="AZ2897">
        <v>4552</v>
      </c>
      <c r="BA2897">
        <v>1</v>
      </c>
      <c r="BB2897" t="str">
        <f t="shared" si="1123"/>
        <v xml:space="preserve">N607SR  </v>
      </c>
      <c r="BC2897">
        <v>1</v>
      </c>
      <c r="BE2897">
        <v>0</v>
      </c>
      <c r="BF2897">
        <v>0</v>
      </c>
      <c r="BG2897">
        <v>0</v>
      </c>
      <c r="BH2897">
        <v>2075</v>
      </c>
      <c r="BI2897">
        <v>1</v>
      </c>
      <c r="BJ2897">
        <v>1</v>
      </c>
      <c r="BK2897">
        <v>1</v>
      </c>
      <c r="BL2897">
        <v>0</v>
      </c>
      <c r="BO2897">
        <v>0</v>
      </c>
      <c r="BP2897">
        <v>0</v>
      </c>
      <c r="BW2897" t="str">
        <f t="shared" si="1135"/>
        <v>06:20:23.704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6</v>
      </c>
      <c r="CP2897" t="s">
        <v>119</v>
      </c>
      <c r="CQ2897">
        <v>465</v>
      </c>
      <c r="CR2897">
        <v>0</v>
      </c>
      <c r="CW2897">
        <v>4728307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 t="shared" si="1132"/>
        <v>08/29/2020 06:20:20.450</v>
      </c>
      <c r="C2898" t="str">
        <f t="shared" si="1121"/>
        <v>FFDFD3C0</v>
      </c>
      <c r="D2898" t="s">
        <v>121</v>
      </c>
      <c r="E2898">
        <v>10</v>
      </c>
      <c r="F2898">
        <v>1010</v>
      </c>
      <c r="G2898" t="s">
        <v>114</v>
      </c>
      <c r="J2898" t="s">
        <v>123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133"/>
        <v>06:20:23.703</v>
      </c>
      <c r="T2898" t="str">
        <f t="shared" si="1134"/>
        <v>06:20:23.203</v>
      </c>
      <c r="U2898" t="str">
        <f t="shared" si="1122"/>
        <v>A7E2E0</v>
      </c>
      <c r="V2898">
        <v>0</v>
      </c>
      <c r="W2898">
        <v>0</v>
      </c>
      <c r="X2898">
        <v>1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0</v>
      </c>
      <c r="AI2898" t="s">
        <v>1446</v>
      </c>
      <c r="AJ2898">
        <v>38.874135000000003</v>
      </c>
      <c r="AK2898" t="s">
        <v>1445</v>
      </c>
      <c r="AL2898">
        <v>-87.610044000000002</v>
      </c>
      <c r="AM2898">
        <v>100</v>
      </c>
      <c r="AN2898">
        <v>2300</v>
      </c>
      <c r="AO2898" t="s">
        <v>118</v>
      </c>
      <c r="AP2898">
        <v>6</v>
      </c>
      <c r="AQ2898">
        <v>-129</v>
      </c>
      <c r="AR2898">
        <v>0</v>
      </c>
      <c r="AZ2898">
        <v>4552</v>
      </c>
      <c r="BA2898">
        <v>1</v>
      </c>
      <c r="BB2898" t="str">
        <f t="shared" si="1123"/>
        <v xml:space="preserve">N607SR  </v>
      </c>
      <c r="BC2898">
        <v>1</v>
      </c>
      <c r="BE2898">
        <v>0</v>
      </c>
      <c r="BF2898">
        <v>0</v>
      </c>
      <c r="BG2898">
        <v>0</v>
      </c>
      <c r="BH2898">
        <v>2075</v>
      </c>
      <c r="BI2898">
        <v>1</v>
      </c>
      <c r="BJ2898">
        <v>1</v>
      </c>
      <c r="BK2898">
        <v>1</v>
      </c>
      <c r="BL2898">
        <v>0</v>
      </c>
      <c r="BO2898">
        <v>0</v>
      </c>
      <c r="BP2898">
        <v>0</v>
      </c>
      <c r="BW2898" t="str">
        <f t="shared" si="1135"/>
        <v>06:20:23.704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6</v>
      </c>
      <c r="CP2898" t="s">
        <v>119</v>
      </c>
      <c r="CQ2898">
        <v>465</v>
      </c>
      <c r="CR2898">
        <v>0</v>
      </c>
      <c r="CW2898">
        <v>4728307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 t="shared" si="1132"/>
        <v>08/29/2020 06:20:20.450</v>
      </c>
      <c r="C2899" t="str">
        <f t="shared" si="1121"/>
        <v>FFDFD3C0</v>
      </c>
      <c r="D2899" t="s">
        <v>121</v>
      </c>
      <c r="E2899">
        <v>11</v>
      </c>
      <c r="F2899">
        <v>1011</v>
      </c>
      <c r="G2899" t="s">
        <v>125</v>
      </c>
      <c r="J2899" t="s">
        <v>123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133"/>
        <v>06:20:23.703</v>
      </c>
      <c r="T2899" t="str">
        <f t="shared" si="1134"/>
        <v>06:20:23.203</v>
      </c>
      <c r="U2899" t="str">
        <f t="shared" si="1122"/>
        <v>A7E2E0</v>
      </c>
      <c r="V2899">
        <v>0</v>
      </c>
      <c r="W2899">
        <v>0</v>
      </c>
      <c r="X2899">
        <v>1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0</v>
      </c>
      <c r="AI2899" t="s">
        <v>1446</v>
      </c>
      <c r="AJ2899">
        <v>38.874135000000003</v>
      </c>
      <c r="AK2899" t="s">
        <v>1445</v>
      </c>
      <c r="AL2899">
        <v>-87.610044000000002</v>
      </c>
      <c r="AM2899">
        <v>100</v>
      </c>
      <c r="AN2899">
        <v>2300</v>
      </c>
      <c r="AO2899" t="s">
        <v>118</v>
      </c>
      <c r="AP2899">
        <v>6</v>
      </c>
      <c r="AQ2899">
        <v>-129</v>
      </c>
      <c r="AR2899">
        <v>0</v>
      </c>
      <c r="AZ2899">
        <v>4552</v>
      </c>
      <c r="BA2899">
        <v>1</v>
      </c>
      <c r="BB2899" t="str">
        <f t="shared" si="1123"/>
        <v xml:space="preserve">N607SR  </v>
      </c>
      <c r="BC2899">
        <v>1</v>
      </c>
      <c r="BE2899">
        <v>0</v>
      </c>
      <c r="BF2899">
        <v>0</v>
      </c>
      <c r="BG2899">
        <v>0</v>
      </c>
      <c r="BH2899">
        <v>2075</v>
      </c>
      <c r="BI2899">
        <v>1</v>
      </c>
      <c r="BJ2899">
        <v>1</v>
      </c>
      <c r="BK2899">
        <v>1</v>
      </c>
      <c r="BL2899">
        <v>0</v>
      </c>
      <c r="BO2899">
        <v>0</v>
      </c>
      <c r="BP2899">
        <v>0</v>
      </c>
      <c r="BW2899" t="str">
        <f t="shared" si="1135"/>
        <v>06:20:23.704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5</v>
      </c>
      <c r="CP2899" t="s">
        <v>119</v>
      </c>
      <c r="CQ2899">
        <v>177</v>
      </c>
      <c r="CR2899">
        <v>2</v>
      </c>
      <c r="CW2899">
        <v>1684630</v>
      </c>
      <c r="CY2899">
        <v>1</v>
      </c>
      <c r="CZ2899">
        <v>0</v>
      </c>
      <c r="DA2899">
        <v>1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 t="shared" si="1132"/>
        <v>08/29/2020 06:20:20.450</v>
      </c>
      <c r="C2900" t="str">
        <f t="shared" si="1121"/>
        <v>FFDFD3C0</v>
      </c>
      <c r="D2900" t="s">
        <v>939</v>
      </c>
      <c r="E2900">
        <v>10</v>
      </c>
      <c r="H2900">
        <v>79</v>
      </c>
      <c r="I2900" t="s">
        <v>940</v>
      </c>
      <c r="J2900" t="s">
        <v>130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133"/>
        <v>06:20:23.703</v>
      </c>
      <c r="T2900" t="str">
        <f t="shared" si="1134"/>
        <v>06:20:23.203</v>
      </c>
      <c r="U2900" t="str">
        <f t="shared" si="1122"/>
        <v>A7E2E0</v>
      </c>
      <c r="V2900">
        <v>0</v>
      </c>
      <c r="W2900">
        <v>0</v>
      </c>
      <c r="X2900">
        <v>1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0</v>
      </c>
      <c r="AI2900" t="s">
        <v>1446</v>
      </c>
      <c r="AJ2900">
        <v>38.874135000000003</v>
      </c>
      <c r="AK2900" t="s">
        <v>1445</v>
      </c>
      <c r="AL2900">
        <v>-87.610044000000002</v>
      </c>
      <c r="AM2900">
        <v>100</v>
      </c>
      <c r="AN2900">
        <v>2300</v>
      </c>
      <c r="AO2900" t="s">
        <v>118</v>
      </c>
      <c r="AP2900">
        <v>6</v>
      </c>
      <c r="AQ2900">
        <v>-129</v>
      </c>
      <c r="AR2900">
        <v>0</v>
      </c>
      <c r="AZ2900">
        <v>4552</v>
      </c>
      <c r="BA2900">
        <v>1</v>
      </c>
      <c r="BB2900" t="str">
        <f t="shared" si="1123"/>
        <v xml:space="preserve">N607SR  </v>
      </c>
      <c r="BC2900">
        <v>1</v>
      </c>
      <c r="BE2900">
        <v>0</v>
      </c>
      <c r="BF2900">
        <v>0</v>
      </c>
      <c r="BG2900">
        <v>0</v>
      </c>
      <c r="BH2900">
        <v>2075</v>
      </c>
      <c r="BI2900">
        <v>1</v>
      </c>
      <c r="BJ2900">
        <v>1</v>
      </c>
      <c r="BK2900">
        <v>1</v>
      </c>
      <c r="BL2900">
        <v>0</v>
      </c>
      <c r="BO2900">
        <v>0</v>
      </c>
      <c r="BP2900">
        <v>0</v>
      </c>
      <c r="BW2900" t="str">
        <f t="shared" si="1135"/>
        <v>06:20:23.704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6</v>
      </c>
      <c r="CP2900" t="s">
        <v>119</v>
      </c>
      <c r="CQ2900">
        <v>465</v>
      </c>
      <c r="CR2900">
        <v>0</v>
      </c>
      <c r="CW2900">
        <v>4728307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 t="shared" ref="A2901:A2906" si="1136">"08/29/2020 06:20:21.330"</f>
        <v>08/29/2020 06:20:21.330</v>
      </c>
      <c r="C2901" t="str">
        <f t="shared" si="1121"/>
        <v>FFDFD3C0</v>
      </c>
      <c r="D2901" t="s">
        <v>939</v>
      </c>
      <c r="E2901">
        <v>10</v>
      </c>
      <c r="H2901">
        <v>79</v>
      </c>
      <c r="I2901" t="s">
        <v>940</v>
      </c>
      <c r="J2901" t="s">
        <v>130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ref="S2901:S2906" si="1137">"06:20:24.578"</f>
        <v>06:20:24.578</v>
      </c>
      <c r="T2901" t="str">
        <f t="shared" ref="T2901:T2906" si="1138">"06:20:24.178"</f>
        <v>06:20:24.178</v>
      </c>
      <c r="U2901" t="str">
        <f t="shared" si="1122"/>
        <v>A7E2E0</v>
      </c>
      <c r="V2901">
        <v>0</v>
      </c>
      <c r="W2901">
        <v>0</v>
      </c>
      <c r="X2901">
        <v>1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0</v>
      </c>
      <c r="AI2901" t="s">
        <v>1447</v>
      </c>
      <c r="AJ2901">
        <v>38.873620000000003</v>
      </c>
      <c r="AK2901" t="s">
        <v>1448</v>
      </c>
      <c r="AL2901">
        <v>-87.610001999999994</v>
      </c>
      <c r="AM2901">
        <v>100</v>
      </c>
      <c r="AN2901">
        <v>2300</v>
      </c>
      <c r="AO2901" t="s">
        <v>118</v>
      </c>
      <c r="AP2901">
        <v>5</v>
      </c>
      <c r="AQ2901">
        <v>-128</v>
      </c>
      <c r="AR2901">
        <v>128</v>
      </c>
      <c r="AZ2901">
        <v>4552</v>
      </c>
      <c r="BA2901">
        <v>1</v>
      </c>
      <c r="BB2901" t="str">
        <f t="shared" si="1123"/>
        <v xml:space="preserve">N607SR  </v>
      </c>
      <c r="BC2901">
        <v>1</v>
      </c>
      <c r="BE2901">
        <v>0</v>
      </c>
      <c r="BF2901">
        <v>0</v>
      </c>
      <c r="BG2901">
        <v>0</v>
      </c>
      <c r="BH2901">
        <v>2100</v>
      </c>
      <c r="BI2901">
        <v>1</v>
      </c>
      <c r="BJ2901">
        <v>1</v>
      </c>
      <c r="BK2901">
        <v>1</v>
      </c>
      <c r="BL2901">
        <v>0</v>
      </c>
      <c r="BO2901">
        <v>0</v>
      </c>
      <c r="BP2901">
        <v>0</v>
      </c>
      <c r="BW2901" t="str">
        <f>"06:20:24.580"</f>
        <v>06:20:24.580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6</v>
      </c>
      <c r="CP2901" t="s">
        <v>119</v>
      </c>
      <c r="CQ2901">
        <v>465</v>
      </c>
      <c r="CR2901">
        <v>0</v>
      </c>
      <c r="CW2901">
        <v>4728335</v>
      </c>
      <c r="CY2901">
        <v>1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 t="shared" si="1136"/>
        <v>08/29/2020 06:20:21.330</v>
      </c>
      <c r="C2902" t="str">
        <f t="shared" si="1121"/>
        <v>FFDFD3C0</v>
      </c>
      <c r="D2902" t="s">
        <v>121</v>
      </c>
      <c r="E2902">
        <v>10</v>
      </c>
      <c r="F2902">
        <v>1010</v>
      </c>
      <c r="G2902" t="s">
        <v>114</v>
      </c>
      <c r="J2902" t="s">
        <v>123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137"/>
        <v>06:20:24.578</v>
      </c>
      <c r="T2902" t="str">
        <f t="shared" si="1138"/>
        <v>06:20:24.178</v>
      </c>
      <c r="U2902" t="str">
        <f t="shared" si="1122"/>
        <v>A7E2E0</v>
      </c>
      <c r="V2902">
        <v>0</v>
      </c>
      <c r="W2902">
        <v>0</v>
      </c>
      <c r="X2902">
        <v>1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0</v>
      </c>
      <c r="AI2902" t="s">
        <v>1447</v>
      </c>
      <c r="AJ2902">
        <v>38.873620000000003</v>
      </c>
      <c r="AK2902" t="s">
        <v>1448</v>
      </c>
      <c r="AL2902">
        <v>-87.610001999999994</v>
      </c>
      <c r="AM2902">
        <v>100</v>
      </c>
      <c r="AN2902">
        <v>2300</v>
      </c>
      <c r="AO2902" t="s">
        <v>118</v>
      </c>
      <c r="AP2902">
        <v>5</v>
      </c>
      <c r="AQ2902">
        <v>-128</v>
      </c>
      <c r="AR2902">
        <v>128</v>
      </c>
      <c r="AZ2902">
        <v>4552</v>
      </c>
      <c r="BA2902">
        <v>1</v>
      </c>
      <c r="BB2902" t="str">
        <f t="shared" si="1123"/>
        <v xml:space="preserve">N607SR  </v>
      </c>
      <c r="BC2902">
        <v>1</v>
      </c>
      <c r="BE2902">
        <v>0</v>
      </c>
      <c r="BF2902">
        <v>0</v>
      </c>
      <c r="BG2902">
        <v>0</v>
      </c>
      <c r="BH2902">
        <v>2100</v>
      </c>
      <c r="BI2902">
        <v>1</v>
      </c>
      <c r="BJ2902">
        <v>1</v>
      </c>
      <c r="BK2902">
        <v>1</v>
      </c>
      <c r="BL2902">
        <v>0</v>
      </c>
      <c r="BO2902">
        <v>0</v>
      </c>
      <c r="BP2902">
        <v>0</v>
      </c>
      <c r="BW2902" t="str">
        <f>"06:20:24.580"</f>
        <v>06:20:24.580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6</v>
      </c>
      <c r="CP2902" t="s">
        <v>119</v>
      </c>
      <c r="CQ2902">
        <v>465</v>
      </c>
      <c r="CR2902">
        <v>0</v>
      </c>
      <c r="CW2902">
        <v>4728335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 t="shared" si="1136"/>
        <v>08/29/2020 06:20:21.330</v>
      </c>
      <c r="C2903" t="str">
        <f t="shared" si="1121"/>
        <v>FFDFD3C0</v>
      </c>
      <c r="D2903" t="s">
        <v>121</v>
      </c>
      <c r="E2903">
        <v>11</v>
      </c>
      <c r="F2903">
        <v>1011</v>
      </c>
      <c r="G2903" t="s">
        <v>125</v>
      </c>
      <c r="J2903" t="s">
        <v>123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137"/>
        <v>06:20:24.578</v>
      </c>
      <c r="T2903" t="str">
        <f t="shared" si="1138"/>
        <v>06:20:24.178</v>
      </c>
      <c r="U2903" t="str">
        <f t="shared" si="1122"/>
        <v>A7E2E0</v>
      </c>
      <c r="V2903">
        <v>0</v>
      </c>
      <c r="W2903">
        <v>0</v>
      </c>
      <c r="X2903">
        <v>1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0</v>
      </c>
      <c r="AI2903" t="s">
        <v>1447</v>
      </c>
      <c r="AJ2903">
        <v>38.873620000000003</v>
      </c>
      <c r="AK2903" t="s">
        <v>1448</v>
      </c>
      <c r="AL2903">
        <v>-87.610001999999994</v>
      </c>
      <c r="AM2903">
        <v>100</v>
      </c>
      <c r="AN2903">
        <v>2300</v>
      </c>
      <c r="AO2903" t="s">
        <v>118</v>
      </c>
      <c r="AP2903">
        <v>5</v>
      </c>
      <c r="AQ2903">
        <v>-128</v>
      </c>
      <c r="AR2903">
        <v>128</v>
      </c>
      <c r="AZ2903">
        <v>4552</v>
      </c>
      <c r="BA2903">
        <v>1</v>
      </c>
      <c r="BB2903" t="str">
        <f t="shared" si="1123"/>
        <v xml:space="preserve">N607SR  </v>
      </c>
      <c r="BC2903">
        <v>1</v>
      </c>
      <c r="BE2903">
        <v>0</v>
      </c>
      <c r="BF2903">
        <v>0</v>
      </c>
      <c r="BG2903">
        <v>0</v>
      </c>
      <c r="BH2903">
        <v>2100</v>
      </c>
      <c r="BI2903">
        <v>1</v>
      </c>
      <c r="BJ2903">
        <v>1</v>
      </c>
      <c r="BK2903">
        <v>1</v>
      </c>
      <c r="BL2903">
        <v>0</v>
      </c>
      <c r="BO2903">
        <v>0</v>
      </c>
      <c r="BP2903">
        <v>0</v>
      </c>
      <c r="BW2903" t="str">
        <f>"06:20:24.581"</f>
        <v>06:20:24.581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5</v>
      </c>
      <c r="CP2903" t="s">
        <v>119</v>
      </c>
      <c r="CQ2903">
        <v>177</v>
      </c>
      <c r="CR2903">
        <v>2</v>
      </c>
      <c r="CW2903">
        <v>1684788</v>
      </c>
      <c r="CY2903">
        <v>1</v>
      </c>
      <c r="CZ2903">
        <v>0</v>
      </c>
      <c r="DA2903">
        <v>1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 t="shared" si="1136"/>
        <v>08/29/2020 06:20:21.330</v>
      </c>
      <c r="C2904" t="str">
        <f t="shared" si="1121"/>
        <v>FFDFD3C0</v>
      </c>
      <c r="D2904" t="s">
        <v>113</v>
      </c>
      <c r="E2904">
        <v>5</v>
      </c>
      <c r="H2904">
        <v>163</v>
      </c>
      <c r="I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137"/>
        <v>06:20:24.578</v>
      </c>
      <c r="T2904" t="str">
        <f t="shared" si="1138"/>
        <v>06:20:24.178</v>
      </c>
      <c r="U2904" t="str">
        <f t="shared" si="1122"/>
        <v>A7E2E0</v>
      </c>
      <c r="V2904">
        <v>0</v>
      </c>
      <c r="W2904">
        <v>0</v>
      </c>
      <c r="X2904">
        <v>1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0</v>
      </c>
      <c r="AI2904" t="s">
        <v>1447</v>
      </c>
      <c r="AJ2904">
        <v>38.873620000000003</v>
      </c>
      <c r="AK2904" t="s">
        <v>1448</v>
      </c>
      <c r="AL2904">
        <v>-87.610001999999994</v>
      </c>
      <c r="AM2904">
        <v>100</v>
      </c>
      <c r="AN2904">
        <v>2300</v>
      </c>
      <c r="AO2904" t="s">
        <v>118</v>
      </c>
      <c r="AP2904">
        <v>5</v>
      </c>
      <c r="AQ2904">
        <v>-128</v>
      </c>
      <c r="AR2904">
        <v>128</v>
      </c>
      <c r="AZ2904">
        <v>4552</v>
      </c>
      <c r="BA2904">
        <v>1</v>
      </c>
      <c r="BB2904" t="str">
        <f t="shared" si="1123"/>
        <v xml:space="preserve">N607SR  </v>
      </c>
      <c r="BC2904">
        <v>1</v>
      </c>
      <c r="BE2904">
        <v>0</v>
      </c>
      <c r="BF2904">
        <v>0</v>
      </c>
      <c r="BG2904">
        <v>0</v>
      </c>
      <c r="BH2904">
        <v>2100</v>
      </c>
      <c r="BI2904">
        <v>1</v>
      </c>
      <c r="BJ2904">
        <v>1</v>
      </c>
      <c r="BK2904">
        <v>1</v>
      </c>
      <c r="BL2904">
        <v>0</v>
      </c>
      <c r="BO2904">
        <v>0</v>
      </c>
      <c r="BP2904">
        <v>0</v>
      </c>
      <c r="BW2904" t="str">
        <f>"06:20:24.580"</f>
        <v>06:20:24.580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6</v>
      </c>
      <c r="CP2904" t="s">
        <v>119</v>
      </c>
      <c r="CQ2904">
        <v>465</v>
      </c>
      <c r="CR2904">
        <v>0</v>
      </c>
      <c r="CW2904">
        <v>4728335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 t="shared" si="1136"/>
        <v>08/29/2020 06:20:21.330</v>
      </c>
      <c r="C2905" t="str">
        <f t="shared" si="1121"/>
        <v>FFDFD3C0</v>
      </c>
      <c r="D2905" t="s">
        <v>128</v>
      </c>
      <c r="E2905">
        <v>5</v>
      </c>
      <c r="H2905">
        <v>241</v>
      </c>
      <c r="I2905" t="s">
        <v>129</v>
      </c>
      <c r="J2905" t="s">
        <v>130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137"/>
        <v>06:20:24.578</v>
      </c>
      <c r="T2905" t="str">
        <f t="shared" si="1138"/>
        <v>06:20:24.178</v>
      </c>
      <c r="U2905" t="str">
        <f t="shared" si="1122"/>
        <v>A7E2E0</v>
      </c>
      <c r="V2905">
        <v>0</v>
      </c>
      <c r="W2905">
        <v>0</v>
      </c>
      <c r="X2905">
        <v>1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0</v>
      </c>
      <c r="AI2905" t="s">
        <v>1447</v>
      </c>
      <c r="AJ2905">
        <v>38.873620000000003</v>
      </c>
      <c r="AK2905" t="s">
        <v>1448</v>
      </c>
      <c r="AL2905">
        <v>-87.610001999999994</v>
      </c>
      <c r="AM2905">
        <v>100</v>
      </c>
      <c r="AN2905">
        <v>2300</v>
      </c>
      <c r="AO2905" t="s">
        <v>118</v>
      </c>
      <c r="AP2905">
        <v>5</v>
      </c>
      <c r="AQ2905">
        <v>-128</v>
      </c>
      <c r="AR2905">
        <v>128</v>
      </c>
      <c r="AZ2905">
        <v>4552</v>
      </c>
      <c r="BA2905">
        <v>1</v>
      </c>
      <c r="BB2905" t="str">
        <f t="shared" si="1123"/>
        <v xml:space="preserve">N607SR  </v>
      </c>
      <c r="BC2905">
        <v>1</v>
      </c>
      <c r="BE2905">
        <v>0</v>
      </c>
      <c r="BF2905">
        <v>0</v>
      </c>
      <c r="BG2905">
        <v>0</v>
      </c>
      <c r="BH2905">
        <v>2100</v>
      </c>
      <c r="BI2905">
        <v>1</v>
      </c>
      <c r="BJ2905">
        <v>1</v>
      </c>
      <c r="BK2905">
        <v>1</v>
      </c>
      <c r="BL2905">
        <v>0</v>
      </c>
      <c r="BO2905">
        <v>0</v>
      </c>
      <c r="BP2905">
        <v>0</v>
      </c>
      <c r="BW2905" t="str">
        <f>"06:20:24.580"</f>
        <v>06:20:24.580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6</v>
      </c>
      <c r="CP2905" t="s">
        <v>119</v>
      </c>
      <c r="CQ2905">
        <v>465</v>
      </c>
      <c r="CR2905">
        <v>0</v>
      </c>
      <c r="CW2905">
        <v>4728335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 t="shared" si="1136"/>
        <v>08/29/2020 06:20:21.330</v>
      </c>
      <c r="C2906" t="str">
        <f t="shared" si="1121"/>
        <v>FFDFD3C0</v>
      </c>
      <c r="D2906" t="s">
        <v>121</v>
      </c>
      <c r="E2906">
        <v>13</v>
      </c>
      <c r="F2906">
        <v>1013</v>
      </c>
      <c r="G2906" t="s">
        <v>122</v>
      </c>
      <c r="J2906" t="s">
        <v>123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137"/>
        <v>06:20:24.578</v>
      </c>
      <c r="T2906" t="str">
        <f t="shared" si="1138"/>
        <v>06:20:24.178</v>
      </c>
      <c r="U2906" t="str">
        <f t="shared" si="1122"/>
        <v>A7E2E0</v>
      </c>
      <c r="V2906">
        <v>0</v>
      </c>
      <c r="W2906">
        <v>0</v>
      </c>
      <c r="X2906">
        <v>1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0</v>
      </c>
      <c r="AI2906" t="s">
        <v>1447</v>
      </c>
      <c r="AJ2906">
        <v>38.873620000000003</v>
      </c>
      <c r="AK2906" t="s">
        <v>1448</v>
      </c>
      <c r="AL2906">
        <v>-87.610001999999994</v>
      </c>
      <c r="AM2906">
        <v>100</v>
      </c>
      <c r="AN2906">
        <v>2300</v>
      </c>
      <c r="AO2906" t="s">
        <v>118</v>
      </c>
      <c r="AP2906">
        <v>5</v>
      </c>
      <c r="AQ2906">
        <v>-128</v>
      </c>
      <c r="AR2906">
        <v>128</v>
      </c>
      <c r="AZ2906">
        <v>4552</v>
      </c>
      <c r="BA2906">
        <v>1</v>
      </c>
      <c r="BB2906" t="str">
        <f t="shared" si="1123"/>
        <v xml:space="preserve">N607SR  </v>
      </c>
      <c r="BC2906">
        <v>1</v>
      </c>
      <c r="BE2906">
        <v>0</v>
      </c>
      <c r="BF2906">
        <v>0</v>
      </c>
      <c r="BG2906">
        <v>0</v>
      </c>
      <c r="BH2906">
        <v>2100</v>
      </c>
      <c r="BI2906">
        <v>1</v>
      </c>
      <c r="BJ2906">
        <v>1</v>
      </c>
      <c r="BK2906">
        <v>1</v>
      </c>
      <c r="BL2906">
        <v>0</v>
      </c>
      <c r="BO2906">
        <v>0</v>
      </c>
      <c r="BP2906">
        <v>0</v>
      </c>
      <c r="BW2906" t="str">
        <f>"06:20:24.580"</f>
        <v>06:20:24.580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6</v>
      </c>
      <c r="CP2906" t="s">
        <v>119</v>
      </c>
      <c r="CQ2906">
        <v>465</v>
      </c>
      <c r="CR2906">
        <v>0</v>
      </c>
      <c r="CW2906">
        <v>4728335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 t="shared" ref="A2907:A2912" si="1139">"08/29/2020 06:20:22.325"</f>
        <v>08/29/2020 06:20:22.325</v>
      </c>
      <c r="C2907" t="str">
        <f t="shared" si="1121"/>
        <v>FFDFD3C0</v>
      </c>
      <c r="D2907" t="s">
        <v>113</v>
      </c>
      <c r="E2907">
        <v>5</v>
      </c>
      <c r="H2907">
        <v>163</v>
      </c>
      <c r="I2907" t="s">
        <v>114</v>
      </c>
      <c r="J2907" t="s">
        <v>115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ref="S2907:S2912" si="1140">"06:20:25.523"</f>
        <v>06:20:25.523</v>
      </c>
      <c r="T2907" t="str">
        <f t="shared" ref="T2907:T2912" si="1141">"06:20:25.023"</f>
        <v>06:20:25.023</v>
      </c>
      <c r="U2907" t="str">
        <f t="shared" si="1122"/>
        <v>A7E2E0</v>
      </c>
      <c r="V2907">
        <v>0</v>
      </c>
      <c r="W2907">
        <v>0</v>
      </c>
      <c r="X2907">
        <v>1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0</v>
      </c>
      <c r="AI2907" t="s">
        <v>1449</v>
      </c>
      <c r="AJ2907">
        <v>38.873018999999999</v>
      </c>
      <c r="AK2907" t="s">
        <v>1448</v>
      </c>
      <c r="AL2907">
        <v>-87.610001999999994</v>
      </c>
      <c r="AM2907">
        <v>100</v>
      </c>
      <c r="AN2907">
        <v>2300</v>
      </c>
      <c r="AO2907" t="s">
        <v>118</v>
      </c>
      <c r="AP2907">
        <v>5</v>
      </c>
      <c r="AQ2907">
        <v>-128</v>
      </c>
      <c r="AR2907">
        <v>128</v>
      </c>
      <c r="AZ2907">
        <v>4552</v>
      </c>
      <c r="BA2907">
        <v>1</v>
      </c>
      <c r="BB2907" t="str">
        <f t="shared" si="1123"/>
        <v xml:space="preserve">N607SR  </v>
      </c>
      <c r="BC2907">
        <v>1</v>
      </c>
      <c r="BE2907">
        <v>0</v>
      </c>
      <c r="BF2907">
        <v>0</v>
      </c>
      <c r="BG2907">
        <v>0</v>
      </c>
      <c r="BH2907">
        <v>2100</v>
      </c>
      <c r="BI2907">
        <v>1</v>
      </c>
      <c r="BJ2907">
        <v>1</v>
      </c>
      <c r="BK2907">
        <v>1</v>
      </c>
      <c r="BL2907">
        <v>0</v>
      </c>
      <c r="BO2907">
        <v>0</v>
      </c>
      <c r="BP2907">
        <v>0</v>
      </c>
      <c r="BW2907" t="str">
        <f t="shared" ref="BW2907:BW2912" si="1142">"06:20:25.531"</f>
        <v>06:20:25.531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6</v>
      </c>
      <c r="CP2907" t="s">
        <v>119</v>
      </c>
      <c r="CQ2907">
        <v>465</v>
      </c>
      <c r="CR2907">
        <v>0</v>
      </c>
      <c r="CW2907">
        <v>4728361</v>
      </c>
      <c r="CY2907">
        <v>1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 t="shared" si="1139"/>
        <v>08/29/2020 06:20:22.325</v>
      </c>
      <c r="C2908" t="str">
        <f t="shared" si="1121"/>
        <v>FFDFD3C0</v>
      </c>
      <c r="D2908" t="s">
        <v>128</v>
      </c>
      <c r="E2908">
        <v>5</v>
      </c>
      <c r="H2908">
        <v>241</v>
      </c>
      <c r="I2908" t="s">
        <v>129</v>
      </c>
      <c r="J2908" t="s">
        <v>130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si="1140"/>
        <v>06:20:25.523</v>
      </c>
      <c r="T2908" t="str">
        <f t="shared" si="1141"/>
        <v>06:20:25.023</v>
      </c>
      <c r="U2908" t="str">
        <f t="shared" si="1122"/>
        <v>A7E2E0</v>
      </c>
      <c r="V2908">
        <v>0</v>
      </c>
      <c r="W2908">
        <v>0</v>
      </c>
      <c r="X2908">
        <v>1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0</v>
      </c>
      <c r="AI2908" t="s">
        <v>1449</v>
      </c>
      <c r="AJ2908">
        <v>38.873018999999999</v>
      </c>
      <c r="AK2908" t="s">
        <v>1448</v>
      </c>
      <c r="AL2908">
        <v>-87.610001999999994</v>
      </c>
      <c r="AM2908">
        <v>100</v>
      </c>
      <c r="AN2908">
        <v>2300</v>
      </c>
      <c r="AO2908" t="s">
        <v>118</v>
      </c>
      <c r="AP2908">
        <v>5</v>
      </c>
      <c r="AQ2908">
        <v>-128</v>
      </c>
      <c r="AR2908">
        <v>128</v>
      </c>
      <c r="AZ2908">
        <v>4552</v>
      </c>
      <c r="BA2908">
        <v>1</v>
      </c>
      <c r="BB2908" t="str">
        <f t="shared" si="1123"/>
        <v xml:space="preserve">N607SR  </v>
      </c>
      <c r="BC2908">
        <v>1</v>
      </c>
      <c r="BE2908">
        <v>0</v>
      </c>
      <c r="BF2908">
        <v>0</v>
      </c>
      <c r="BG2908">
        <v>0</v>
      </c>
      <c r="BH2908">
        <v>2100</v>
      </c>
      <c r="BI2908">
        <v>1</v>
      </c>
      <c r="BJ2908">
        <v>1</v>
      </c>
      <c r="BK2908">
        <v>1</v>
      </c>
      <c r="BL2908">
        <v>0</v>
      </c>
      <c r="BO2908">
        <v>0</v>
      </c>
      <c r="BP2908">
        <v>0</v>
      </c>
      <c r="BW2908" t="str">
        <f t="shared" si="1142"/>
        <v>06:20:25.531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6</v>
      </c>
      <c r="CP2908" t="s">
        <v>119</v>
      </c>
      <c r="CQ2908">
        <v>465</v>
      </c>
      <c r="CR2908">
        <v>0</v>
      </c>
      <c r="CW2908">
        <v>4728361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 t="shared" si="1139"/>
        <v>08/29/2020 06:20:22.325</v>
      </c>
      <c r="C2909" t="str">
        <f t="shared" si="1121"/>
        <v>FFDFD3C0</v>
      </c>
      <c r="D2909" t="s">
        <v>939</v>
      </c>
      <c r="E2909">
        <v>10</v>
      </c>
      <c r="H2909">
        <v>79</v>
      </c>
      <c r="I2909" t="s">
        <v>940</v>
      </c>
      <c r="J2909" t="s">
        <v>130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140"/>
        <v>06:20:25.523</v>
      </c>
      <c r="T2909" t="str">
        <f t="shared" si="1141"/>
        <v>06:20:25.023</v>
      </c>
      <c r="U2909" t="str">
        <f t="shared" si="1122"/>
        <v>A7E2E0</v>
      </c>
      <c r="V2909">
        <v>0</v>
      </c>
      <c r="W2909">
        <v>0</v>
      </c>
      <c r="X2909">
        <v>1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0</v>
      </c>
      <c r="AI2909" t="s">
        <v>1449</v>
      </c>
      <c r="AJ2909">
        <v>38.873018999999999</v>
      </c>
      <c r="AK2909" t="s">
        <v>1448</v>
      </c>
      <c r="AL2909">
        <v>-87.610001999999994</v>
      </c>
      <c r="AM2909">
        <v>100</v>
      </c>
      <c r="AN2909">
        <v>2300</v>
      </c>
      <c r="AO2909" t="s">
        <v>118</v>
      </c>
      <c r="AP2909">
        <v>5</v>
      </c>
      <c r="AQ2909">
        <v>-128</v>
      </c>
      <c r="AR2909">
        <v>128</v>
      </c>
      <c r="AZ2909">
        <v>4552</v>
      </c>
      <c r="BA2909">
        <v>1</v>
      </c>
      <c r="BB2909" t="str">
        <f t="shared" si="1123"/>
        <v xml:space="preserve">N607SR  </v>
      </c>
      <c r="BC2909">
        <v>1</v>
      </c>
      <c r="BE2909">
        <v>0</v>
      </c>
      <c r="BF2909">
        <v>0</v>
      </c>
      <c r="BG2909">
        <v>0</v>
      </c>
      <c r="BH2909">
        <v>2100</v>
      </c>
      <c r="BI2909">
        <v>1</v>
      </c>
      <c r="BJ2909">
        <v>1</v>
      </c>
      <c r="BK2909">
        <v>1</v>
      </c>
      <c r="BL2909">
        <v>0</v>
      </c>
      <c r="BO2909">
        <v>0</v>
      </c>
      <c r="BP2909">
        <v>0</v>
      </c>
      <c r="BW2909" t="str">
        <f t="shared" si="1142"/>
        <v>06:20:25.531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6</v>
      </c>
      <c r="CP2909" t="s">
        <v>119</v>
      </c>
      <c r="CQ2909">
        <v>465</v>
      </c>
      <c r="CR2909">
        <v>0</v>
      </c>
      <c r="CW2909">
        <v>4728361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 t="shared" si="1139"/>
        <v>08/29/2020 06:20:22.325</v>
      </c>
      <c r="C2910" t="str">
        <f t="shared" si="1121"/>
        <v>FFDFD3C0</v>
      </c>
      <c r="D2910" t="s">
        <v>121</v>
      </c>
      <c r="E2910">
        <v>13</v>
      </c>
      <c r="F2910">
        <v>1013</v>
      </c>
      <c r="G2910" t="s">
        <v>122</v>
      </c>
      <c r="J2910" t="s">
        <v>123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140"/>
        <v>06:20:25.523</v>
      </c>
      <c r="T2910" t="str">
        <f t="shared" si="1141"/>
        <v>06:20:25.023</v>
      </c>
      <c r="U2910" t="str">
        <f t="shared" si="1122"/>
        <v>A7E2E0</v>
      </c>
      <c r="V2910">
        <v>0</v>
      </c>
      <c r="W2910">
        <v>0</v>
      </c>
      <c r="X2910">
        <v>1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0</v>
      </c>
      <c r="AI2910" t="s">
        <v>1449</v>
      </c>
      <c r="AJ2910">
        <v>38.873018999999999</v>
      </c>
      <c r="AK2910" t="s">
        <v>1448</v>
      </c>
      <c r="AL2910">
        <v>-87.610001999999994</v>
      </c>
      <c r="AM2910">
        <v>100</v>
      </c>
      <c r="AN2910">
        <v>2300</v>
      </c>
      <c r="AO2910" t="s">
        <v>118</v>
      </c>
      <c r="AP2910">
        <v>5</v>
      </c>
      <c r="AQ2910">
        <v>-128</v>
      </c>
      <c r="AR2910">
        <v>128</v>
      </c>
      <c r="AZ2910">
        <v>4552</v>
      </c>
      <c r="BA2910">
        <v>1</v>
      </c>
      <c r="BB2910" t="str">
        <f t="shared" si="1123"/>
        <v xml:space="preserve">N607SR  </v>
      </c>
      <c r="BC2910">
        <v>1</v>
      </c>
      <c r="BE2910">
        <v>0</v>
      </c>
      <c r="BF2910">
        <v>0</v>
      </c>
      <c r="BG2910">
        <v>0</v>
      </c>
      <c r="BH2910">
        <v>2100</v>
      </c>
      <c r="BI2910">
        <v>1</v>
      </c>
      <c r="BJ2910">
        <v>1</v>
      </c>
      <c r="BK2910">
        <v>1</v>
      </c>
      <c r="BL2910">
        <v>0</v>
      </c>
      <c r="BO2910">
        <v>0</v>
      </c>
      <c r="BP2910">
        <v>0</v>
      </c>
      <c r="BW2910" t="str">
        <f t="shared" si="1142"/>
        <v>06:20:25.531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6</v>
      </c>
      <c r="CP2910" t="s">
        <v>119</v>
      </c>
      <c r="CQ2910">
        <v>465</v>
      </c>
      <c r="CR2910">
        <v>0</v>
      </c>
      <c r="CW2910">
        <v>4728361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 t="shared" si="1139"/>
        <v>08/29/2020 06:20:22.325</v>
      </c>
      <c r="C2911" t="str">
        <f t="shared" si="1121"/>
        <v>FFDFD3C0</v>
      </c>
      <c r="D2911" t="s">
        <v>121</v>
      </c>
      <c r="E2911">
        <v>11</v>
      </c>
      <c r="F2911">
        <v>1011</v>
      </c>
      <c r="G2911" t="s">
        <v>125</v>
      </c>
      <c r="J2911" t="s">
        <v>123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140"/>
        <v>06:20:25.523</v>
      </c>
      <c r="T2911" t="str">
        <f t="shared" si="1141"/>
        <v>06:20:25.023</v>
      </c>
      <c r="U2911" t="str">
        <f t="shared" si="1122"/>
        <v>A7E2E0</v>
      </c>
      <c r="V2911">
        <v>0</v>
      </c>
      <c r="W2911">
        <v>0</v>
      </c>
      <c r="X2911">
        <v>1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0</v>
      </c>
      <c r="AI2911" t="s">
        <v>1449</v>
      </c>
      <c r="AJ2911">
        <v>38.873018999999999</v>
      </c>
      <c r="AK2911" t="s">
        <v>1448</v>
      </c>
      <c r="AL2911">
        <v>-87.610001999999994</v>
      </c>
      <c r="AM2911">
        <v>100</v>
      </c>
      <c r="AN2911">
        <v>2300</v>
      </c>
      <c r="AO2911" t="s">
        <v>118</v>
      </c>
      <c r="AP2911">
        <v>5</v>
      </c>
      <c r="AQ2911">
        <v>-128</v>
      </c>
      <c r="AR2911">
        <v>128</v>
      </c>
      <c r="AZ2911">
        <v>4552</v>
      </c>
      <c r="BA2911">
        <v>1</v>
      </c>
      <c r="BB2911" t="str">
        <f t="shared" si="1123"/>
        <v xml:space="preserve">N607SR  </v>
      </c>
      <c r="BC2911">
        <v>1</v>
      </c>
      <c r="BE2911">
        <v>0</v>
      </c>
      <c r="BF2911">
        <v>0</v>
      </c>
      <c r="BG2911">
        <v>0</v>
      </c>
      <c r="BH2911">
        <v>2100</v>
      </c>
      <c r="BI2911">
        <v>1</v>
      </c>
      <c r="BJ2911">
        <v>1</v>
      </c>
      <c r="BK2911">
        <v>1</v>
      </c>
      <c r="BL2911">
        <v>0</v>
      </c>
      <c r="BO2911">
        <v>0</v>
      </c>
      <c r="BP2911">
        <v>0</v>
      </c>
      <c r="BW2911" t="str">
        <f t="shared" si="1142"/>
        <v>06:20:25.531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5</v>
      </c>
      <c r="CP2911" t="s">
        <v>119</v>
      </c>
      <c r="CQ2911">
        <v>177</v>
      </c>
      <c r="CR2911">
        <v>2</v>
      </c>
      <c r="CW2911">
        <v>1684961</v>
      </c>
      <c r="CY2911">
        <v>1</v>
      </c>
      <c r="CZ2911">
        <v>0</v>
      </c>
      <c r="DA2911">
        <v>1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 t="shared" si="1139"/>
        <v>08/29/2020 06:20:22.325</v>
      </c>
      <c r="C2912" t="str">
        <f t="shared" si="1121"/>
        <v>FFDFD3C0</v>
      </c>
      <c r="D2912" t="s">
        <v>121</v>
      </c>
      <c r="E2912">
        <v>10</v>
      </c>
      <c r="F2912">
        <v>1010</v>
      </c>
      <c r="G2912" t="s">
        <v>114</v>
      </c>
      <c r="J2912" t="s">
        <v>123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140"/>
        <v>06:20:25.523</v>
      </c>
      <c r="T2912" t="str">
        <f t="shared" si="1141"/>
        <v>06:20:25.023</v>
      </c>
      <c r="U2912" t="str">
        <f t="shared" si="1122"/>
        <v>A7E2E0</v>
      </c>
      <c r="V2912">
        <v>0</v>
      </c>
      <c r="W2912">
        <v>0</v>
      </c>
      <c r="X2912">
        <v>1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0</v>
      </c>
      <c r="AI2912" t="s">
        <v>1449</v>
      </c>
      <c r="AJ2912">
        <v>38.873018999999999</v>
      </c>
      <c r="AK2912" t="s">
        <v>1448</v>
      </c>
      <c r="AL2912">
        <v>-87.610001999999994</v>
      </c>
      <c r="AM2912">
        <v>100</v>
      </c>
      <c r="AN2912">
        <v>2300</v>
      </c>
      <c r="AO2912" t="s">
        <v>118</v>
      </c>
      <c r="AP2912">
        <v>5</v>
      </c>
      <c r="AQ2912">
        <v>-128</v>
      </c>
      <c r="AR2912">
        <v>128</v>
      </c>
      <c r="AZ2912">
        <v>4552</v>
      </c>
      <c r="BA2912">
        <v>1</v>
      </c>
      <c r="BB2912" t="str">
        <f t="shared" si="1123"/>
        <v xml:space="preserve">N607SR  </v>
      </c>
      <c r="BC2912">
        <v>1</v>
      </c>
      <c r="BE2912">
        <v>0</v>
      </c>
      <c r="BF2912">
        <v>0</v>
      </c>
      <c r="BG2912">
        <v>0</v>
      </c>
      <c r="BH2912">
        <v>2100</v>
      </c>
      <c r="BI2912">
        <v>1</v>
      </c>
      <c r="BJ2912">
        <v>1</v>
      </c>
      <c r="BK2912">
        <v>1</v>
      </c>
      <c r="BL2912">
        <v>0</v>
      </c>
      <c r="BO2912">
        <v>0</v>
      </c>
      <c r="BP2912">
        <v>0</v>
      </c>
      <c r="BW2912" t="str">
        <f t="shared" si="1142"/>
        <v>06:20:25.531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6</v>
      </c>
      <c r="CP2912" t="s">
        <v>119</v>
      </c>
      <c r="CQ2912">
        <v>465</v>
      </c>
      <c r="CR2912">
        <v>0</v>
      </c>
      <c r="CW2912">
        <v>4728361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 t="shared" ref="A2913:A2918" si="1143">"08/29/2020 06:20:23.188"</f>
        <v>08/29/2020 06:20:23.188</v>
      </c>
      <c r="C2913" t="str">
        <f t="shared" si="1121"/>
        <v>FFDFD3C0</v>
      </c>
      <c r="D2913" t="s">
        <v>128</v>
      </c>
      <c r="E2913">
        <v>5</v>
      </c>
      <c r="H2913">
        <v>241</v>
      </c>
      <c r="I2913" t="s">
        <v>129</v>
      </c>
      <c r="J2913" t="s">
        <v>130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ref="S2913:S2918" si="1144">"06:20:26.406"</f>
        <v>06:20:26.406</v>
      </c>
      <c r="T2913" t="str">
        <f t="shared" ref="T2913:T2918" si="1145">"06:20:26.006"</f>
        <v>06:20:26.006</v>
      </c>
      <c r="U2913" t="str">
        <f t="shared" si="1122"/>
        <v>A7E2E0</v>
      </c>
      <c r="V2913">
        <v>0</v>
      </c>
      <c r="W2913">
        <v>0</v>
      </c>
      <c r="X2913">
        <v>1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0</v>
      </c>
      <c r="AI2913" t="s">
        <v>1450</v>
      </c>
      <c r="AJ2913">
        <v>38.872568999999999</v>
      </c>
      <c r="AK2913" t="s">
        <v>1244</v>
      </c>
      <c r="AL2913">
        <v>-87.609937000000002</v>
      </c>
      <c r="AM2913">
        <v>100</v>
      </c>
      <c r="AN2913">
        <v>2300</v>
      </c>
      <c r="AO2913" t="s">
        <v>118</v>
      </c>
      <c r="AP2913">
        <v>5</v>
      </c>
      <c r="AQ2913">
        <v>-127</v>
      </c>
      <c r="AR2913">
        <v>128</v>
      </c>
      <c r="AZ2913">
        <v>4552</v>
      </c>
      <c r="BA2913">
        <v>1</v>
      </c>
      <c r="BB2913" t="str">
        <f t="shared" si="1123"/>
        <v xml:space="preserve">N607SR  </v>
      </c>
      <c r="BC2913">
        <v>1</v>
      </c>
      <c r="BE2913">
        <v>0</v>
      </c>
      <c r="BF2913">
        <v>0</v>
      </c>
      <c r="BG2913">
        <v>0</v>
      </c>
      <c r="BH2913">
        <v>2100</v>
      </c>
      <c r="BI2913">
        <v>1</v>
      </c>
      <c r="BJ2913">
        <v>1</v>
      </c>
      <c r="BK2913">
        <v>1</v>
      </c>
      <c r="BL2913">
        <v>0</v>
      </c>
      <c r="BO2913">
        <v>0</v>
      </c>
      <c r="BP2913">
        <v>0</v>
      </c>
      <c r="BW2913" t="str">
        <f t="shared" ref="BW2913:BW2918" si="1146">"06:20:26.411"</f>
        <v>06:20:26.411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6</v>
      </c>
      <c r="CP2913" t="s">
        <v>119</v>
      </c>
      <c r="CQ2913">
        <v>465</v>
      </c>
      <c r="CR2913">
        <v>0</v>
      </c>
      <c r="CW2913">
        <v>4728387</v>
      </c>
      <c r="CY2913">
        <v>1</v>
      </c>
      <c r="CZ2913">
        <v>0</v>
      </c>
      <c r="DA2913">
        <v>0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 t="shared" si="1143"/>
        <v>08/29/2020 06:20:23.188</v>
      </c>
      <c r="C2914" t="str">
        <f t="shared" si="1121"/>
        <v>FFDFD3C0</v>
      </c>
      <c r="D2914" t="s">
        <v>939</v>
      </c>
      <c r="E2914">
        <v>10</v>
      </c>
      <c r="H2914">
        <v>79</v>
      </c>
      <c r="I2914" t="s">
        <v>940</v>
      </c>
      <c r="J2914" t="s">
        <v>130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144"/>
        <v>06:20:26.406</v>
      </c>
      <c r="T2914" t="str">
        <f t="shared" si="1145"/>
        <v>06:20:26.006</v>
      </c>
      <c r="U2914" t="str">
        <f t="shared" si="1122"/>
        <v>A7E2E0</v>
      </c>
      <c r="V2914">
        <v>0</v>
      </c>
      <c r="W2914">
        <v>0</v>
      </c>
      <c r="X2914">
        <v>1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0</v>
      </c>
      <c r="AI2914" t="s">
        <v>1450</v>
      </c>
      <c r="AJ2914">
        <v>38.872568999999999</v>
      </c>
      <c r="AK2914" t="s">
        <v>1244</v>
      </c>
      <c r="AL2914">
        <v>-87.609937000000002</v>
      </c>
      <c r="AM2914">
        <v>100</v>
      </c>
      <c r="AN2914">
        <v>2300</v>
      </c>
      <c r="AO2914" t="s">
        <v>118</v>
      </c>
      <c r="AP2914">
        <v>5</v>
      </c>
      <c r="AQ2914">
        <v>-127</v>
      </c>
      <c r="AR2914">
        <v>128</v>
      </c>
      <c r="AZ2914">
        <v>4552</v>
      </c>
      <c r="BA2914">
        <v>1</v>
      </c>
      <c r="BB2914" t="str">
        <f t="shared" si="1123"/>
        <v xml:space="preserve">N607SR  </v>
      </c>
      <c r="BC2914">
        <v>1</v>
      </c>
      <c r="BE2914">
        <v>0</v>
      </c>
      <c r="BF2914">
        <v>0</v>
      </c>
      <c r="BG2914">
        <v>0</v>
      </c>
      <c r="BH2914">
        <v>2100</v>
      </c>
      <c r="BI2914">
        <v>1</v>
      </c>
      <c r="BJ2914">
        <v>1</v>
      </c>
      <c r="BK2914">
        <v>1</v>
      </c>
      <c r="BL2914">
        <v>0</v>
      </c>
      <c r="BO2914">
        <v>0</v>
      </c>
      <c r="BP2914">
        <v>0</v>
      </c>
      <c r="BW2914" t="str">
        <f t="shared" si="1146"/>
        <v>06:20:26.411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6</v>
      </c>
      <c r="CP2914" t="s">
        <v>119</v>
      </c>
      <c r="CQ2914">
        <v>465</v>
      </c>
      <c r="CR2914">
        <v>0</v>
      </c>
      <c r="CW2914">
        <v>4728387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 t="shared" si="1143"/>
        <v>08/29/2020 06:20:23.188</v>
      </c>
      <c r="C2915" t="str">
        <f t="shared" si="1121"/>
        <v>FFDFD3C0</v>
      </c>
      <c r="D2915" t="s">
        <v>121</v>
      </c>
      <c r="E2915">
        <v>13</v>
      </c>
      <c r="F2915">
        <v>1013</v>
      </c>
      <c r="G2915" t="s">
        <v>122</v>
      </c>
      <c r="J2915" t="s">
        <v>123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144"/>
        <v>06:20:26.406</v>
      </c>
      <c r="T2915" t="str">
        <f t="shared" si="1145"/>
        <v>06:20:26.006</v>
      </c>
      <c r="U2915" t="str">
        <f t="shared" si="1122"/>
        <v>A7E2E0</v>
      </c>
      <c r="V2915">
        <v>0</v>
      </c>
      <c r="W2915">
        <v>0</v>
      </c>
      <c r="X2915">
        <v>1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0</v>
      </c>
      <c r="AI2915" t="s">
        <v>1450</v>
      </c>
      <c r="AJ2915">
        <v>38.872568999999999</v>
      </c>
      <c r="AK2915" t="s">
        <v>1244</v>
      </c>
      <c r="AL2915">
        <v>-87.609937000000002</v>
      </c>
      <c r="AM2915">
        <v>100</v>
      </c>
      <c r="AN2915">
        <v>2300</v>
      </c>
      <c r="AO2915" t="s">
        <v>118</v>
      </c>
      <c r="AP2915">
        <v>5</v>
      </c>
      <c r="AQ2915">
        <v>-127</v>
      </c>
      <c r="AR2915">
        <v>128</v>
      </c>
      <c r="AZ2915">
        <v>4552</v>
      </c>
      <c r="BA2915">
        <v>1</v>
      </c>
      <c r="BB2915" t="str">
        <f t="shared" si="1123"/>
        <v xml:space="preserve">N607SR  </v>
      </c>
      <c r="BC2915">
        <v>1</v>
      </c>
      <c r="BE2915">
        <v>0</v>
      </c>
      <c r="BF2915">
        <v>0</v>
      </c>
      <c r="BG2915">
        <v>0</v>
      </c>
      <c r="BH2915">
        <v>2100</v>
      </c>
      <c r="BI2915">
        <v>1</v>
      </c>
      <c r="BJ2915">
        <v>1</v>
      </c>
      <c r="BK2915">
        <v>1</v>
      </c>
      <c r="BL2915">
        <v>0</v>
      </c>
      <c r="BO2915">
        <v>0</v>
      </c>
      <c r="BP2915">
        <v>0</v>
      </c>
      <c r="BW2915" t="str">
        <f t="shared" si="1146"/>
        <v>06:20:26.411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6</v>
      </c>
      <c r="CP2915" t="s">
        <v>119</v>
      </c>
      <c r="CQ2915">
        <v>465</v>
      </c>
      <c r="CR2915">
        <v>0</v>
      </c>
      <c r="CW2915">
        <v>4728387</v>
      </c>
      <c r="CY2915">
        <v>1</v>
      </c>
      <c r="CZ2915">
        <v>0</v>
      </c>
      <c r="DA2915">
        <v>1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 t="shared" si="1143"/>
        <v>08/29/2020 06:20:23.188</v>
      </c>
      <c r="C2916" t="str">
        <f t="shared" si="1121"/>
        <v>FFDFD3C0</v>
      </c>
      <c r="D2916" t="s">
        <v>121</v>
      </c>
      <c r="E2916">
        <v>10</v>
      </c>
      <c r="F2916">
        <v>1010</v>
      </c>
      <c r="G2916" t="s">
        <v>114</v>
      </c>
      <c r="J2916" t="s">
        <v>123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144"/>
        <v>06:20:26.406</v>
      </c>
      <c r="T2916" t="str">
        <f t="shared" si="1145"/>
        <v>06:20:26.006</v>
      </c>
      <c r="U2916" t="str">
        <f t="shared" si="1122"/>
        <v>A7E2E0</v>
      </c>
      <c r="V2916">
        <v>0</v>
      </c>
      <c r="W2916">
        <v>0</v>
      </c>
      <c r="X2916">
        <v>1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0</v>
      </c>
      <c r="AI2916" t="s">
        <v>1450</v>
      </c>
      <c r="AJ2916">
        <v>38.872568999999999</v>
      </c>
      <c r="AK2916" t="s">
        <v>1244</v>
      </c>
      <c r="AL2916">
        <v>-87.609937000000002</v>
      </c>
      <c r="AM2916">
        <v>100</v>
      </c>
      <c r="AN2916">
        <v>2300</v>
      </c>
      <c r="AO2916" t="s">
        <v>118</v>
      </c>
      <c r="AP2916">
        <v>5</v>
      </c>
      <c r="AQ2916">
        <v>-127</v>
      </c>
      <c r="AR2916">
        <v>128</v>
      </c>
      <c r="AZ2916">
        <v>4552</v>
      </c>
      <c r="BA2916">
        <v>1</v>
      </c>
      <c r="BB2916" t="str">
        <f t="shared" si="1123"/>
        <v xml:space="preserve">N607SR  </v>
      </c>
      <c r="BC2916">
        <v>1</v>
      </c>
      <c r="BE2916">
        <v>0</v>
      </c>
      <c r="BF2916">
        <v>0</v>
      </c>
      <c r="BG2916">
        <v>0</v>
      </c>
      <c r="BH2916">
        <v>2100</v>
      </c>
      <c r="BI2916">
        <v>1</v>
      </c>
      <c r="BJ2916">
        <v>1</v>
      </c>
      <c r="BK2916">
        <v>1</v>
      </c>
      <c r="BL2916">
        <v>0</v>
      </c>
      <c r="BO2916">
        <v>0</v>
      </c>
      <c r="BP2916">
        <v>0</v>
      </c>
      <c r="BW2916" t="str">
        <f t="shared" si="1146"/>
        <v>06:20:26.411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6</v>
      </c>
      <c r="CP2916" t="s">
        <v>119</v>
      </c>
      <c r="CQ2916">
        <v>465</v>
      </c>
      <c r="CR2916">
        <v>0</v>
      </c>
      <c r="CW2916">
        <v>4728387</v>
      </c>
      <c r="CY2916">
        <v>1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 t="shared" si="1143"/>
        <v>08/29/2020 06:20:23.188</v>
      </c>
      <c r="C2917" t="str">
        <f t="shared" si="1121"/>
        <v>FFDFD3C0</v>
      </c>
      <c r="D2917" t="s">
        <v>121</v>
      </c>
      <c r="E2917">
        <v>11</v>
      </c>
      <c r="F2917">
        <v>1011</v>
      </c>
      <c r="G2917" t="s">
        <v>125</v>
      </c>
      <c r="J2917" t="s">
        <v>123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si="1144"/>
        <v>06:20:26.406</v>
      </c>
      <c r="T2917" t="str">
        <f t="shared" si="1145"/>
        <v>06:20:26.006</v>
      </c>
      <c r="U2917" t="str">
        <f t="shared" si="1122"/>
        <v>A7E2E0</v>
      </c>
      <c r="V2917">
        <v>0</v>
      </c>
      <c r="W2917">
        <v>0</v>
      </c>
      <c r="X2917">
        <v>1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0</v>
      </c>
      <c r="AI2917" t="s">
        <v>1450</v>
      </c>
      <c r="AJ2917">
        <v>38.872568999999999</v>
      </c>
      <c r="AK2917" t="s">
        <v>1244</v>
      </c>
      <c r="AL2917">
        <v>-87.609937000000002</v>
      </c>
      <c r="AM2917">
        <v>100</v>
      </c>
      <c r="AN2917">
        <v>2300</v>
      </c>
      <c r="AO2917" t="s">
        <v>118</v>
      </c>
      <c r="AP2917">
        <v>5</v>
      </c>
      <c r="AQ2917">
        <v>-127</v>
      </c>
      <c r="AR2917">
        <v>128</v>
      </c>
      <c r="AZ2917">
        <v>4552</v>
      </c>
      <c r="BA2917">
        <v>1</v>
      </c>
      <c r="BB2917" t="str">
        <f t="shared" si="1123"/>
        <v xml:space="preserve">N607SR  </v>
      </c>
      <c r="BC2917">
        <v>1</v>
      </c>
      <c r="BE2917">
        <v>0</v>
      </c>
      <c r="BF2917">
        <v>0</v>
      </c>
      <c r="BG2917">
        <v>0</v>
      </c>
      <c r="BH2917">
        <v>2100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 t="shared" si="1146"/>
        <v>06:20:26.411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177</v>
      </c>
      <c r="CR2917">
        <v>2</v>
      </c>
      <c r="CW2917">
        <v>1685122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 t="shared" si="1143"/>
        <v>08/29/2020 06:20:23.188</v>
      </c>
      <c r="C2918" t="str">
        <f t="shared" si="1121"/>
        <v>FFDFD3C0</v>
      </c>
      <c r="D2918" t="s">
        <v>113</v>
      </c>
      <c r="E2918">
        <v>5</v>
      </c>
      <c r="H2918">
        <v>163</v>
      </c>
      <c r="I2918" t="s">
        <v>114</v>
      </c>
      <c r="J2918" t="s">
        <v>115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144"/>
        <v>06:20:26.406</v>
      </c>
      <c r="T2918" t="str">
        <f t="shared" si="1145"/>
        <v>06:20:26.006</v>
      </c>
      <c r="U2918" t="str">
        <f t="shared" si="1122"/>
        <v>A7E2E0</v>
      </c>
      <c r="V2918">
        <v>0</v>
      </c>
      <c r="W2918">
        <v>0</v>
      </c>
      <c r="X2918">
        <v>1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0</v>
      </c>
      <c r="AI2918" t="s">
        <v>1450</v>
      </c>
      <c r="AJ2918">
        <v>38.872568999999999</v>
      </c>
      <c r="AK2918" t="s">
        <v>1244</v>
      </c>
      <c r="AL2918">
        <v>-87.609937000000002</v>
      </c>
      <c r="AM2918">
        <v>100</v>
      </c>
      <c r="AN2918">
        <v>2300</v>
      </c>
      <c r="AO2918" t="s">
        <v>118</v>
      </c>
      <c r="AP2918">
        <v>5</v>
      </c>
      <c r="AQ2918">
        <v>-127</v>
      </c>
      <c r="AR2918">
        <v>128</v>
      </c>
      <c r="AZ2918">
        <v>4552</v>
      </c>
      <c r="BA2918">
        <v>1</v>
      </c>
      <c r="BB2918" t="str">
        <f t="shared" si="1123"/>
        <v xml:space="preserve">N607SR  </v>
      </c>
      <c r="BC2918">
        <v>1</v>
      </c>
      <c r="BE2918">
        <v>0</v>
      </c>
      <c r="BF2918">
        <v>0</v>
      </c>
      <c r="BG2918">
        <v>0</v>
      </c>
      <c r="BH2918">
        <v>2100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 t="shared" si="1146"/>
        <v>06:20:26.411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6</v>
      </c>
      <c r="CP2918" t="s">
        <v>119</v>
      </c>
      <c r="CQ2918">
        <v>465</v>
      </c>
      <c r="CR2918">
        <v>0</v>
      </c>
      <c r="CW2918">
        <v>4728387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 t="shared" ref="A2919:A2924" si="1147">"08/29/2020 06:20:24.248"</f>
        <v>08/29/2020 06:20:24.248</v>
      </c>
      <c r="C2919" t="str">
        <f t="shared" si="1121"/>
        <v>FFDFD3C0</v>
      </c>
      <c r="D2919" t="s">
        <v>939</v>
      </c>
      <c r="E2919">
        <v>10</v>
      </c>
      <c r="H2919">
        <v>79</v>
      </c>
      <c r="I2919" t="s">
        <v>940</v>
      </c>
      <c r="J2919" t="s">
        <v>130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"06:20:27.453"</f>
        <v>06:20:27.453</v>
      </c>
      <c r="T2919" t="str">
        <f>"06:20:27.053"</f>
        <v>06:20:27.053</v>
      </c>
      <c r="U2919" t="str">
        <f t="shared" si="1122"/>
        <v>A7E2E0</v>
      </c>
      <c r="V2919">
        <v>0</v>
      </c>
      <c r="W2919">
        <v>0</v>
      </c>
      <c r="X2919">
        <v>1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0</v>
      </c>
      <c r="AI2919" t="s">
        <v>1451</v>
      </c>
      <c r="AJ2919">
        <v>38.871903000000003</v>
      </c>
      <c r="AK2919" t="s">
        <v>1452</v>
      </c>
      <c r="AL2919">
        <v>-87.609915999999998</v>
      </c>
      <c r="AM2919">
        <v>100</v>
      </c>
      <c r="AN2919">
        <v>2300</v>
      </c>
      <c r="AO2919" t="s">
        <v>118</v>
      </c>
      <c r="AP2919">
        <v>5</v>
      </c>
      <c r="AQ2919">
        <v>-127</v>
      </c>
      <c r="AR2919">
        <v>128</v>
      </c>
      <c r="AZ2919">
        <v>4552</v>
      </c>
      <c r="BA2919">
        <v>1</v>
      </c>
      <c r="BB2919" t="str">
        <f t="shared" si="1123"/>
        <v xml:space="preserve">N607SR  </v>
      </c>
      <c r="BC2919">
        <v>1</v>
      </c>
      <c r="BE2919">
        <v>0</v>
      </c>
      <c r="BF2919">
        <v>0</v>
      </c>
      <c r="BG2919">
        <v>0</v>
      </c>
      <c r="BH2919">
        <v>2100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 t="shared" ref="BW2919:BW2924" si="1148">"06:20:27.461"</f>
        <v>06:20:27.461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7</v>
      </c>
      <c r="CP2919" t="s">
        <v>119</v>
      </c>
      <c r="CQ2919">
        <v>465</v>
      </c>
      <c r="CR2919">
        <v>0</v>
      </c>
      <c r="CW2919">
        <v>4728419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 t="shared" si="1147"/>
        <v>08/29/2020 06:20:24.248</v>
      </c>
      <c r="C2920" t="str">
        <f t="shared" si="1121"/>
        <v>FFDFD3C0</v>
      </c>
      <c r="D2920" t="s">
        <v>113</v>
      </c>
      <c r="E2920">
        <v>5</v>
      </c>
      <c r="H2920">
        <v>163</v>
      </c>
      <c r="I2920" t="s">
        <v>114</v>
      </c>
      <c r="J2920" t="s">
        <v>115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"06:20:27.453"</f>
        <v>06:20:27.453</v>
      </c>
      <c r="T2920" t="str">
        <f>"06:20:27.053"</f>
        <v>06:20:27.053</v>
      </c>
      <c r="U2920" t="str">
        <f t="shared" si="1122"/>
        <v>A7E2E0</v>
      </c>
      <c r="V2920">
        <v>0</v>
      </c>
      <c r="W2920">
        <v>0</v>
      </c>
      <c r="X2920">
        <v>1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0</v>
      </c>
      <c r="AI2920" t="s">
        <v>1451</v>
      </c>
      <c r="AJ2920">
        <v>38.871903000000003</v>
      </c>
      <c r="AK2920" t="s">
        <v>1452</v>
      </c>
      <c r="AL2920">
        <v>-87.609915999999998</v>
      </c>
      <c r="AM2920">
        <v>100</v>
      </c>
      <c r="AN2920">
        <v>2300</v>
      </c>
      <c r="AO2920" t="s">
        <v>118</v>
      </c>
      <c r="AP2920">
        <v>5</v>
      </c>
      <c r="AQ2920">
        <v>-127</v>
      </c>
      <c r="AR2920">
        <v>128</v>
      </c>
      <c r="AZ2920">
        <v>4552</v>
      </c>
      <c r="BA2920">
        <v>1</v>
      </c>
      <c r="BB2920" t="str">
        <f t="shared" si="1123"/>
        <v xml:space="preserve">N607SR  </v>
      </c>
      <c r="BC2920">
        <v>1</v>
      </c>
      <c r="BE2920">
        <v>0</v>
      </c>
      <c r="BF2920">
        <v>0</v>
      </c>
      <c r="BG2920">
        <v>0</v>
      </c>
      <c r="BH2920">
        <v>2100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 t="shared" si="1148"/>
        <v>06:20:27.461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7</v>
      </c>
      <c r="CP2920" t="s">
        <v>119</v>
      </c>
      <c r="CQ2920">
        <v>465</v>
      </c>
      <c r="CR2920">
        <v>0</v>
      </c>
      <c r="CW2920">
        <v>4728419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 t="shared" si="1147"/>
        <v>08/29/2020 06:20:24.248</v>
      </c>
      <c r="C2921" t="str">
        <f t="shared" si="1121"/>
        <v>FFDFD3C0</v>
      </c>
      <c r="D2921" t="s">
        <v>128</v>
      </c>
      <c r="E2921">
        <v>5</v>
      </c>
      <c r="H2921">
        <v>241</v>
      </c>
      <c r="I2921" t="s">
        <v>129</v>
      </c>
      <c r="J2921" t="s">
        <v>130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"06:20:27.453"</f>
        <v>06:20:27.453</v>
      </c>
      <c r="T2921" t="str">
        <f>"06:20:27.053"</f>
        <v>06:20:27.053</v>
      </c>
      <c r="U2921" t="str">
        <f t="shared" si="1122"/>
        <v>A7E2E0</v>
      </c>
      <c r="V2921">
        <v>0</v>
      </c>
      <c r="W2921">
        <v>0</v>
      </c>
      <c r="X2921">
        <v>1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0</v>
      </c>
      <c r="AI2921" t="s">
        <v>1451</v>
      </c>
      <c r="AJ2921">
        <v>38.871903000000003</v>
      </c>
      <c r="AK2921" t="s">
        <v>1452</v>
      </c>
      <c r="AL2921">
        <v>-87.609915999999998</v>
      </c>
      <c r="AM2921">
        <v>100</v>
      </c>
      <c r="AN2921">
        <v>2300</v>
      </c>
      <c r="AO2921" t="s">
        <v>118</v>
      </c>
      <c r="AP2921">
        <v>5</v>
      </c>
      <c r="AQ2921">
        <v>-127</v>
      </c>
      <c r="AR2921">
        <v>128</v>
      </c>
      <c r="AZ2921">
        <v>4552</v>
      </c>
      <c r="BA2921">
        <v>1</v>
      </c>
      <c r="BB2921" t="str">
        <f t="shared" si="1123"/>
        <v xml:space="preserve">N607SR  </v>
      </c>
      <c r="BC2921">
        <v>1</v>
      </c>
      <c r="BE2921">
        <v>0</v>
      </c>
      <c r="BF2921">
        <v>0</v>
      </c>
      <c r="BG2921">
        <v>0</v>
      </c>
      <c r="BH2921">
        <v>2100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 t="shared" si="1148"/>
        <v>06:20:27.461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7</v>
      </c>
      <c r="CP2921" t="s">
        <v>119</v>
      </c>
      <c r="CQ2921">
        <v>465</v>
      </c>
      <c r="CR2921">
        <v>0</v>
      </c>
      <c r="CW2921">
        <v>4728419</v>
      </c>
      <c r="CY2921">
        <v>1</v>
      </c>
      <c r="CZ2921">
        <v>0</v>
      </c>
      <c r="DA2921">
        <v>1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 t="shared" si="1147"/>
        <v>08/29/2020 06:20:24.248</v>
      </c>
      <c r="C2922" t="str">
        <f t="shared" si="1121"/>
        <v>FFDFD3C0</v>
      </c>
      <c r="D2922" t="s">
        <v>121</v>
      </c>
      <c r="E2922">
        <v>10</v>
      </c>
      <c r="F2922">
        <v>1010</v>
      </c>
      <c r="G2922" t="s">
        <v>114</v>
      </c>
      <c r="J2922" t="s">
        <v>123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"06:20:27.453"</f>
        <v>06:20:27.453</v>
      </c>
      <c r="T2922" t="str">
        <f>"06:20:27.053"</f>
        <v>06:20:27.053</v>
      </c>
      <c r="U2922" t="str">
        <f t="shared" si="1122"/>
        <v>A7E2E0</v>
      </c>
      <c r="V2922">
        <v>0</v>
      </c>
      <c r="W2922">
        <v>0</v>
      </c>
      <c r="X2922">
        <v>1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0</v>
      </c>
      <c r="AI2922" t="s">
        <v>1451</v>
      </c>
      <c r="AJ2922">
        <v>38.871903000000003</v>
      </c>
      <c r="AK2922" t="s">
        <v>1452</v>
      </c>
      <c r="AL2922">
        <v>-87.609915999999998</v>
      </c>
      <c r="AM2922">
        <v>100</v>
      </c>
      <c r="AN2922">
        <v>2300</v>
      </c>
      <c r="AO2922" t="s">
        <v>118</v>
      </c>
      <c r="AP2922">
        <v>5</v>
      </c>
      <c r="AQ2922">
        <v>-127</v>
      </c>
      <c r="AR2922">
        <v>128</v>
      </c>
      <c r="AZ2922">
        <v>4552</v>
      </c>
      <c r="BA2922">
        <v>1</v>
      </c>
      <c r="BB2922" t="str">
        <f t="shared" si="1123"/>
        <v xml:space="preserve">N607SR  </v>
      </c>
      <c r="BC2922">
        <v>1</v>
      </c>
      <c r="BE2922">
        <v>0</v>
      </c>
      <c r="BF2922">
        <v>0</v>
      </c>
      <c r="BG2922">
        <v>0</v>
      </c>
      <c r="BH2922">
        <v>2100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 t="shared" si="1148"/>
        <v>06:20:27.461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7</v>
      </c>
      <c r="CP2922" t="s">
        <v>119</v>
      </c>
      <c r="CQ2922">
        <v>465</v>
      </c>
      <c r="CR2922">
        <v>0</v>
      </c>
      <c r="CW2922">
        <v>4728419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 t="shared" si="1147"/>
        <v>08/29/2020 06:20:24.248</v>
      </c>
      <c r="C2923" t="str">
        <f t="shared" si="1121"/>
        <v>FFDFD3C0</v>
      </c>
      <c r="D2923" t="s">
        <v>121</v>
      </c>
      <c r="E2923">
        <v>13</v>
      </c>
      <c r="F2923">
        <v>1013</v>
      </c>
      <c r="G2923" t="s">
        <v>122</v>
      </c>
      <c r="J2923" t="s">
        <v>123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"06:20:27.453"</f>
        <v>06:20:27.453</v>
      </c>
      <c r="T2923" t="str">
        <f>"06:20:27.053"</f>
        <v>06:20:27.053</v>
      </c>
      <c r="U2923" t="str">
        <f t="shared" si="1122"/>
        <v>A7E2E0</v>
      </c>
      <c r="V2923">
        <v>0</v>
      </c>
      <c r="W2923">
        <v>0</v>
      </c>
      <c r="X2923">
        <v>1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0</v>
      </c>
      <c r="AI2923" t="s">
        <v>1451</v>
      </c>
      <c r="AJ2923">
        <v>38.871903000000003</v>
      </c>
      <c r="AK2923" t="s">
        <v>1452</v>
      </c>
      <c r="AL2923">
        <v>-87.609915999999998</v>
      </c>
      <c r="AM2923">
        <v>100</v>
      </c>
      <c r="AN2923">
        <v>2300</v>
      </c>
      <c r="AO2923" t="s">
        <v>118</v>
      </c>
      <c r="AP2923">
        <v>5</v>
      </c>
      <c r="AQ2923">
        <v>-127</v>
      </c>
      <c r="AR2923">
        <v>128</v>
      </c>
      <c r="AZ2923">
        <v>4552</v>
      </c>
      <c r="BA2923">
        <v>1</v>
      </c>
      <c r="BB2923" t="str">
        <f t="shared" si="1123"/>
        <v xml:space="preserve">N607SR  </v>
      </c>
      <c r="BC2923">
        <v>1</v>
      </c>
      <c r="BE2923">
        <v>0</v>
      </c>
      <c r="BF2923">
        <v>0</v>
      </c>
      <c r="BG2923">
        <v>0</v>
      </c>
      <c r="BH2923">
        <v>2100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 t="shared" si="1148"/>
        <v>06:20:27.461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7</v>
      </c>
      <c r="CP2923" t="s">
        <v>119</v>
      </c>
      <c r="CQ2923">
        <v>465</v>
      </c>
      <c r="CR2923">
        <v>0</v>
      </c>
      <c r="CW2923">
        <v>4728419</v>
      </c>
      <c r="CY2923">
        <v>1</v>
      </c>
      <c r="CZ2923">
        <v>0</v>
      </c>
      <c r="DA2923">
        <v>1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 t="shared" si="1147"/>
        <v>08/29/2020 06:20:24.248</v>
      </c>
      <c r="C2924" t="str">
        <f t="shared" si="1121"/>
        <v>FFDFD3C0</v>
      </c>
      <c r="D2924" t="s">
        <v>121</v>
      </c>
      <c r="E2924">
        <v>11</v>
      </c>
      <c r="F2924">
        <v>1011</v>
      </c>
      <c r="G2924" t="s">
        <v>125</v>
      </c>
      <c r="J2924" t="s">
        <v>123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"06:20:27.461"</f>
        <v>06:20:27.461</v>
      </c>
      <c r="T2924" t="str">
        <f>"06:20:27.061"</f>
        <v>06:20:27.061</v>
      </c>
      <c r="U2924" t="str">
        <f t="shared" si="1122"/>
        <v>A7E2E0</v>
      </c>
      <c r="V2924">
        <v>0</v>
      </c>
      <c r="W2924">
        <v>0</v>
      </c>
      <c r="X2924">
        <v>1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0</v>
      </c>
      <c r="AI2924" t="s">
        <v>1451</v>
      </c>
      <c r="AJ2924">
        <v>38.871903000000003</v>
      </c>
      <c r="AK2924" t="s">
        <v>1452</v>
      </c>
      <c r="AL2924">
        <v>-87.609915999999998</v>
      </c>
      <c r="AM2924">
        <v>100</v>
      </c>
      <c r="AN2924">
        <v>2300</v>
      </c>
      <c r="AO2924" t="s">
        <v>118</v>
      </c>
      <c r="AP2924">
        <v>5</v>
      </c>
      <c r="AQ2924">
        <v>-127</v>
      </c>
      <c r="AR2924">
        <v>128</v>
      </c>
      <c r="AZ2924">
        <v>4552</v>
      </c>
      <c r="BA2924">
        <v>1</v>
      </c>
      <c r="BB2924" t="str">
        <f t="shared" si="1123"/>
        <v xml:space="preserve">N607SR  </v>
      </c>
      <c r="BC2924">
        <v>1</v>
      </c>
      <c r="BE2924">
        <v>0</v>
      </c>
      <c r="BF2924">
        <v>0</v>
      </c>
      <c r="BG2924">
        <v>0</v>
      </c>
      <c r="BH2924">
        <v>2100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 t="shared" si="1148"/>
        <v>06:20:27.461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5</v>
      </c>
      <c r="CP2924" t="s">
        <v>119</v>
      </c>
      <c r="CQ2924">
        <v>177</v>
      </c>
      <c r="CR2924">
        <v>2</v>
      </c>
      <c r="CW2924">
        <v>1685326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 t="shared" ref="A2925:A2930" si="1149">"08/29/2020 06:20:25.313"</f>
        <v>08/29/2020 06:20:25.313</v>
      </c>
      <c r="C2925" t="str">
        <f t="shared" si="1121"/>
        <v>FFDFD3C0</v>
      </c>
      <c r="D2925" t="s">
        <v>128</v>
      </c>
      <c r="E2925">
        <v>5</v>
      </c>
      <c r="H2925">
        <v>241</v>
      </c>
      <c r="I2925" t="s">
        <v>129</v>
      </c>
      <c r="J2925" t="s">
        <v>130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ref="S2925:S2930" si="1150">"06:20:28.531"</f>
        <v>06:20:28.531</v>
      </c>
      <c r="T2925" t="str">
        <f>"06:20:28.131"</f>
        <v>06:20:28.131</v>
      </c>
      <c r="U2925" t="str">
        <f t="shared" si="1122"/>
        <v>A7E2E0</v>
      </c>
      <c r="V2925">
        <v>0</v>
      </c>
      <c r="W2925">
        <v>0</v>
      </c>
      <c r="X2925">
        <v>1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0</v>
      </c>
      <c r="AI2925" t="s">
        <v>1453</v>
      </c>
      <c r="AJ2925">
        <v>38.871237999999998</v>
      </c>
      <c r="AK2925" t="s">
        <v>1454</v>
      </c>
      <c r="AL2925">
        <v>-87.609872999999993</v>
      </c>
      <c r="AM2925">
        <v>100</v>
      </c>
      <c r="AN2925">
        <v>2300</v>
      </c>
      <c r="AO2925" t="s">
        <v>118</v>
      </c>
      <c r="AP2925">
        <v>5</v>
      </c>
      <c r="AQ2925">
        <v>-126</v>
      </c>
      <c r="AR2925">
        <v>64</v>
      </c>
      <c r="AZ2925">
        <v>4552</v>
      </c>
      <c r="BA2925">
        <v>1</v>
      </c>
      <c r="BB2925" t="str">
        <f t="shared" si="1123"/>
        <v xml:space="preserve">N607SR  </v>
      </c>
      <c r="BC2925">
        <v>1</v>
      </c>
      <c r="BE2925">
        <v>0</v>
      </c>
      <c r="BF2925">
        <v>0</v>
      </c>
      <c r="BG2925">
        <v>0</v>
      </c>
      <c r="BH2925">
        <v>2100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 t="shared" ref="BW2925:BW2930" si="1151">"06:20:28.537"</f>
        <v>06:20:28.537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6</v>
      </c>
      <c r="CP2925" t="s">
        <v>119</v>
      </c>
      <c r="CQ2925">
        <v>465</v>
      </c>
      <c r="CR2925">
        <v>0</v>
      </c>
      <c r="CW2925">
        <v>4728450</v>
      </c>
      <c r="CY2925">
        <v>1</v>
      </c>
      <c r="CZ2925">
        <v>0</v>
      </c>
      <c r="DA2925">
        <v>0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 t="shared" si="1149"/>
        <v>08/29/2020 06:20:25.313</v>
      </c>
      <c r="C2926" t="str">
        <f t="shared" si="1121"/>
        <v>FFDFD3C0</v>
      </c>
      <c r="D2926" t="s">
        <v>121</v>
      </c>
      <c r="E2926">
        <v>10</v>
      </c>
      <c r="F2926">
        <v>1010</v>
      </c>
      <c r="G2926" t="s">
        <v>114</v>
      </c>
      <c r="J2926" t="s">
        <v>123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150"/>
        <v>06:20:28.531</v>
      </c>
      <c r="T2926" t="str">
        <f>"06:20:28.131"</f>
        <v>06:20:28.131</v>
      </c>
      <c r="U2926" t="str">
        <f t="shared" si="1122"/>
        <v>A7E2E0</v>
      </c>
      <c r="V2926">
        <v>0</v>
      </c>
      <c r="W2926">
        <v>0</v>
      </c>
      <c r="X2926">
        <v>1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0</v>
      </c>
      <c r="AI2926" t="s">
        <v>1453</v>
      </c>
      <c r="AJ2926">
        <v>38.871237999999998</v>
      </c>
      <c r="AK2926" t="s">
        <v>1454</v>
      </c>
      <c r="AL2926">
        <v>-87.609872999999993</v>
      </c>
      <c r="AM2926">
        <v>100</v>
      </c>
      <c r="AN2926">
        <v>2300</v>
      </c>
      <c r="AO2926" t="s">
        <v>118</v>
      </c>
      <c r="AP2926">
        <v>5</v>
      </c>
      <c r="AQ2926">
        <v>-126</v>
      </c>
      <c r="AR2926">
        <v>64</v>
      </c>
      <c r="AZ2926">
        <v>4552</v>
      </c>
      <c r="BA2926">
        <v>1</v>
      </c>
      <c r="BB2926" t="str">
        <f t="shared" si="1123"/>
        <v xml:space="preserve">N607SR  </v>
      </c>
      <c r="BC2926">
        <v>1</v>
      </c>
      <c r="BE2926">
        <v>0</v>
      </c>
      <c r="BF2926">
        <v>0</v>
      </c>
      <c r="BG2926">
        <v>0</v>
      </c>
      <c r="BH2926">
        <v>2100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 t="shared" si="1151"/>
        <v>06:20:28.537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6</v>
      </c>
      <c r="CP2926" t="s">
        <v>119</v>
      </c>
      <c r="CQ2926">
        <v>465</v>
      </c>
      <c r="CR2926">
        <v>0</v>
      </c>
      <c r="CW2926">
        <v>4728450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 t="shared" si="1149"/>
        <v>08/29/2020 06:20:25.313</v>
      </c>
      <c r="C2927" t="str">
        <f t="shared" si="1121"/>
        <v>FFDFD3C0</v>
      </c>
      <c r="D2927" t="s">
        <v>121</v>
      </c>
      <c r="E2927">
        <v>13</v>
      </c>
      <c r="F2927">
        <v>1013</v>
      </c>
      <c r="G2927" t="s">
        <v>122</v>
      </c>
      <c r="J2927" t="s">
        <v>123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150"/>
        <v>06:20:28.531</v>
      </c>
      <c r="T2927" t="str">
        <f>"06:20:28.131"</f>
        <v>06:20:28.131</v>
      </c>
      <c r="U2927" t="str">
        <f t="shared" si="1122"/>
        <v>A7E2E0</v>
      </c>
      <c r="V2927">
        <v>0</v>
      </c>
      <c r="W2927">
        <v>0</v>
      </c>
      <c r="X2927">
        <v>1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0</v>
      </c>
      <c r="AI2927" t="s">
        <v>1453</v>
      </c>
      <c r="AJ2927">
        <v>38.871237999999998</v>
      </c>
      <c r="AK2927" t="s">
        <v>1454</v>
      </c>
      <c r="AL2927">
        <v>-87.609872999999993</v>
      </c>
      <c r="AM2927">
        <v>100</v>
      </c>
      <c r="AN2927">
        <v>2300</v>
      </c>
      <c r="AO2927" t="s">
        <v>118</v>
      </c>
      <c r="AP2927">
        <v>5</v>
      </c>
      <c r="AQ2927">
        <v>-126</v>
      </c>
      <c r="AR2927">
        <v>64</v>
      </c>
      <c r="AZ2927">
        <v>4552</v>
      </c>
      <c r="BA2927">
        <v>1</v>
      </c>
      <c r="BB2927" t="str">
        <f t="shared" si="1123"/>
        <v xml:space="preserve">N607SR  </v>
      </c>
      <c r="BC2927">
        <v>1</v>
      </c>
      <c r="BE2927">
        <v>0</v>
      </c>
      <c r="BF2927">
        <v>0</v>
      </c>
      <c r="BG2927">
        <v>0</v>
      </c>
      <c r="BH2927">
        <v>2100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 t="shared" si="1151"/>
        <v>06:20:28.537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6</v>
      </c>
      <c r="CP2927" t="s">
        <v>119</v>
      </c>
      <c r="CQ2927">
        <v>465</v>
      </c>
      <c r="CR2927">
        <v>0</v>
      </c>
      <c r="CW2927">
        <v>4728450</v>
      </c>
      <c r="CY2927">
        <v>1</v>
      </c>
      <c r="CZ2927">
        <v>0</v>
      </c>
      <c r="DA2927">
        <v>1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 t="shared" si="1149"/>
        <v>08/29/2020 06:20:25.313</v>
      </c>
      <c r="C2928" t="str">
        <f t="shared" si="1121"/>
        <v>FFDFD3C0</v>
      </c>
      <c r="D2928" t="s">
        <v>121</v>
      </c>
      <c r="E2928">
        <v>11</v>
      </c>
      <c r="F2928">
        <v>1011</v>
      </c>
      <c r="G2928" t="s">
        <v>125</v>
      </c>
      <c r="J2928" t="s">
        <v>123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150"/>
        <v>06:20:28.531</v>
      </c>
      <c r="T2928" t="str">
        <f>"06:20:28.031"</f>
        <v>06:20:28.031</v>
      </c>
      <c r="U2928" t="str">
        <f t="shared" si="1122"/>
        <v>A7E2E0</v>
      </c>
      <c r="V2928">
        <v>0</v>
      </c>
      <c r="W2928">
        <v>0</v>
      </c>
      <c r="X2928">
        <v>1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0</v>
      </c>
      <c r="AI2928" t="s">
        <v>1453</v>
      </c>
      <c r="AJ2928">
        <v>38.871237999999998</v>
      </c>
      <c r="AK2928" t="s">
        <v>1454</v>
      </c>
      <c r="AL2928">
        <v>-87.609872999999993</v>
      </c>
      <c r="AM2928">
        <v>100</v>
      </c>
      <c r="AN2928">
        <v>2300</v>
      </c>
      <c r="AO2928" t="s">
        <v>118</v>
      </c>
      <c r="AP2928">
        <v>5</v>
      </c>
      <c r="AQ2928">
        <v>-126</v>
      </c>
      <c r="AR2928">
        <v>64</v>
      </c>
      <c r="AZ2928">
        <v>4552</v>
      </c>
      <c r="BA2928">
        <v>1</v>
      </c>
      <c r="BB2928" t="str">
        <f t="shared" si="1123"/>
        <v xml:space="preserve">N607SR  </v>
      </c>
      <c r="BC2928">
        <v>1</v>
      </c>
      <c r="BE2928">
        <v>0</v>
      </c>
      <c r="BF2928">
        <v>0</v>
      </c>
      <c r="BG2928">
        <v>0</v>
      </c>
      <c r="BH2928">
        <v>2100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 t="shared" si="1151"/>
        <v>06:20:28.537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5</v>
      </c>
      <c r="CP2928" t="s">
        <v>119</v>
      </c>
      <c r="CQ2928">
        <v>177</v>
      </c>
      <c r="CR2928">
        <v>2</v>
      </c>
      <c r="CW2928">
        <v>1685482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 t="shared" si="1149"/>
        <v>08/29/2020 06:20:25.313</v>
      </c>
      <c r="C2929" t="str">
        <f t="shared" si="1121"/>
        <v>FFDFD3C0</v>
      </c>
      <c r="D2929" t="s">
        <v>939</v>
      </c>
      <c r="E2929">
        <v>10</v>
      </c>
      <c r="H2929">
        <v>79</v>
      </c>
      <c r="I2929" t="s">
        <v>940</v>
      </c>
      <c r="J2929" t="s">
        <v>130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150"/>
        <v>06:20:28.531</v>
      </c>
      <c r="T2929" t="str">
        <f>"06:20:28.131"</f>
        <v>06:20:28.131</v>
      </c>
      <c r="U2929" t="str">
        <f t="shared" si="1122"/>
        <v>A7E2E0</v>
      </c>
      <c r="V2929">
        <v>0</v>
      </c>
      <c r="W2929">
        <v>0</v>
      </c>
      <c r="X2929">
        <v>1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0</v>
      </c>
      <c r="AI2929" t="s">
        <v>1453</v>
      </c>
      <c r="AJ2929">
        <v>38.871237999999998</v>
      </c>
      <c r="AK2929" t="s">
        <v>1454</v>
      </c>
      <c r="AL2929">
        <v>-87.609872999999993</v>
      </c>
      <c r="AM2929">
        <v>100</v>
      </c>
      <c r="AN2929">
        <v>2300</v>
      </c>
      <c r="AO2929" t="s">
        <v>118</v>
      </c>
      <c r="AP2929">
        <v>5</v>
      </c>
      <c r="AQ2929">
        <v>-126</v>
      </c>
      <c r="AR2929">
        <v>64</v>
      </c>
      <c r="AZ2929">
        <v>4552</v>
      </c>
      <c r="BA2929">
        <v>1</v>
      </c>
      <c r="BB2929" t="str">
        <f t="shared" si="1123"/>
        <v xml:space="preserve">N607SR  </v>
      </c>
      <c r="BC2929">
        <v>1</v>
      </c>
      <c r="BE2929">
        <v>0</v>
      </c>
      <c r="BF2929">
        <v>0</v>
      </c>
      <c r="BG2929">
        <v>0</v>
      </c>
      <c r="BH2929">
        <v>2100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 t="shared" si="1151"/>
        <v>06:20:28.537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6</v>
      </c>
      <c r="CP2929" t="s">
        <v>119</v>
      </c>
      <c r="CQ2929">
        <v>465</v>
      </c>
      <c r="CR2929">
        <v>0</v>
      </c>
      <c r="CW2929">
        <v>4728450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 t="shared" si="1149"/>
        <v>08/29/2020 06:20:25.313</v>
      </c>
      <c r="C2930" t="str">
        <f t="shared" si="1121"/>
        <v>FFDFD3C0</v>
      </c>
      <c r="D2930" t="s">
        <v>113</v>
      </c>
      <c r="E2930">
        <v>5</v>
      </c>
      <c r="H2930">
        <v>163</v>
      </c>
      <c r="I2930" t="s">
        <v>114</v>
      </c>
      <c r="J2930" t="s">
        <v>115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150"/>
        <v>06:20:28.531</v>
      </c>
      <c r="T2930" t="str">
        <f>"06:20:28.131"</f>
        <v>06:20:28.131</v>
      </c>
      <c r="U2930" t="str">
        <f t="shared" si="1122"/>
        <v>A7E2E0</v>
      </c>
      <c r="V2930">
        <v>0</v>
      </c>
      <c r="W2930">
        <v>0</v>
      </c>
      <c r="X2930">
        <v>1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0</v>
      </c>
      <c r="AI2930" t="s">
        <v>1453</v>
      </c>
      <c r="AJ2930">
        <v>38.871237999999998</v>
      </c>
      <c r="AK2930" t="s">
        <v>1454</v>
      </c>
      <c r="AL2930">
        <v>-87.609872999999993</v>
      </c>
      <c r="AM2930">
        <v>100</v>
      </c>
      <c r="AN2930">
        <v>2300</v>
      </c>
      <c r="AO2930" t="s">
        <v>118</v>
      </c>
      <c r="AP2930">
        <v>5</v>
      </c>
      <c r="AQ2930">
        <v>-126</v>
      </c>
      <c r="AR2930">
        <v>64</v>
      </c>
      <c r="AZ2930">
        <v>4552</v>
      </c>
      <c r="BA2930">
        <v>1</v>
      </c>
      <c r="BB2930" t="str">
        <f t="shared" si="1123"/>
        <v xml:space="preserve">N607SR  </v>
      </c>
      <c r="BC2930">
        <v>1</v>
      </c>
      <c r="BE2930">
        <v>0</v>
      </c>
      <c r="BF2930">
        <v>0</v>
      </c>
      <c r="BG2930">
        <v>0</v>
      </c>
      <c r="BH2930">
        <v>2100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 t="shared" si="1151"/>
        <v>06:20:28.537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6</v>
      </c>
      <c r="CP2930" t="s">
        <v>119</v>
      </c>
      <c r="CQ2930">
        <v>465</v>
      </c>
      <c r="CR2930">
        <v>0</v>
      </c>
      <c r="CW2930">
        <v>4728450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 t="shared" ref="A2931:A2936" si="1152">"08/29/2020 06:20:26.361"</f>
        <v>08/29/2020 06:20:26.361</v>
      </c>
      <c r="C2931" t="str">
        <f t="shared" si="1121"/>
        <v>FFDFD3C0</v>
      </c>
      <c r="D2931" t="s">
        <v>939</v>
      </c>
      <c r="E2931">
        <v>10</v>
      </c>
      <c r="H2931">
        <v>79</v>
      </c>
      <c r="I2931" t="s">
        <v>940</v>
      </c>
      <c r="J2931" t="s">
        <v>130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ref="S2931:S2936" si="1153">"06:20:29.594"</f>
        <v>06:20:29.594</v>
      </c>
      <c r="T2931" t="str">
        <f t="shared" ref="T2931:T2936" si="1154">"06:20:29.094"</f>
        <v>06:20:29.094</v>
      </c>
      <c r="U2931" t="str">
        <f t="shared" si="1122"/>
        <v>A7E2E0</v>
      </c>
      <c r="V2931">
        <v>0</v>
      </c>
      <c r="W2931">
        <v>0</v>
      </c>
      <c r="X2931">
        <v>1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0</v>
      </c>
      <c r="AI2931" t="s">
        <v>1455</v>
      </c>
      <c r="AJ2931">
        <v>38.87068</v>
      </c>
      <c r="AK2931" t="s">
        <v>1454</v>
      </c>
      <c r="AL2931">
        <v>-87.609872999999993</v>
      </c>
      <c r="AM2931">
        <v>100</v>
      </c>
      <c r="AN2931">
        <v>2300</v>
      </c>
      <c r="AO2931" t="s">
        <v>118</v>
      </c>
      <c r="AP2931">
        <v>5</v>
      </c>
      <c r="AQ2931">
        <v>-125</v>
      </c>
      <c r="AR2931">
        <v>64</v>
      </c>
      <c r="AZ2931">
        <v>4552</v>
      </c>
      <c r="BA2931">
        <v>1</v>
      </c>
      <c r="BB2931" t="str">
        <f t="shared" si="1123"/>
        <v xml:space="preserve">N607SR  </v>
      </c>
      <c r="BC2931">
        <v>1</v>
      </c>
      <c r="BE2931">
        <v>0</v>
      </c>
      <c r="BF2931">
        <v>0</v>
      </c>
      <c r="BG2931">
        <v>0</v>
      </c>
      <c r="BH2931">
        <v>2100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>"06:20:29.597"</f>
        <v>06:20:29.597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7</v>
      </c>
      <c r="CP2931" t="s">
        <v>119</v>
      </c>
      <c r="CQ2931">
        <v>465</v>
      </c>
      <c r="CR2931">
        <v>0</v>
      </c>
      <c r="CW2931">
        <v>4728484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 t="shared" si="1152"/>
        <v>08/29/2020 06:20:26.361</v>
      </c>
      <c r="C2932" t="str">
        <f t="shared" si="1121"/>
        <v>FFDFD3C0</v>
      </c>
      <c r="D2932" t="s">
        <v>121</v>
      </c>
      <c r="E2932">
        <v>11</v>
      </c>
      <c r="F2932">
        <v>1011</v>
      </c>
      <c r="G2932" t="s">
        <v>125</v>
      </c>
      <c r="J2932" t="s">
        <v>123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153"/>
        <v>06:20:29.594</v>
      </c>
      <c r="T2932" t="str">
        <f t="shared" si="1154"/>
        <v>06:20:29.094</v>
      </c>
      <c r="U2932" t="str">
        <f t="shared" si="1122"/>
        <v>A7E2E0</v>
      </c>
      <c r="V2932">
        <v>0</v>
      </c>
      <c r="W2932">
        <v>0</v>
      </c>
      <c r="X2932">
        <v>1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0</v>
      </c>
      <c r="AI2932" t="s">
        <v>1455</v>
      </c>
      <c r="AJ2932">
        <v>38.87068</v>
      </c>
      <c r="AK2932" t="s">
        <v>1454</v>
      </c>
      <c r="AL2932">
        <v>-87.609872999999993</v>
      </c>
      <c r="AM2932">
        <v>100</v>
      </c>
      <c r="AN2932">
        <v>2300</v>
      </c>
      <c r="AO2932" t="s">
        <v>118</v>
      </c>
      <c r="AP2932">
        <v>5</v>
      </c>
      <c r="AQ2932">
        <v>-125</v>
      </c>
      <c r="AR2932">
        <v>64</v>
      </c>
      <c r="AZ2932">
        <v>4552</v>
      </c>
      <c r="BA2932">
        <v>1</v>
      </c>
      <c r="BB2932" t="str">
        <f t="shared" si="1123"/>
        <v xml:space="preserve">N607SR  </v>
      </c>
      <c r="BC2932">
        <v>1</v>
      </c>
      <c r="BE2932">
        <v>0</v>
      </c>
      <c r="BF2932">
        <v>0</v>
      </c>
      <c r="BG2932">
        <v>0</v>
      </c>
      <c r="BH2932">
        <v>2100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>"06:20:29.598"</f>
        <v>06:20:29.598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5</v>
      </c>
      <c r="CP2932" t="s">
        <v>119</v>
      </c>
      <c r="CQ2932">
        <v>177</v>
      </c>
      <c r="CR2932">
        <v>2</v>
      </c>
      <c r="CW2932">
        <v>1685675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 t="shared" si="1152"/>
        <v>08/29/2020 06:20:26.361</v>
      </c>
      <c r="C2933" t="str">
        <f t="shared" si="1121"/>
        <v>FFDFD3C0</v>
      </c>
      <c r="D2933" t="s">
        <v>113</v>
      </c>
      <c r="E2933">
        <v>5</v>
      </c>
      <c r="H2933">
        <v>163</v>
      </c>
      <c r="I2933" t="s">
        <v>114</v>
      </c>
      <c r="J2933" t="s">
        <v>115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153"/>
        <v>06:20:29.594</v>
      </c>
      <c r="T2933" t="str">
        <f t="shared" si="1154"/>
        <v>06:20:29.094</v>
      </c>
      <c r="U2933" t="str">
        <f t="shared" si="1122"/>
        <v>A7E2E0</v>
      </c>
      <c r="V2933">
        <v>0</v>
      </c>
      <c r="W2933">
        <v>0</v>
      </c>
      <c r="X2933">
        <v>1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0</v>
      </c>
      <c r="AI2933" t="s">
        <v>1455</v>
      </c>
      <c r="AJ2933">
        <v>38.87068</v>
      </c>
      <c r="AK2933" t="s">
        <v>1454</v>
      </c>
      <c r="AL2933">
        <v>-87.609872999999993</v>
      </c>
      <c r="AM2933">
        <v>100</v>
      </c>
      <c r="AN2933">
        <v>2300</v>
      </c>
      <c r="AO2933" t="s">
        <v>118</v>
      </c>
      <c r="AP2933">
        <v>5</v>
      </c>
      <c r="AQ2933">
        <v>-125</v>
      </c>
      <c r="AR2933">
        <v>64</v>
      </c>
      <c r="AZ2933">
        <v>4552</v>
      </c>
      <c r="BA2933">
        <v>1</v>
      </c>
      <c r="BB2933" t="str">
        <f t="shared" si="1123"/>
        <v xml:space="preserve">N607SR  </v>
      </c>
      <c r="BC2933">
        <v>1</v>
      </c>
      <c r="BE2933">
        <v>0</v>
      </c>
      <c r="BF2933">
        <v>0</v>
      </c>
      <c r="BG2933">
        <v>0</v>
      </c>
      <c r="BH2933">
        <v>2100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>"06:20:29.597"</f>
        <v>06:20:29.597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7</v>
      </c>
      <c r="CP2933" t="s">
        <v>119</v>
      </c>
      <c r="CQ2933">
        <v>465</v>
      </c>
      <c r="CR2933">
        <v>0</v>
      </c>
      <c r="CW2933">
        <v>4728484</v>
      </c>
      <c r="CY2933">
        <v>1</v>
      </c>
      <c r="CZ2933">
        <v>0</v>
      </c>
      <c r="DA2933">
        <v>1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 t="shared" si="1152"/>
        <v>08/29/2020 06:20:26.361</v>
      </c>
      <c r="C2934" t="str">
        <f t="shared" si="1121"/>
        <v>FFDFD3C0</v>
      </c>
      <c r="D2934" t="s">
        <v>128</v>
      </c>
      <c r="E2934">
        <v>5</v>
      </c>
      <c r="H2934">
        <v>241</v>
      </c>
      <c r="I2934" t="s">
        <v>129</v>
      </c>
      <c r="J2934" t="s">
        <v>130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153"/>
        <v>06:20:29.594</v>
      </c>
      <c r="T2934" t="str">
        <f t="shared" si="1154"/>
        <v>06:20:29.094</v>
      </c>
      <c r="U2934" t="str">
        <f t="shared" si="1122"/>
        <v>A7E2E0</v>
      </c>
      <c r="V2934">
        <v>0</v>
      </c>
      <c r="W2934">
        <v>0</v>
      </c>
      <c r="X2934">
        <v>1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0</v>
      </c>
      <c r="AI2934" t="s">
        <v>1455</v>
      </c>
      <c r="AJ2934">
        <v>38.87068</v>
      </c>
      <c r="AK2934" t="s">
        <v>1454</v>
      </c>
      <c r="AL2934">
        <v>-87.609872999999993</v>
      </c>
      <c r="AM2934">
        <v>100</v>
      </c>
      <c r="AN2934">
        <v>2300</v>
      </c>
      <c r="AO2934" t="s">
        <v>118</v>
      </c>
      <c r="AP2934">
        <v>5</v>
      </c>
      <c r="AQ2934">
        <v>-125</v>
      </c>
      <c r="AR2934">
        <v>64</v>
      </c>
      <c r="AZ2934">
        <v>4552</v>
      </c>
      <c r="BA2934">
        <v>1</v>
      </c>
      <c r="BB2934" t="str">
        <f t="shared" si="1123"/>
        <v xml:space="preserve">N607SR  </v>
      </c>
      <c r="BC2934">
        <v>1</v>
      </c>
      <c r="BE2934">
        <v>0</v>
      </c>
      <c r="BF2934">
        <v>0</v>
      </c>
      <c r="BG2934">
        <v>0</v>
      </c>
      <c r="BH2934">
        <v>2100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>"06:20:29.597"</f>
        <v>06:20:29.597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7</v>
      </c>
      <c r="CP2934" t="s">
        <v>119</v>
      </c>
      <c r="CQ2934">
        <v>465</v>
      </c>
      <c r="CR2934">
        <v>0</v>
      </c>
      <c r="CW2934">
        <v>4728484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 t="shared" si="1152"/>
        <v>08/29/2020 06:20:26.361</v>
      </c>
      <c r="C2935" t="str">
        <f t="shared" si="1121"/>
        <v>FFDFD3C0</v>
      </c>
      <c r="D2935" t="s">
        <v>121</v>
      </c>
      <c r="E2935">
        <v>10</v>
      </c>
      <c r="F2935">
        <v>1010</v>
      </c>
      <c r="G2935" t="s">
        <v>114</v>
      </c>
      <c r="J2935" t="s">
        <v>123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153"/>
        <v>06:20:29.594</v>
      </c>
      <c r="T2935" t="str">
        <f t="shared" si="1154"/>
        <v>06:20:29.094</v>
      </c>
      <c r="U2935" t="str">
        <f t="shared" si="1122"/>
        <v>A7E2E0</v>
      </c>
      <c r="V2935">
        <v>0</v>
      </c>
      <c r="W2935">
        <v>0</v>
      </c>
      <c r="X2935">
        <v>1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0</v>
      </c>
      <c r="AI2935" t="s">
        <v>1455</v>
      </c>
      <c r="AJ2935">
        <v>38.87068</v>
      </c>
      <c r="AK2935" t="s">
        <v>1454</v>
      </c>
      <c r="AL2935">
        <v>-87.609872999999993</v>
      </c>
      <c r="AM2935">
        <v>100</v>
      </c>
      <c r="AN2935">
        <v>2300</v>
      </c>
      <c r="AO2935" t="s">
        <v>118</v>
      </c>
      <c r="AP2935">
        <v>5</v>
      </c>
      <c r="AQ2935">
        <v>-125</v>
      </c>
      <c r="AR2935">
        <v>64</v>
      </c>
      <c r="AZ2935">
        <v>4552</v>
      </c>
      <c r="BA2935">
        <v>1</v>
      </c>
      <c r="BB2935" t="str">
        <f t="shared" si="1123"/>
        <v xml:space="preserve">N607SR  </v>
      </c>
      <c r="BC2935">
        <v>1</v>
      </c>
      <c r="BE2935">
        <v>0</v>
      </c>
      <c r="BF2935">
        <v>0</v>
      </c>
      <c r="BG2935">
        <v>0</v>
      </c>
      <c r="BH2935">
        <v>2100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>"06:20:29.597"</f>
        <v>06:20:29.597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465</v>
      </c>
      <c r="CR2935">
        <v>0</v>
      </c>
      <c r="CW2935">
        <v>4728484</v>
      </c>
      <c r="CY2935">
        <v>1</v>
      </c>
      <c r="CZ2935">
        <v>0</v>
      </c>
      <c r="DA2935">
        <v>1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 t="shared" si="1152"/>
        <v>08/29/2020 06:20:26.361</v>
      </c>
      <c r="C2936" t="str">
        <f t="shared" si="1121"/>
        <v>FFDFD3C0</v>
      </c>
      <c r="D2936" t="s">
        <v>121</v>
      </c>
      <c r="E2936">
        <v>13</v>
      </c>
      <c r="F2936">
        <v>1013</v>
      </c>
      <c r="G2936" t="s">
        <v>122</v>
      </c>
      <c r="J2936" t="s">
        <v>123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153"/>
        <v>06:20:29.594</v>
      </c>
      <c r="T2936" t="str">
        <f t="shared" si="1154"/>
        <v>06:20:29.094</v>
      </c>
      <c r="U2936" t="str">
        <f t="shared" si="1122"/>
        <v>A7E2E0</v>
      </c>
      <c r="V2936">
        <v>0</v>
      </c>
      <c r="W2936">
        <v>0</v>
      </c>
      <c r="X2936">
        <v>1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0</v>
      </c>
      <c r="AI2936" t="s">
        <v>1455</v>
      </c>
      <c r="AJ2936">
        <v>38.87068</v>
      </c>
      <c r="AK2936" t="s">
        <v>1454</v>
      </c>
      <c r="AL2936">
        <v>-87.609872999999993</v>
      </c>
      <c r="AM2936">
        <v>100</v>
      </c>
      <c r="AN2936">
        <v>2300</v>
      </c>
      <c r="AO2936" t="s">
        <v>118</v>
      </c>
      <c r="AP2936">
        <v>5</v>
      </c>
      <c r="AQ2936">
        <v>-125</v>
      </c>
      <c r="AR2936">
        <v>64</v>
      </c>
      <c r="AZ2936">
        <v>4552</v>
      </c>
      <c r="BA2936">
        <v>1</v>
      </c>
      <c r="BB2936" t="str">
        <f t="shared" si="1123"/>
        <v xml:space="preserve">N607SR  </v>
      </c>
      <c r="BC2936">
        <v>1</v>
      </c>
      <c r="BE2936">
        <v>0</v>
      </c>
      <c r="BF2936">
        <v>0</v>
      </c>
      <c r="BG2936">
        <v>0</v>
      </c>
      <c r="BH2936">
        <v>2100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>"06:20:29.597"</f>
        <v>06:20:29.597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465</v>
      </c>
      <c r="CR2936">
        <v>0</v>
      </c>
      <c r="CW2936">
        <v>4728484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 t="shared" ref="A2937:A2942" si="1155">"08/29/2020 06:20:27.469"</f>
        <v>08/29/2020 06:20:27.469</v>
      </c>
      <c r="C2937" t="str">
        <f t="shared" si="1121"/>
        <v>FFDFD3C0</v>
      </c>
      <c r="D2937" t="s">
        <v>939</v>
      </c>
      <c r="E2937">
        <v>10</v>
      </c>
      <c r="H2937">
        <v>79</v>
      </c>
      <c r="I2937" t="s">
        <v>940</v>
      </c>
      <c r="J2937" t="s">
        <v>130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ref="S2937:S2942" si="1156">"06:20:30.648"</f>
        <v>06:20:30.648</v>
      </c>
      <c r="T2937" t="str">
        <f>"06:20:29.648"</f>
        <v>06:20:29.648</v>
      </c>
      <c r="U2937" t="str">
        <f t="shared" si="1122"/>
        <v>A7E2E0</v>
      </c>
      <c r="V2937">
        <v>0</v>
      </c>
      <c r="W2937">
        <v>0</v>
      </c>
      <c r="X2937">
        <v>1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0</v>
      </c>
      <c r="AI2937" t="s">
        <v>1456</v>
      </c>
      <c r="AJ2937">
        <v>38.870058</v>
      </c>
      <c r="AK2937" t="s">
        <v>1454</v>
      </c>
      <c r="AL2937">
        <v>-87.609872999999993</v>
      </c>
      <c r="AM2937">
        <v>100</v>
      </c>
      <c r="AN2937">
        <v>2300</v>
      </c>
      <c r="AO2937" t="s">
        <v>118</v>
      </c>
      <c r="AP2937">
        <v>5</v>
      </c>
      <c r="AQ2937">
        <v>-125</v>
      </c>
      <c r="AR2937">
        <v>64</v>
      </c>
      <c r="AZ2937">
        <v>4552</v>
      </c>
      <c r="BA2937">
        <v>1</v>
      </c>
      <c r="BB2937" t="str">
        <f t="shared" si="1123"/>
        <v xml:space="preserve">N607SR  </v>
      </c>
      <c r="BC2937">
        <v>1</v>
      </c>
      <c r="BE2937">
        <v>0</v>
      </c>
      <c r="BF2937">
        <v>0</v>
      </c>
      <c r="BG2937">
        <v>0</v>
      </c>
      <c r="BH2937">
        <v>2100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 t="shared" ref="BW2937:BW2942" si="1157">"06:20:30.656"</f>
        <v>06:20:30.656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6</v>
      </c>
      <c r="CP2937" t="s">
        <v>119</v>
      </c>
      <c r="CQ2937">
        <v>465</v>
      </c>
      <c r="CR2937">
        <v>0</v>
      </c>
      <c r="CW2937">
        <v>4728513</v>
      </c>
      <c r="CY2937">
        <v>1</v>
      </c>
      <c r="CZ2937">
        <v>0</v>
      </c>
      <c r="DA2937">
        <v>0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 t="shared" si="1155"/>
        <v>08/29/2020 06:20:27.469</v>
      </c>
      <c r="C2938" t="str">
        <f t="shared" si="1121"/>
        <v>FFDFD3C0</v>
      </c>
      <c r="D2938" t="s">
        <v>128</v>
      </c>
      <c r="E2938">
        <v>5</v>
      </c>
      <c r="H2938">
        <v>241</v>
      </c>
      <c r="I2938" t="s">
        <v>129</v>
      </c>
      <c r="J2938" t="s">
        <v>130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si="1156"/>
        <v>06:20:30.648</v>
      </c>
      <c r="T2938" t="str">
        <f>"06:20:30.148"</f>
        <v>06:20:30.148</v>
      </c>
      <c r="U2938" t="str">
        <f t="shared" si="1122"/>
        <v>A7E2E0</v>
      </c>
      <c r="V2938">
        <v>0</v>
      </c>
      <c r="W2938">
        <v>0</v>
      </c>
      <c r="X2938">
        <v>1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0</v>
      </c>
      <c r="AI2938" t="s">
        <v>1456</v>
      </c>
      <c r="AJ2938">
        <v>38.870058</v>
      </c>
      <c r="AK2938" t="s">
        <v>1454</v>
      </c>
      <c r="AL2938">
        <v>-87.609872999999993</v>
      </c>
      <c r="AM2938">
        <v>100</v>
      </c>
      <c r="AN2938">
        <v>2300</v>
      </c>
      <c r="AO2938" t="s">
        <v>118</v>
      </c>
      <c r="AP2938">
        <v>5</v>
      </c>
      <c r="AQ2938">
        <v>-125</v>
      </c>
      <c r="AR2938">
        <v>64</v>
      </c>
      <c r="AZ2938">
        <v>4552</v>
      </c>
      <c r="BA2938">
        <v>1</v>
      </c>
      <c r="BB2938" t="str">
        <f t="shared" si="1123"/>
        <v xml:space="preserve">N607SR  </v>
      </c>
      <c r="BC2938">
        <v>1</v>
      </c>
      <c r="BE2938">
        <v>0</v>
      </c>
      <c r="BF2938">
        <v>0</v>
      </c>
      <c r="BG2938">
        <v>0</v>
      </c>
      <c r="BH2938">
        <v>2100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 t="shared" si="1157"/>
        <v>06:20:30.656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5</v>
      </c>
      <c r="CP2938" t="s">
        <v>119</v>
      </c>
      <c r="CQ2938">
        <v>177</v>
      </c>
      <c r="CR2938">
        <v>2</v>
      </c>
      <c r="CW2938">
        <v>1685868</v>
      </c>
      <c r="CY2938">
        <v>1</v>
      </c>
      <c r="CZ2938">
        <v>0</v>
      </c>
      <c r="DA2938">
        <v>1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 t="shared" si="1155"/>
        <v>08/29/2020 06:20:27.469</v>
      </c>
      <c r="C2939" t="str">
        <f t="shared" si="1121"/>
        <v>FFDFD3C0</v>
      </c>
      <c r="D2939" t="s">
        <v>121</v>
      </c>
      <c r="E2939">
        <v>10</v>
      </c>
      <c r="F2939">
        <v>1010</v>
      </c>
      <c r="G2939" t="s">
        <v>114</v>
      </c>
      <c r="J2939" t="s">
        <v>123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156"/>
        <v>06:20:30.648</v>
      </c>
      <c r="T2939" t="str">
        <f>"06:20:30.148"</f>
        <v>06:20:30.148</v>
      </c>
      <c r="U2939" t="str">
        <f t="shared" si="1122"/>
        <v>A7E2E0</v>
      </c>
      <c r="V2939">
        <v>0</v>
      </c>
      <c r="W2939">
        <v>0</v>
      </c>
      <c r="X2939">
        <v>1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0</v>
      </c>
      <c r="AI2939" t="s">
        <v>1456</v>
      </c>
      <c r="AJ2939">
        <v>38.870058</v>
      </c>
      <c r="AK2939" t="s">
        <v>1454</v>
      </c>
      <c r="AL2939">
        <v>-87.609872999999993</v>
      </c>
      <c r="AM2939">
        <v>100</v>
      </c>
      <c r="AN2939">
        <v>2300</v>
      </c>
      <c r="AO2939" t="s">
        <v>118</v>
      </c>
      <c r="AP2939">
        <v>5</v>
      </c>
      <c r="AQ2939">
        <v>-125</v>
      </c>
      <c r="AR2939">
        <v>64</v>
      </c>
      <c r="AZ2939">
        <v>4552</v>
      </c>
      <c r="BA2939">
        <v>1</v>
      </c>
      <c r="BB2939" t="str">
        <f t="shared" si="1123"/>
        <v xml:space="preserve">N607SR  </v>
      </c>
      <c r="BC2939">
        <v>1</v>
      </c>
      <c r="BE2939">
        <v>0</v>
      </c>
      <c r="BF2939">
        <v>0</v>
      </c>
      <c r="BG2939">
        <v>0</v>
      </c>
      <c r="BH2939">
        <v>2100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 t="shared" si="1157"/>
        <v>06:20:30.656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5</v>
      </c>
      <c r="CP2939" t="s">
        <v>119</v>
      </c>
      <c r="CQ2939">
        <v>177</v>
      </c>
      <c r="CR2939">
        <v>2</v>
      </c>
      <c r="CW2939">
        <v>1685868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 t="shared" si="1155"/>
        <v>08/29/2020 06:20:27.469</v>
      </c>
      <c r="C2940" t="str">
        <f t="shared" si="1121"/>
        <v>FFDFD3C0</v>
      </c>
      <c r="D2940" t="s">
        <v>121</v>
      </c>
      <c r="E2940">
        <v>13</v>
      </c>
      <c r="F2940">
        <v>1013</v>
      </c>
      <c r="G2940" t="s">
        <v>122</v>
      </c>
      <c r="J2940" t="s">
        <v>123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156"/>
        <v>06:20:30.648</v>
      </c>
      <c r="T2940" t="str">
        <f>"06:20:30.148"</f>
        <v>06:20:30.148</v>
      </c>
      <c r="U2940" t="str">
        <f t="shared" si="1122"/>
        <v>A7E2E0</v>
      </c>
      <c r="V2940">
        <v>0</v>
      </c>
      <c r="W2940">
        <v>0</v>
      </c>
      <c r="X2940">
        <v>1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0</v>
      </c>
      <c r="AI2940" t="s">
        <v>1456</v>
      </c>
      <c r="AJ2940">
        <v>38.870058</v>
      </c>
      <c r="AK2940" t="s">
        <v>1454</v>
      </c>
      <c r="AL2940">
        <v>-87.609872999999993</v>
      </c>
      <c r="AM2940">
        <v>100</v>
      </c>
      <c r="AN2940">
        <v>2300</v>
      </c>
      <c r="AO2940" t="s">
        <v>118</v>
      </c>
      <c r="AP2940">
        <v>5</v>
      </c>
      <c r="AQ2940">
        <v>-125</v>
      </c>
      <c r="AR2940">
        <v>64</v>
      </c>
      <c r="AZ2940">
        <v>4552</v>
      </c>
      <c r="BA2940">
        <v>1</v>
      </c>
      <c r="BB2940" t="str">
        <f t="shared" si="1123"/>
        <v xml:space="preserve">N607SR  </v>
      </c>
      <c r="BC2940">
        <v>1</v>
      </c>
      <c r="BE2940">
        <v>0</v>
      </c>
      <c r="BF2940">
        <v>0</v>
      </c>
      <c r="BG2940">
        <v>0</v>
      </c>
      <c r="BH2940">
        <v>2100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 t="shared" si="1157"/>
        <v>06:20:30.656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5</v>
      </c>
      <c r="CP2940" t="s">
        <v>119</v>
      </c>
      <c r="CQ2940">
        <v>177</v>
      </c>
      <c r="CR2940">
        <v>2</v>
      </c>
      <c r="CW2940">
        <v>1685868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 t="shared" si="1155"/>
        <v>08/29/2020 06:20:27.469</v>
      </c>
      <c r="C2941" t="str">
        <f t="shared" si="1121"/>
        <v>FFDFD3C0</v>
      </c>
      <c r="D2941" t="s">
        <v>121</v>
      </c>
      <c r="E2941">
        <v>11</v>
      </c>
      <c r="F2941">
        <v>1011</v>
      </c>
      <c r="G2941" t="s">
        <v>125</v>
      </c>
      <c r="J2941" t="s">
        <v>123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156"/>
        <v>06:20:30.648</v>
      </c>
      <c r="T2941" t="str">
        <f>"06:20:30.148"</f>
        <v>06:20:30.148</v>
      </c>
      <c r="U2941" t="str">
        <f t="shared" si="1122"/>
        <v>A7E2E0</v>
      </c>
      <c r="V2941">
        <v>0</v>
      </c>
      <c r="W2941">
        <v>0</v>
      </c>
      <c r="X2941">
        <v>1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0</v>
      </c>
      <c r="AI2941" t="s">
        <v>1456</v>
      </c>
      <c r="AJ2941">
        <v>38.870058</v>
      </c>
      <c r="AK2941" t="s">
        <v>1454</v>
      </c>
      <c r="AL2941">
        <v>-87.609872999999993</v>
      </c>
      <c r="AM2941">
        <v>100</v>
      </c>
      <c r="AN2941">
        <v>2300</v>
      </c>
      <c r="AO2941" t="s">
        <v>118</v>
      </c>
      <c r="AP2941">
        <v>5</v>
      </c>
      <c r="AQ2941">
        <v>-125</v>
      </c>
      <c r="AR2941">
        <v>64</v>
      </c>
      <c r="AZ2941">
        <v>4552</v>
      </c>
      <c r="BA2941">
        <v>1</v>
      </c>
      <c r="BB2941" t="str">
        <f t="shared" si="1123"/>
        <v xml:space="preserve">N607SR  </v>
      </c>
      <c r="BC2941">
        <v>1</v>
      </c>
      <c r="BE2941">
        <v>0</v>
      </c>
      <c r="BF2941">
        <v>0</v>
      </c>
      <c r="BG2941">
        <v>0</v>
      </c>
      <c r="BH2941">
        <v>2100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 t="shared" si="1157"/>
        <v>06:20:30.656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5</v>
      </c>
      <c r="CP2941" t="s">
        <v>119</v>
      </c>
      <c r="CQ2941">
        <v>177</v>
      </c>
      <c r="CR2941">
        <v>2</v>
      </c>
      <c r="CW2941">
        <v>1685868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 t="shared" si="1155"/>
        <v>08/29/2020 06:20:27.469</v>
      </c>
      <c r="C2942" t="str">
        <f t="shared" si="1121"/>
        <v>FFDFD3C0</v>
      </c>
      <c r="D2942" t="s">
        <v>113</v>
      </c>
      <c r="E2942">
        <v>5</v>
      </c>
      <c r="H2942">
        <v>163</v>
      </c>
      <c r="I2942" t="s">
        <v>114</v>
      </c>
      <c r="J2942" t="s">
        <v>115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156"/>
        <v>06:20:30.648</v>
      </c>
      <c r="T2942" t="str">
        <f>"06:20:30.148"</f>
        <v>06:20:30.148</v>
      </c>
      <c r="U2942" t="str">
        <f t="shared" si="1122"/>
        <v>A7E2E0</v>
      </c>
      <c r="V2942">
        <v>0</v>
      </c>
      <c r="W2942">
        <v>0</v>
      </c>
      <c r="X2942">
        <v>1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0</v>
      </c>
      <c r="AI2942" t="s">
        <v>1456</v>
      </c>
      <c r="AJ2942">
        <v>38.870058</v>
      </c>
      <c r="AK2942" t="s">
        <v>1454</v>
      </c>
      <c r="AL2942">
        <v>-87.609872999999993</v>
      </c>
      <c r="AM2942">
        <v>100</v>
      </c>
      <c r="AN2942">
        <v>2300</v>
      </c>
      <c r="AO2942" t="s">
        <v>118</v>
      </c>
      <c r="AP2942">
        <v>5</v>
      </c>
      <c r="AQ2942">
        <v>-125</v>
      </c>
      <c r="AR2942">
        <v>64</v>
      </c>
      <c r="AZ2942">
        <v>4552</v>
      </c>
      <c r="BA2942">
        <v>1</v>
      </c>
      <c r="BB2942" t="str">
        <f t="shared" si="1123"/>
        <v xml:space="preserve">N607SR  </v>
      </c>
      <c r="BC2942">
        <v>1</v>
      </c>
      <c r="BE2942">
        <v>0</v>
      </c>
      <c r="BF2942">
        <v>0</v>
      </c>
      <c r="BG2942">
        <v>0</v>
      </c>
      <c r="BH2942">
        <v>2100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 t="shared" si="1157"/>
        <v>06:20:30.656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5</v>
      </c>
      <c r="CP2942" t="s">
        <v>119</v>
      </c>
      <c r="CQ2942">
        <v>177</v>
      </c>
      <c r="CR2942">
        <v>2</v>
      </c>
      <c r="CW2942">
        <v>1685868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 t="shared" ref="A2943:A2948" si="1158">"08/29/2020 06:20:28.425"</f>
        <v>08/29/2020 06:20:28.425</v>
      </c>
      <c r="C2943" t="str">
        <f t="shared" si="1121"/>
        <v>FFDFD3C0</v>
      </c>
      <c r="D2943" t="s">
        <v>939</v>
      </c>
      <c r="E2943">
        <v>10</v>
      </c>
      <c r="H2943">
        <v>79</v>
      </c>
      <c r="I2943" t="s">
        <v>940</v>
      </c>
      <c r="J2943" t="s">
        <v>130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ref="S2943:S2948" si="1159">"06:20:31.672"</f>
        <v>06:20:31.672</v>
      </c>
      <c r="T2943" t="str">
        <f t="shared" ref="T2943:T2948" si="1160">"06:20:31.272"</f>
        <v>06:20:31.272</v>
      </c>
      <c r="U2943" t="str">
        <f t="shared" si="1122"/>
        <v>A7E2E0</v>
      </c>
      <c r="V2943">
        <v>0</v>
      </c>
      <c r="W2943">
        <v>0</v>
      </c>
      <c r="X2943">
        <v>1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0</v>
      </c>
      <c r="AI2943" t="s">
        <v>1457</v>
      </c>
      <c r="AJ2943">
        <v>38.869478999999998</v>
      </c>
      <c r="AK2943" t="s">
        <v>1458</v>
      </c>
      <c r="AL2943">
        <v>-87.609808000000001</v>
      </c>
      <c r="AM2943">
        <v>100</v>
      </c>
      <c r="AN2943">
        <v>2300</v>
      </c>
      <c r="AO2943" t="s">
        <v>118</v>
      </c>
      <c r="AP2943">
        <v>5</v>
      </c>
      <c r="AQ2943">
        <v>-124</v>
      </c>
      <c r="AR2943">
        <v>0</v>
      </c>
      <c r="AZ2943">
        <v>4552</v>
      </c>
      <c r="BA2943">
        <v>1</v>
      </c>
      <c r="BB2943" t="str">
        <f t="shared" si="1123"/>
        <v xml:space="preserve">N607SR  </v>
      </c>
      <c r="BC2943">
        <v>1</v>
      </c>
      <c r="BE2943">
        <v>0</v>
      </c>
      <c r="BF2943">
        <v>0</v>
      </c>
      <c r="BG2943">
        <v>0</v>
      </c>
      <c r="BH2943">
        <v>2100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 t="shared" ref="BW2943:BW2948" si="1161">"06:20:31.677"</f>
        <v>06:20:31.677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6</v>
      </c>
      <c r="CP2943" t="s">
        <v>119</v>
      </c>
      <c r="CQ2943">
        <v>465</v>
      </c>
      <c r="CR2943">
        <v>0</v>
      </c>
      <c r="CW2943">
        <v>4728543</v>
      </c>
      <c r="CY2943">
        <v>1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 t="shared" si="1158"/>
        <v>08/29/2020 06:20:28.425</v>
      </c>
      <c r="C2944" t="str">
        <f t="shared" si="1121"/>
        <v>FFDFD3C0</v>
      </c>
      <c r="D2944" t="s">
        <v>121</v>
      </c>
      <c r="E2944">
        <v>11</v>
      </c>
      <c r="F2944">
        <v>1011</v>
      </c>
      <c r="G2944" t="s">
        <v>125</v>
      </c>
      <c r="J2944" t="s">
        <v>123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159"/>
        <v>06:20:31.672</v>
      </c>
      <c r="T2944" t="str">
        <f t="shared" si="1160"/>
        <v>06:20:31.272</v>
      </c>
      <c r="U2944" t="str">
        <f t="shared" si="1122"/>
        <v>A7E2E0</v>
      </c>
      <c r="V2944">
        <v>0</v>
      </c>
      <c r="W2944">
        <v>0</v>
      </c>
      <c r="X2944">
        <v>1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0</v>
      </c>
      <c r="AI2944" t="s">
        <v>1457</v>
      </c>
      <c r="AJ2944">
        <v>38.869478999999998</v>
      </c>
      <c r="AK2944" t="s">
        <v>1458</v>
      </c>
      <c r="AL2944">
        <v>-87.609808000000001</v>
      </c>
      <c r="AM2944">
        <v>100</v>
      </c>
      <c r="AN2944">
        <v>2300</v>
      </c>
      <c r="AO2944" t="s">
        <v>118</v>
      </c>
      <c r="AP2944">
        <v>5</v>
      </c>
      <c r="AQ2944">
        <v>-124</v>
      </c>
      <c r="AR2944">
        <v>0</v>
      </c>
      <c r="AZ2944">
        <v>4552</v>
      </c>
      <c r="BA2944">
        <v>1</v>
      </c>
      <c r="BB2944" t="str">
        <f t="shared" si="1123"/>
        <v xml:space="preserve">N607SR  </v>
      </c>
      <c r="BC2944">
        <v>1</v>
      </c>
      <c r="BE2944">
        <v>0</v>
      </c>
      <c r="BF2944">
        <v>0</v>
      </c>
      <c r="BG2944">
        <v>0</v>
      </c>
      <c r="BH2944">
        <v>2100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 t="shared" si="1161"/>
        <v>06:20:31.677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5</v>
      </c>
      <c r="CP2944" t="s">
        <v>119</v>
      </c>
      <c r="CQ2944">
        <v>177</v>
      </c>
      <c r="CR2944">
        <v>2</v>
      </c>
      <c r="CW2944">
        <v>1686056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 t="shared" si="1158"/>
        <v>08/29/2020 06:20:28.425</v>
      </c>
      <c r="C2945" t="str">
        <f t="shared" si="1121"/>
        <v>FFDFD3C0</v>
      </c>
      <c r="D2945" t="s">
        <v>113</v>
      </c>
      <c r="E2945">
        <v>5</v>
      </c>
      <c r="H2945">
        <v>163</v>
      </c>
      <c r="I2945" t="s">
        <v>114</v>
      </c>
      <c r="J2945" t="s">
        <v>115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si="1159"/>
        <v>06:20:31.672</v>
      </c>
      <c r="T2945" t="str">
        <f t="shared" si="1160"/>
        <v>06:20:31.272</v>
      </c>
      <c r="U2945" t="str">
        <f t="shared" si="1122"/>
        <v>A7E2E0</v>
      </c>
      <c r="V2945">
        <v>0</v>
      </c>
      <c r="W2945">
        <v>0</v>
      </c>
      <c r="X2945">
        <v>1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0</v>
      </c>
      <c r="AI2945" t="s">
        <v>1457</v>
      </c>
      <c r="AJ2945">
        <v>38.869478999999998</v>
      </c>
      <c r="AK2945" t="s">
        <v>1458</v>
      </c>
      <c r="AL2945">
        <v>-87.609808000000001</v>
      </c>
      <c r="AM2945">
        <v>100</v>
      </c>
      <c r="AN2945">
        <v>2300</v>
      </c>
      <c r="AO2945" t="s">
        <v>118</v>
      </c>
      <c r="AP2945">
        <v>5</v>
      </c>
      <c r="AQ2945">
        <v>-124</v>
      </c>
      <c r="AR2945">
        <v>0</v>
      </c>
      <c r="AZ2945">
        <v>4552</v>
      </c>
      <c r="BA2945">
        <v>1</v>
      </c>
      <c r="BB2945" t="str">
        <f t="shared" si="1123"/>
        <v xml:space="preserve">N607SR  </v>
      </c>
      <c r="BC2945">
        <v>1</v>
      </c>
      <c r="BE2945">
        <v>0</v>
      </c>
      <c r="BF2945">
        <v>0</v>
      </c>
      <c r="BG2945">
        <v>0</v>
      </c>
      <c r="BH2945">
        <v>2100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 t="shared" si="1161"/>
        <v>06:20:31.677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6</v>
      </c>
      <c r="CP2945" t="s">
        <v>119</v>
      </c>
      <c r="CQ2945">
        <v>465</v>
      </c>
      <c r="CR2945">
        <v>0</v>
      </c>
      <c r="CW2945">
        <v>4728543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 t="shared" si="1158"/>
        <v>08/29/2020 06:20:28.425</v>
      </c>
      <c r="C2946" t="str">
        <f t="shared" ref="C2946:C3009" si="1162">"FFDFD3C0"</f>
        <v>FFDFD3C0</v>
      </c>
      <c r="D2946" t="s">
        <v>128</v>
      </c>
      <c r="E2946">
        <v>5</v>
      </c>
      <c r="H2946">
        <v>241</v>
      </c>
      <c r="I2946" t="s">
        <v>129</v>
      </c>
      <c r="J2946" t="s">
        <v>130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159"/>
        <v>06:20:31.672</v>
      </c>
      <c r="T2946" t="str">
        <f t="shared" si="1160"/>
        <v>06:20:31.272</v>
      </c>
      <c r="U2946" t="str">
        <f t="shared" ref="U2946:U3009" si="1163">"A7E2E0"</f>
        <v>A7E2E0</v>
      </c>
      <c r="V2946">
        <v>0</v>
      </c>
      <c r="W2946">
        <v>0</v>
      </c>
      <c r="X2946">
        <v>1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0</v>
      </c>
      <c r="AI2946" t="s">
        <v>1457</v>
      </c>
      <c r="AJ2946">
        <v>38.869478999999998</v>
      </c>
      <c r="AK2946" t="s">
        <v>1458</v>
      </c>
      <c r="AL2946">
        <v>-87.609808000000001</v>
      </c>
      <c r="AM2946">
        <v>100</v>
      </c>
      <c r="AN2946">
        <v>2300</v>
      </c>
      <c r="AO2946" t="s">
        <v>118</v>
      </c>
      <c r="AP2946">
        <v>5</v>
      </c>
      <c r="AQ2946">
        <v>-124</v>
      </c>
      <c r="AR2946">
        <v>0</v>
      </c>
      <c r="AZ2946">
        <v>4552</v>
      </c>
      <c r="BA2946">
        <v>1</v>
      </c>
      <c r="BB2946" t="str">
        <f t="shared" ref="BB2946:BB3009" si="1164">"N607SR  "</f>
        <v xml:space="preserve">N607SR  </v>
      </c>
      <c r="BC2946">
        <v>1</v>
      </c>
      <c r="BE2946">
        <v>0</v>
      </c>
      <c r="BF2946">
        <v>0</v>
      </c>
      <c r="BG2946">
        <v>0</v>
      </c>
      <c r="BH2946">
        <v>2100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 t="shared" si="1161"/>
        <v>06:20:31.677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6</v>
      </c>
      <c r="CP2946" t="s">
        <v>119</v>
      </c>
      <c r="CQ2946">
        <v>465</v>
      </c>
      <c r="CR2946">
        <v>0</v>
      </c>
      <c r="CW2946">
        <v>4728543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 t="shared" si="1158"/>
        <v>08/29/2020 06:20:28.425</v>
      </c>
      <c r="C2947" t="str">
        <f t="shared" si="1162"/>
        <v>FFDFD3C0</v>
      </c>
      <c r="D2947" t="s">
        <v>121</v>
      </c>
      <c r="E2947">
        <v>10</v>
      </c>
      <c r="F2947">
        <v>1010</v>
      </c>
      <c r="G2947" t="s">
        <v>114</v>
      </c>
      <c r="J2947" t="s">
        <v>123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159"/>
        <v>06:20:31.672</v>
      </c>
      <c r="T2947" t="str">
        <f t="shared" si="1160"/>
        <v>06:20:31.272</v>
      </c>
      <c r="U2947" t="str">
        <f t="shared" si="1163"/>
        <v>A7E2E0</v>
      </c>
      <c r="V2947">
        <v>0</v>
      </c>
      <c r="W2947">
        <v>0</v>
      </c>
      <c r="X2947">
        <v>1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0</v>
      </c>
      <c r="AI2947" t="s">
        <v>1457</v>
      </c>
      <c r="AJ2947">
        <v>38.869478999999998</v>
      </c>
      <c r="AK2947" t="s">
        <v>1458</v>
      </c>
      <c r="AL2947">
        <v>-87.609808000000001</v>
      </c>
      <c r="AM2947">
        <v>100</v>
      </c>
      <c r="AN2947">
        <v>2300</v>
      </c>
      <c r="AO2947" t="s">
        <v>118</v>
      </c>
      <c r="AP2947">
        <v>5</v>
      </c>
      <c r="AQ2947">
        <v>-124</v>
      </c>
      <c r="AR2947">
        <v>0</v>
      </c>
      <c r="AZ2947">
        <v>4552</v>
      </c>
      <c r="BA2947">
        <v>1</v>
      </c>
      <c r="BB2947" t="str">
        <f t="shared" si="1164"/>
        <v xml:space="preserve">N607SR  </v>
      </c>
      <c r="BC2947">
        <v>1</v>
      </c>
      <c r="BE2947">
        <v>0</v>
      </c>
      <c r="BF2947">
        <v>0</v>
      </c>
      <c r="BG2947">
        <v>0</v>
      </c>
      <c r="BH2947">
        <v>2100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 t="shared" si="1161"/>
        <v>06:20:31.677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6</v>
      </c>
      <c r="CP2947" t="s">
        <v>119</v>
      </c>
      <c r="CQ2947">
        <v>465</v>
      </c>
      <c r="CR2947">
        <v>0</v>
      </c>
      <c r="CW2947">
        <v>4728543</v>
      </c>
      <c r="CY2947">
        <v>1</v>
      </c>
      <c r="CZ2947">
        <v>0</v>
      </c>
      <c r="DA2947">
        <v>1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 t="shared" si="1158"/>
        <v>08/29/2020 06:20:28.425</v>
      </c>
      <c r="C2948" t="str">
        <f t="shared" si="1162"/>
        <v>FFDFD3C0</v>
      </c>
      <c r="D2948" t="s">
        <v>121</v>
      </c>
      <c r="E2948">
        <v>13</v>
      </c>
      <c r="F2948">
        <v>1013</v>
      </c>
      <c r="G2948" t="s">
        <v>122</v>
      </c>
      <c r="J2948" t="s">
        <v>123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159"/>
        <v>06:20:31.672</v>
      </c>
      <c r="T2948" t="str">
        <f t="shared" si="1160"/>
        <v>06:20:31.272</v>
      </c>
      <c r="U2948" t="str">
        <f t="shared" si="1163"/>
        <v>A7E2E0</v>
      </c>
      <c r="V2948">
        <v>0</v>
      </c>
      <c r="W2948">
        <v>0</v>
      </c>
      <c r="X2948">
        <v>1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0</v>
      </c>
      <c r="AI2948" t="s">
        <v>1457</v>
      </c>
      <c r="AJ2948">
        <v>38.869478999999998</v>
      </c>
      <c r="AK2948" t="s">
        <v>1458</v>
      </c>
      <c r="AL2948">
        <v>-87.609808000000001</v>
      </c>
      <c r="AM2948">
        <v>100</v>
      </c>
      <c r="AN2948">
        <v>2300</v>
      </c>
      <c r="AO2948" t="s">
        <v>118</v>
      </c>
      <c r="AP2948">
        <v>5</v>
      </c>
      <c r="AQ2948">
        <v>-124</v>
      </c>
      <c r="AR2948">
        <v>0</v>
      </c>
      <c r="AZ2948">
        <v>4552</v>
      </c>
      <c r="BA2948">
        <v>1</v>
      </c>
      <c r="BB2948" t="str">
        <f t="shared" si="1164"/>
        <v xml:space="preserve">N607SR  </v>
      </c>
      <c r="BC2948">
        <v>1</v>
      </c>
      <c r="BE2948">
        <v>0</v>
      </c>
      <c r="BF2948">
        <v>0</v>
      </c>
      <c r="BG2948">
        <v>0</v>
      </c>
      <c r="BH2948">
        <v>2100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 t="shared" si="1161"/>
        <v>06:20:31.677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6</v>
      </c>
      <c r="CP2948" t="s">
        <v>119</v>
      </c>
      <c r="CQ2948">
        <v>465</v>
      </c>
      <c r="CR2948">
        <v>0</v>
      </c>
      <c r="CW2948">
        <v>4728543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 t="shared" ref="A2949:A2954" si="1165">"08/29/2020 06:20:29.482"</f>
        <v>08/29/2020 06:20:29.482</v>
      </c>
      <c r="C2949" t="str">
        <f t="shared" si="1162"/>
        <v>FFDFD3C0</v>
      </c>
      <c r="D2949" t="s">
        <v>939</v>
      </c>
      <c r="E2949">
        <v>10</v>
      </c>
      <c r="H2949">
        <v>79</v>
      </c>
      <c r="I2949" t="s">
        <v>940</v>
      </c>
      <c r="J2949" t="s">
        <v>130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ref="S2949:S2954" si="1166">"06:20:32.688"</f>
        <v>06:20:32.688</v>
      </c>
      <c r="U2949" t="str">
        <f t="shared" si="1163"/>
        <v>A7E2E0</v>
      </c>
      <c r="V2949">
        <v>0</v>
      </c>
      <c r="W2949">
        <v>0</v>
      </c>
      <c r="X2949">
        <v>1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0</v>
      </c>
      <c r="AI2949" t="s">
        <v>1459</v>
      </c>
      <c r="AJ2949">
        <v>38.868878000000002</v>
      </c>
      <c r="AK2949" t="s">
        <v>1458</v>
      </c>
      <c r="AL2949">
        <v>-87.609808000000001</v>
      </c>
      <c r="AM2949">
        <v>100</v>
      </c>
      <c r="AN2949">
        <v>2300</v>
      </c>
      <c r="AO2949" t="s">
        <v>118</v>
      </c>
      <c r="AP2949">
        <v>5</v>
      </c>
      <c r="AQ2949">
        <v>-124</v>
      </c>
      <c r="AR2949">
        <v>-64</v>
      </c>
      <c r="AZ2949">
        <v>4552</v>
      </c>
      <c r="BA2949">
        <v>1</v>
      </c>
      <c r="BB2949" t="str">
        <f t="shared" si="1164"/>
        <v xml:space="preserve">N607SR  </v>
      </c>
      <c r="BC2949">
        <v>1</v>
      </c>
      <c r="BE2949">
        <v>0</v>
      </c>
      <c r="BF2949">
        <v>0</v>
      </c>
      <c r="BG2949">
        <v>0</v>
      </c>
      <c r="BH2949">
        <v>2100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 t="shared" ref="BW2949:BW2954" si="1167">"06:20:32.691"</f>
        <v>06:20:32.691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6</v>
      </c>
      <c r="CP2949" t="s">
        <v>119</v>
      </c>
      <c r="CQ2949">
        <v>465</v>
      </c>
      <c r="CR2949">
        <v>0</v>
      </c>
      <c r="CW2949">
        <v>4728573</v>
      </c>
      <c r="CY2949">
        <v>1</v>
      </c>
      <c r="CZ2949">
        <v>0</v>
      </c>
      <c r="DA2949">
        <v>0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 t="shared" si="1165"/>
        <v>08/29/2020 06:20:29.482</v>
      </c>
      <c r="C2950" t="str">
        <f t="shared" si="1162"/>
        <v>FFDFD3C0</v>
      </c>
      <c r="D2950" t="s">
        <v>121</v>
      </c>
      <c r="E2950">
        <v>13</v>
      </c>
      <c r="F2950">
        <v>1013</v>
      </c>
      <c r="G2950" t="s">
        <v>122</v>
      </c>
      <c r="J2950" t="s">
        <v>123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166"/>
        <v>06:20:32.688</v>
      </c>
      <c r="U2950" t="str">
        <f t="shared" si="1163"/>
        <v>A7E2E0</v>
      </c>
      <c r="V2950">
        <v>0</v>
      </c>
      <c r="W2950">
        <v>0</v>
      </c>
      <c r="X2950">
        <v>1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0</v>
      </c>
      <c r="AI2950" t="s">
        <v>1459</v>
      </c>
      <c r="AJ2950">
        <v>38.868878000000002</v>
      </c>
      <c r="AK2950" t="s">
        <v>1458</v>
      </c>
      <c r="AL2950">
        <v>-87.609808000000001</v>
      </c>
      <c r="AM2950">
        <v>100</v>
      </c>
      <c r="AN2950">
        <v>2300</v>
      </c>
      <c r="AO2950" t="s">
        <v>118</v>
      </c>
      <c r="AP2950">
        <v>5</v>
      </c>
      <c r="AQ2950">
        <v>-124</v>
      </c>
      <c r="AR2950">
        <v>-64</v>
      </c>
      <c r="AZ2950">
        <v>4552</v>
      </c>
      <c r="BA2950">
        <v>1</v>
      </c>
      <c r="BB2950" t="str">
        <f t="shared" si="1164"/>
        <v xml:space="preserve">N607SR  </v>
      </c>
      <c r="BC2950">
        <v>1</v>
      </c>
      <c r="BE2950">
        <v>0</v>
      </c>
      <c r="BF2950">
        <v>0</v>
      </c>
      <c r="BG2950">
        <v>0</v>
      </c>
      <c r="BH2950">
        <v>2100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 t="shared" si="1167"/>
        <v>06:20:32.691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6</v>
      </c>
      <c r="CP2950" t="s">
        <v>119</v>
      </c>
      <c r="CQ2950">
        <v>465</v>
      </c>
      <c r="CR2950">
        <v>0</v>
      </c>
      <c r="CW2950">
        <v>4728573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 t="shared" si="1165"/>
        <v>08/29/2020 06:20:29.482</v>
      </c>
      <c r="C2951" t="str">
        <f t="shared" si="1162"/>
        <v>FFDFD3C0</v>
      </c>
      <c r="D2951" t="s">
        <v>121</v>
      </c>
      <c r="E2951">
        <v>11</v>
      </c>
      <c r="F2951">
        <v>1011</v>
      </c>
      <c r="G2951" t="s">
        <v>125</v>
      </c>
      <c r="J2951" t="s">
        <v>123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166"/>
        <v>06:20:32.688</v>
      </c>
      <c r="T2951" t="str">
        <f>"06:20:32.287"</f>
        <v>06:20:32.287</v>
      </c>
      <c r="U2951" t="str">
        <f t="shared" si="1163"/>
        <v>A7E2E0</v>
      </c>
      <c r="V2951">
        <v>0</v>
      </c>
      <c r="W2951">
        <v>0</v>
      </c>
      <c r="X2951">
        <v>1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0</v>
      </c>
      <c r="AI2951" t="s">
        <v>1459</v>
      </c>
      <c r="AJ2951">
        <v>38.868878000000002</v>
      </c>
      <c r="AK2951" t="s">
        <v>1458</v>
      </c>
      <c r="AL2951">
        <v>-87.609808000000001</v>
      </c>
      <c r="AM2951">
        <v>100</v>
      </c>
      <c r="AN2951">
        <v>2300</v>
      </c>
      <c r="AO2951" t="s">
        <v>118</v>
      </c>
      <c r="AP2951">
        <v>5</v>
      </c>
      <c r="AQ2951">
        <v>-124</v>
      </c>
      <c r="AR2951">
        <v>0</v>
      </c>
      <c r="AZ2951">
        <v>4552</v>
      </c>
      <c r="BA2951">
        <v>1</v>
      </c>
      <c r="BB2951" t="str">
        <f t="shared" si="1164"/>
        <v xml:space="preserve">N607SR  </v>
      </c>
      <c r="BC2951">
        <v>1</v>
      </c>
      <c r="BE2951">
        <v>0</v>
      </c>
      <c r="BF2951">
        <v>0</v>
      </c>
      <c r="BG2951">
        <v>0</v>
      </c>
      <c r="BH2951">
        <v>2100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 t="shared" si="1167"/>
        <v>06:20:32.691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5</v>
      </c>
      <c r="CP2951" t="s">
        <v>119</v>
      </c>
      <c r="CQ2951">
        <v>177</v>
      </c>
      <c r="CR2951">
        <v>2</v>
      </c>
      <c r="CW2951">
        <v>1686216</v>
      </c>
      <c r="CY2951">
        <v>1</v>
      </c>
      <c r="CZ2951">
        <v>0</v>
      </c>
      <c r="DA2951">
        <v>1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 t="shared" si="1165"/>
        <v>08/29/2020 06:20:29.482</v>
      </c>
      <c r="C2952" t="str">
        <f t="shared" si="1162"/>
        <v>FFDFD3C0</v>
      </c>
      <c r="D2952" t="s">
        <v>113</v>
      </c>
      <c r="E2952">
        <v>5</v>
      </c>
      <c r="H2952">
        <v>163</v>
      </c>
      <c r="I2952" t="s">
        <v>114</v>
      </c>
      <c r="J2952" t="s">
        <v>115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1166"/>
        <v>06:20:32.688</v>
      </c>
      <c r="U2952" t="str">
        <f t="shared" si="1163"/>
        <v>A7E2E0</v>
      </c>
      <c r="V2952">
        <v>0</v>
      </c>
      <c r="W2952">
        <v>0</v>
      </c>
      <c r="X2952">
        <v>1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0</v>
      </c>
      <c r="AI2952" t="s">
        <v>1459</v>
      </c>
      <c r="AJ2952">
        <v>38.868878000000002</v>
      </c>
      <c r="AK2952" t="s">
        <v>1458</v>
      </c>
      <c r="AL2952">
        <v>-87.609808000000001</v>
      </c>
      <c r="AM2952">
        <v>100</v>
      </c>
      <c r="AN2952">
        <v>2300</v>
      </c>
      <c r="AO2952" t="s">
        <v>118</v>
      </c>
      <c r="AP2952">
        <v>5</v>
      </c>
      <c r="AQ2952">
        <v>-124</v>
      </c>
      <c r="AR2952">
        <v>-64</v>
      </c>
      <c r="AZ2952">
        <v>4552</v>
      </c>
      <c r="BA2952">
        <v>1</v>
      </c>
      <c r="BB2952" t="str">
        <f t="shared" si="1164"/>
        <v xml:space="preserve">N607SR  </v>
      </c>
      <c r="BC2952">
        <v>1</v>
      </c>
      <c r="BE2952">
        <v>0</v>
      </c>
      <c r="BF2952">
        <v>0</v>
      </c>
      <c r="BG2952">
        <v>0</v>
      </c>
      <c r="BH2952">
        <v>2100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 t="shared" si="1167"/>
        <v>06:20:32.691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6</v>
      </c>
      <c r="CP2952" t="s">
        <v>119</v>
      </c>
      <c r="CQ2952">
        <v>465</v>
      </c>
      <c r="CR2952">
        <v>0</v>
      </c>
      <c r="CW2952">
        <v>4728573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 t="shared" si="1165"/>
        <v>08/29/2020 06:20:29.482</v>
      </c>
      <c r="C2953" t="str">
        <f t="shared" si="1162"/>
        <v>FFDFD3C0</v>
      </c>
      <c r="D2953" t="s">
        <v>121</v>
      </c>
      <c r="E2953">
        <v>10</v>
      </c>
      <c r="F2953">
        <v>1010</v>
      </c>
      <c r="G2953" t="s">
        <v>114</v>
      </c>
      <c r="J2953" t="s">
        <v>123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166"/>
        <v>06:20:32.688</v>
      </c>
      <c r="U2953" t="str">
        <f t="shared" si="1163"/>
        <v>A7E2E0</v>
      </c>
      <c r="V2953">
        <v>0</v>
      </c>
      <c r="W2953">
        <v>0</v>
      </c>
      <c r="X2953">
        <v>1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0</v>
      </c>
      <c r="AI2953" t="s">
        <v>1459</v>
      </c>
      <c r="AJ2953">
        <v>38.868878000000002</v>
      </c>
      <c r="AK2953" t="s">
        <v>1458</v>
      </c>
      <c r="AL2953">
        <v>-87.609808000000001</v>
      </c>
      <c r="AM2953">
        <v>100</v>
      </c>
      <c r="AN2953">
        <v>2300</v>
      </c>
      <c r="AO2953" t="s">
        <v>118</v>
      </c>
      <c r="AP2953">
        <v>5</v>
      </c>
      <c r="AQ2953">
        <v>-124</v>
      </c>
      <c r="AR2953">
        <v>-64</v>
      </c>
      <c r="AZ2953">
        <v>4552</v>
      </c>
      <c r="BA2953">
        <v>1</v>
      </c>
      <c r="BB2953" t="str">
        <f t="shared" si="1164"/>
        <v xml:space="preserve">N607SR  </v>
      </c>
      <c r="BC2953">
        <v>1</v>
      </c>
      <c r="BE2953">
        <v>0</v>
      </c>
      <c r="BF2953">
        <v>0</v>
      </c>
      <c r="BG2953">
        <v>0</v>
      </c>
      <c r="BH2953">
        <v>2100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 t="shared" si="1167"/>
        <v>06:20:32.691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6</v>
      </c>
      <c r="CP2953" t="s">
        <v>119</v>
      </c>
      <c r="CQ2953">
        <v>465</v>
      </c>
      <c r="CR2953">
        <v>0</v>
      </c>
      <c r="CW2953">
        <v>4728573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 t="shared" si="1165"/>
        <v>08/29/2020 06:20:29.482</v>
      </c>
      <c r="C2954" t="str">
        <f t="shared" si="1162"/>
        <v>FFDFD3C0</v>
      </c>
      <c r="D2954" t="s">
        <v>128</v>
      </c>
      <c r="E2954">
        <v>5</v>
      </c>
      <c r="H2954">
        <v>241</v>
      </c>
      <c r="I2954" t="s">
        <v>129</v>
      </c>
      <c r="J2954" t="s">
        <v>130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166"/>
        <v>06:20:32.688</v>
      </c>
      <c r="U2954" t="str">
        <f t="shared" si="1163"/>
        <v>A7E2E0</v>
      </c>
      <c r="V2954">
        <v>0</v>
      </c>
      <c r="W2954">
        <v>0</v>
      </c>
      <c r="X2954">
        <v>1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0</v>
      </c>
      <c r="AI2954" t="s">
        <v>1459</v>
      </c>
      <c r="AJ2954">
        <v>38.868878000000002</v>
      </c>
      <c r="AK2954" t="s">
        <v>1458</v>
      </c>
      <c r="AL2954">
        <v>-87.609808000000001</v>
      </c>
      <c r="AM2954">
        <v>100</v>
      </c>
      <c r="AN2954">
        <v>2300</v>
      </c>
      <c r="AO2954" t="s">
        <v>118</v>
      </c>
      <c r="AP2954">
        <v>5</v>
      </c>
      <c r="AQ2954">
        <v>-124</v>
      </c>
      <c r="AR2954">
        <v>-64</v>
      </c>
      <c r="AZ2954">
        <v>4552</v>
      </c>
      <c r="BA2954">
        <v>1</v>
      </c>
      <c r="BB2954" t="str">
        <f t="shared" si="1164"/>
        <v xml:space="preserve">N607SR  </v>
      </c>
      <c r="BC2954">
        <v>1</v>
      </c>
      <c r="BE2954">
        <v>0</v>
      </c>
      <c r="BF2954">
        <v>0</v>
      </c>
      <c r="BG2954">
        <v>0</v>
      </c>
      <c r="BH2954">
        <v>2100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 t="shared" si="1167"/>
        <v>06:20:32.691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6</v>
      </c>
      <c r="CP2954" t="s">
        <v>119</v>
      </c>
      <c r="CQ2954">
        <v>465</v>
      </c>
      <c r="CR2954">
        <v>0</v>
      </c>
      <c r="CW2954">
        <v>4728573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 t="shared" ref="A2955:A2960" si="1168">"08/29/2020 06:20:30.478"</f>
        <v>08/29/2020 06:20:30.478</v>
      </c>
      <c r="C2955" t="str">
        <f t="shared" si="1162"/>
        <v>FFDFD3C0</v>
      </c>
      <c r="D2955" t="s">
        <v>121</v>
      </c>
      <c r="E2955">
        <v>10</v>
      </c>
      <c r="F2955">
        <v>1010</v>
      </c>
      <c r="G2955" t="s">
        <v>114</v>
      </c>
      <c r="J2955" t="s">
        <v>123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ref="S2955:S2960" si="1169">"06:20:33.672"</f>
        <v>06:20:33.672</v>
      </c>
      <c r="T2955" t="str">
        <f t="shared" ref="T2955:T2960" si="1170">"06:20:33.272"</f>
        <v>06:20:33.272</v>
      </c>
      <c r="U2955" t="str">
        <f t="shared" si="1163"/>
        <v>A7E2E0</v>
      </c>
      <c r="V2955">
        <v>0</v>
      </c>
      <c r="W2955">
        <v>0</v>
      </c>
      <c r="X2955">
        <v>1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0</v>
      </c>
      <c r="AI2955" t="s">
        <v>1460</v>
      </c>
      <c r="AJ2955">
        <v>38.868319999999997</v>
      </c>
      <c r="AK2955" t="s">
        <v>1461</v>
      </c>
      <c r="AL2955">
        <v>-87.609744000000006</v>
      </c>
      <c r="AM2955">
        <v>100</v>
      </c>
      <c r="AN2955">
        <v>2300</v>
      </c>
      <c r="AO2955" t="s">
        <v>118</v>
      </c>
      <c r="AP2955">
        <v>5</v>
      </c>
      <c r="AQ2955">
        <v>-124</v>
      </c>
      <c r="AR2955">
        <v>-64</v>
      </c>
      <c r="AZ2955">
        <v>4552</v>
      </c>
      <c r="BA2955">
        <v>1</v>
      </c>
      <c r="BB2955" t="str">
        <f t="shared" si="1164"/>
        <v xml:space="preserve">N607SR  </v>
      </c>
      <c r="BC2955">
        <v>1</v>
      </c>
      <c r="BE2955">
        <v>0</v>
      </c>
      <c r="BF2955">
        <v>0</v>
      </c>
      <c r="BG2955">
        <v>0</v>
      </c>
      <c r="BH2955">
        <v>2100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 t="shared" ref="BW2955:BW2960" si="1171">"06:20:33.676"</f>
        <v>06:20:33.676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6</v>
      </c>
      <c r="CP2955" t="s">
        <v>119</v>
      </c>
      <c r="CQ2955">
        <v>465</v>
      </c>
      <c r="CR2955">
        <v>0</v>
      </c>
      <c r="CW2955">
        <v>4728603</v>
      </c>
      <c r="CY2955">
        <v>1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 t="shared" si="1168"/>
        <v>08/29/2020 06:20:30.478</v>
      </c>
      <c r="C2956" t="str">
        <f t="shared" si="1162"/>
        <v>FFDFD3C0</v>
      </c>
      <c r="D2956" t="s">
        <v>121</v>
      </c>
      <c r="E2956">
        <v>11</v>
      </c>
      <c r="F2956">
        <v>1011</v>
      </c>
      <c r="G2956" t="s">
        <v>125</v>
      </c>
      <c r="J2956" t="s">
        <v>123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169"/>
        <v>06:20:33.672</v>
      </c>
      <c r="T2956" t="str">
        <f t="shared" si="1170"/>
        <v>06:20:33.272</v>
      </c>
      <c r="U2956" t="str">
        <f t="shared" si="1163"/>
        <v>A7E2E0</v>
      </c>
      <c r="V2956">
        <v>0</v>
      </c>
      <c r="W2956">
        <v>0</v>
      </c>
      <c r="X2956">
        <v>1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0</v>
      </c>
      <c r="AI2956" t="s">
        <v>1460</v>
      </c>
      <c r="AJ2956">
        <v>38.868319999999997</v>
      </c>
      <c r="AK2956" t="s">
        <v>1461</v>
      </c>
      <c r="AL2956">
        <v>-87.609744000000006</v>
      </c>
      <c r="AM2956">
        <v>100</v>
      </c>
      <c r="AN2956">
        <v>2300</v>
      </c>
      <c r="AO2956" t="s">
        <v>118</v>
      </c>
      <c r="AP2956">
        <v>5</v>
      </c>
      <c r="AQ2956">
        <v>-124</v>
      </c>
      <c r="AR2956">
        <v>-64</v>
      </c>
      <c r="AZ2956">
        <v>4552</v>
      </c>
      <c r="BA2956">
        <v>1</v>
      </c>
      <c r="BB2956" t="str">
        <f t="shared" si="1164"/>
        <v xml:space="preserve">N607SR  </v>
      </c>
      <c r="BC2956">
        <v>1</v>
      </c>
      <c r="BE2956">
        <v>0</v>
      </c>
      <c r="BF2956">
        <v>0</v>
      </c>
      <c r="BG2956">
        <v>0</v>
      </c>
      <c r="BH2956">
        <v>2100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 t="shared" si="1171"/>
        <v>06:20:33.676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5</v>
      </c>
      <c r="CP2956" t="s">
        <v>119</v>
      </c>
      <c r="CQ2956">
        <v>177</v>
      </c>
      <c r="CR2956">
        <v>2</v>
      </c>
      <c r="CW2956">
        <v>1686371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 t="shared" si="1168"/>
        <v>08/29/2020 06:20:30.478</v>
      </c>
      <c r="C2957" t="str">
        <f t="shared" si="1162"/>
        <v>FFDFD3C0</v>
      </c>
      <c r="D2957" t="s">
        <v>113</v>
      </c>
      <c r="E2957">
        <v>5</v>
      </c>
      <c r="H2957">
        <v>163</v>
      </c>
      <c r="I2957" t="s">
        <v>114</v>
      </c>
      <c r="J2957" t="s">
        <v>115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169"/>
        <v>06:20:33.672</v>
      </c>
      <c r="T2957" t="str">
        <f t="shared" si="1170"/>
        <v>06:20:33.272</v>
      </c>
      <c r="U2957" t="str">
        <f t="shared" si="1163"/>
        <v>A7E2E0</v>
      </c>
      <c r="V2957">
        <v>0</v>
      </c>
      <c r="W2957">
        <v>0</v>
      </c>
      <c r="X2957">
        <v>1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0</v>
      </c>
      <c r="AI2957" t="s">
        <v>1460</v>
      </c>
      <c r="AJ2957">
        <v>38.868319999999997</v>
      </c>
      <c r="AK2957" t="s">
        <v>1461</v>
      </c>
      <c r="AL2957">
        <v>-87.609744000000006</v>
      </c>
      <c r="AM2957">
        <v>100</v>
      </c>
      <c r="AN2957">
        <v>2300</v>
      </c>
      <c r="AO2957" t="s">
        <v>118</v>
      </c>
      <c r="AP2957">
        <v>5</v>
      </c>
      <c r="AQ2957">
        <v>-124</v>
      </c>
      <c r="AR2957">
        <v>-64</v>
      </c>
      <c r="AZ2957">
        <v>4552</v>
      </c>
      <c r="BA2957">
        <v>1</v>
      </c>
      <c r="BB2957" t="str">
        <f t="shared" si="1164"/>
        <v xml:space="preserve">N607SR  </v>
      </c>
      <c r="BC2957">
        <v>1</v>
      </c>
      <c r="BE2957">
        <v>0</v>
      </c>
      <c r="BF2957">
        <v>0</v>
      </c>
      <c r="BG2957">
        <v>0</v>
      </c>
      <c r="BH2957">
        <v>2100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 t="shared" si="1171"/>
        <v>06:20:33.676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6</v>
      </c>
      <c r="CP2957" t="s">
        <v>119</v>
      </c>
      <c r="CQ2957">
        <v>465</v>
      </c>
      <c r="CR2957">
        <v>0</v>
      </c>
      <c r="CW2957">
        <v>4728603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 t="shared" si="1168"/>
        <v>08/29/2020 06:20:30.478</v>
      </c>
      <c r="C2958" t="str">
        <f t="shared" si="1162"/>
        <v>FFDFD3C0</v>
      </c>
      <c r="D2958" t="s">
        <v>128</v>
      </c>
      <c r="E2958">
        <v>5</v>
      </c>
      <c r="H2958">
        <v>241</v>
      </c>
      <c r="I2958" t="s">
        <v>129</v>
      </c>
      <c r="J2958" t="s">
        <v>130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169"/>
        <v>06:20:33.672</v>
      </c>
      <c r="T2958" t="str">
        <f t="shared" si="1170"/>
        <v>06:20:33.272</v>
      </c>
      <c r="U2958" t="str">
        <f t="shared" si="1163"/>
        <v>A7E2E0</v>
      </c>
      <c r="V2958">
        <v>0</v>
      </c>
      <c r="W2958">
        <v>0</v>
      </c>
      <c r="X2958">
        <v>1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0</v>
      </c>
      <c r="AI2958" t="s">
        <v>1460</v>
      </c>
      <c r="AJ2958">
        <v>38.868319999999997</v>
      </c>
      <c r="AK2958" t="s">
        <v>1461</v>
      </c>
      <c r="AL2958">
        <v>-87.609744000000006</v>
      </c>
      <c r="AM2958">
        <v>100</v>
      </c>
      <c r="AN2958">
        <v>2300</v>
      </c>
      <c r="AO2958" t="s">
        <v>118</v>
      </c>
      <c r="AP2958">
        <v>5</v>
      </c>
      <c r="AQ2958">
        <v>-124</v>
      </c>
      <c r="AR2958">
        <v>-64</v>
      </c>
      <c r="AZ2958">
        <v>4552</v>
      </c>
      <c r="BA2958">
        <v>1</v>
      </c>
      <c r="BB2958" t="str">
        <f t="shared" si="1164"/>
        <v xml:space="preserve">N607SR  </v>
      </c>
      <c r="BC2958">
        <v>1</v>
      </c>
      <c r="BE2958">
        <v>0</v>
      </c>
      <c r="BF2958">
        <v>0</v>
      </c>
      <c r="BG2958">
        <v>0</v>
      </c>
      <c r="BH2958">
        <v>2100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 t="shared" si="1171"/>
        <v>06:20:33.676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6</v>
      </c>
      <c r="CP2958" t="s">
        <v>119</v>
      </c>
      <c r="CQ2958">
        <v>465</v>
      </c>
      <c r="CR2958">
        <v>0</v>
      </c>
      <c r="CW2958">
        <v>4728603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 t="shared" si="1168"/>
        <v>08/29/2020 06:20:30.478</v>
      </c>
      <c r="C2959" t="str">
        <f t="shared" si="1162"/>
        <v>FFDFD3C0</v>
      </c>
      <c r="D2959" t="s">
        <v>939</v>
      </c>
      <c r="E2959">
        <v>10</v>
      </c>
      <c r="H2959">
        <v>79</v>
      </c>
      <c r="I2959" t="s">
        <v>940</v>
      </c>
      <c r="J2959" t="s">
        <v>130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si="1169"/>
        <v>06:20:33.672</v>
      </c>
      <c r="T2959" t="str">
        <f t="shared" si="1170"/>
        <v>06:20:33.272</v>
      </c>
      <c r="U2959" t="str">
        <f t="shared" si="1163"/>
        <v>A7E2E0</v>
      </c>
      <c r="V2959">
        <v>0</v>
      </c>
      <c r="W2959">
        <v>0</v>
      </c>
      <c r="X2959">
        <v>1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0</v>
      </c>
      <c r="AI2959" t="s">
        <v>1460</v>
      </c>
      <c r="AJ2959">
        <v>38.868319999999997</v>
      </c>
      <c r="AK2959" t="s">
        <v>1461</v>
      </c>
      <c r="AL2959">
        <v>-87.609744000000006</v>
      </c>
      <c r="AM2959">
        <v>100</v>
      </c>
      <c r="AN2959">
        <v>2300</v>
      </c>
      <c r="AO2959" t="s">
        <v>118</v>
      </c>
      <c r="AP2959">
        <v>5</v>
      </c>
      <c r="AQ2959">
        <v>-124</v>
      </c>
      <c r="AR2959">
        <v>-64</v>
      </c>
      <c r="AZ2959">
        <v>4552</v>
      </c>
      <c r="BA2959">
        <v>1</v>
      </c>
      <c r="BB2959" t="str">
        <f t="shared" si="1164"/>
        <v xml:space="preserve">N607SR  </v>
      </c>
      <c r="BC2959">
        <v>1</v>
      </c>
      <c r="BE2959">
        <v>0</v>
      </c>
      <c r="BF2959">
        <v>0</v>
      </c>
      <c r="BG2959">
        <v>0</v>
      </c>
      <c r="BH2959">
        <v>2100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 t="shared" si="1171"/>
        <v>06:20:33.676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6</v>
      </c>
      <c r="CP2959" t="s">
        <v>119</v>
      </c>
      <c r="CQ2959">
        <v>465</v>
      </c>
      <c r="CR2959">
        <v>0</v>
      </c>
      <c r="CW2959">
        <v>4728603</v>
      </c>
      <c r="CY2959">
        <v>1</v>
      </c>
      <c r="CZ2959">
        <v>0</v>
      </c>
      <c r="DA2959">
        <v>1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 t="shared" si="1168"/>
        <v>08/29/2020 06:20:30.478</v>
      </c>
      <c r="C2960" t="str">
        <f t="shared" si="1162"/>
        <v>FFDFD3C0</v>
      </c>
      <c r="D2960" t="s">
        <v>121</v>
      </c>
      <c r="E2960">
        <v>13</v>
      </c>
      <c r="F2960">
        <v>1013</v>
      </c>
      <c r="G2960" t="s">
        <v>122</v>
      </c>
      <c r="J2960" t="s">
        <v>123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169"/>
        <v>06:20:33.672</v>
      </c>
      <c r="T2960" t="str">
        <f t="shared" si="1170"/>
        <v>06:20:33.272</v>
      </c>
      <c r="U2960" t="str">
        <f t="shared" si="1163"/>
        <v>A7E2E0</v>
      </c>
      <c r="V2960">
        <v>0</v>
      </c>
      <c r="W2960">
        <v>0</v>
      </c>
      <c r="X2960">
        <v>1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0</v>
      </c>
      <c r="AI2960" t="s">
        <v>1460</v>
      </c>
      <c r="AJ2960">
        <v>38.868319999999997</v>
      </c>
      <c r="AK2960" t="s">
        <v>1461</v>
      </c>
      <c r="AL2960">
        <v>-87.609744000000006</v>
      </c>
      <c r="AM2960">
        <v>100</v>
      </c>
      <c r="AN2960">
        <v>2300</v>
      </c>
      <c r="AO2960" t="s">
        <v>118</v>
      </c>
      <c r="AP2960">
        <v>5</v>
      </c>
      <c r="AQ2960">
        <v>-124</v>
      </c>
      <c r="AR2960">
        <v>-64</v>
      </c>
      <c r="AZ2960">
        <v>4552</v>
      </c>
      <c r="BA2960">
        <v>1</v>
      </c>
      <c r="BB2960" t="str">
        <f t="shared" si="1164"/>
        <v xml:space="preserve">N607SR  </v>
      </c>
      <c r="BC2960">
        <v>1</v>
      </c>
      <c r="BE2960">
        <v>0</v>
      </c>
      <c r="BF2960">
        <v>0</v>
      </c>
      <c r="BG2960">
        <v>0</v>
      </c>
      <c r="BH2960">
        <v>2100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 t="shared" si="1171"/>
        <v>06:20:33.676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6</v>
      </c>
      <c r="CP2960" t="s">
        <v>119</v>
      </c>
      <c r="CQ2960">
        <v>465</v>
      </c>
      <c r="CR2960">
        <v>0</v>
      </c>
      <c r="CW2960">
        <v>4728603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 t="shared" ref="A2961:A2966" si="1172">"08/29/2020 06:20:31.339"</f>
        <v>08/29/2020 06:20:31.339</v>
      </c>
      <c r="C2961" t="str">
        <f t="shared" si="1162"/>
        <v>FFDFD3C0</v>
      </c>
      <c r="D2961" t="s">
        <v>121</v>
      </c>
      <c r="E2961">
        <v>10</v>
      </c>
      <c r="F2961">
        <v>1010</v>
      </c>
      <c r="G2961" t="s">
        <v>114</v>
      </c>
      <c r="J2961" t="s">
        <v>123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ref="S2961:S2966" si="1173">"06:20:34.547"</f>
        <v>06:20:34.547</v>
      </c>
      <c r="T2961" t="str">
        <f t="shared" ref="T2961:T2966" si="1174">"06:20:34.147"</f>
        <v>06:20:34.147</v>
      </c>
      <c r="U2961" t="str">
        <f t="shared" si="1163"/>
        <v>A7E2E0</v>
      </c>
      <c r="V2961">
        <v>0</v>
      </c>
      <c r="W2961">
        <v>0</v>
      </c>
      <c r="X2961">
        <v>1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0</v>
      </c>
      <c r="AI2961" t="s">
        <v>1462</v>
      </c>
      <c r="AJ2961">
        <v>38.867804999999997</v>
      </c>
      <c r="AK2961" t="s">
        <v>1463</v>
      </c>
      <c r="AL2961">
        <v>-87.609701000000001</v>
      </c>
      <c r="AM2961">
        <v>100</v>
      </c>
      <c r="AN2961">
        <v>2300</v>
      </c>
      <c r="AO2961" t="s">
        <v>118</v>
      </c>
      <c r="AP2961">
        <v>6</v>
      </c>
      <c r="AQ2961">
        <v>-124</v>
      </c>
      <c r="AR2961">
        <v>-128</v>
      </c>
      <c r="AZ2961">
        <v>4552</v>
      </c>
      <c r="BA2961">
        <v>1</v>
      </c>
      <c r="BB2961" t="str">
        <f t="shared" si="1164"/>
        <v xml:space="preserve">N607SR  </v>
      </c>
      <c r="BC2961">
        <v>1</v>
      </c>
      <c r="BE2961">
        <v>0</v>
      </c>
      <c r="BF2961">
        <v>0</v>
      </c>
      <c r="BG2961">
        <v>0</v>
      </c>
      <c r="BH2961">
        <v>2100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 t="shared" ref="BW2961:BW2966" si="1175">"06:20:34.549"</f>
        <v>06:20:34.549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465</v>
      </c>
      <c r="CR2961">
        <v>0</v>
      </c>
      <c r="CW2961">
        <v>4728629</v>
      </c>
      <c r="CY2961">
        <v>1</v>
      </c>
      <c r="CZ2961">
        <v>0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 t="shared" si="1172"/>
        <v>08/29/2020 06:20:31.339</v>
      </c>
      <c r="C2962" t="str">
        <f t="shared" si="1162"/>
        <v>FFDFD3C0</v>
      </c>
      <c r="D2962" t="s">
        <v>113</v>
      </c>
      <c r="E2962">
        <v>5</v>
      </c>
      <c r="H2962">
        <v>163</v>
      </c>
      <c r="I2962" t="s">
        <v>114</v>
      </c>
      <c r="J2962" t="s">
        <v>115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173"/>
        <v>06:20:34.547</v>
      </c>
      <c r="T2962" t="str">
        <f t="shared" si="1174"/>
        <v>06:20:34.147</v>
      </c>
      <c r="U2962" t="str">
        <f t="shared" si="1163"/>
        <v>A7E2E0</v>
      </c>
      <c r="V2962">
        <v>0</v>
      </c>
      <c r="W2962">
        <v>0</v>
      </c>
      <c r="X2962">
        <v>1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0</v>
      </c>
      <c r="AI2962" t="s">
        <v>1462</v>
      </c>
      <c r="AJ2962">
        <v>38.867804999999997</v>
      </c>
      <c r="AK2962" t="s">
        <v>1463</v>
      </c>
      <c r="AL2962">
        <v>-87.609701000000001</v>
      </c>
      <c r="AM2962">
        <v>100</v>
      </c>
      <c r="AN2962">
        <v>2300</v>
      </c>
      <c r="AO2962" t="s">
        <v>118</v>
      </c>
      <c r="AP2962">
        <v>6</v>
      </c>
      <c r="AQ2962">
        <v>-124</v>
      </c>
      <c r="AR2962">
        <v>-128</v>
      </c>
      <c r="AZ2962">
        <v>4552</v>
      </c>
      <c r="BA2962">
        <v>1</v>
      </c>
      <c r="BB2962" t="str">
        <f t="shared" si="1164"/>
        <v xml:space="preserve">N607SR  </v>
      </c>
      <c r="BC2962">
        <v>1</v>
      </c>
      <c r="BE2962">
        <v>0</v>
      </c>
      <c r="BF2962">
        <v>0</v>
      </c>
      <c r="BG2962">
        <v>0</v>
      </c>
      <c r="BH2962">
        <v>2100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 t="shared" si="1175"/>
        <v>06:20:34.549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465</v>
      </c>
      <c r="CR2962">
        <v>0</v>
      </c>
      <c r="CW2962">
        <v>4728629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 t="shared" si="1172"/>
        <v>08/29/2020 06:20:31.339</v>
      </c>
      <c r="C2963" t="str">
        <f t="shared" si="1162"/>
        <v>FFDFD3C0</v>
      </c>
      <c r="D2963" t="s">
        <v>128</v>
      </c>
      <c r="E2963">
        <v>5</v>
      </c>
      <c r="H2963">
        <v>241</v>
      </c>
      <c r="I2963" t="s">
        <v>129</v>
      </c>
      <c r="J2963" t="s">
        <v>130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173"/>
        <v>06:20:34.547</v>
      </c>
      <c r="T2963" t="str">
        <f t="shared" si="1174"/>
        <v>06:20:34.147</v>
      </c>
      <c r="U2963" t="str">
        <f t="shared" si="1163"/>
        <v>A7E2E0</v>
      </c>
      <c r="V2963">
        <v>0</v>
      </c>
      <c r="W2963">
        <v>0</v>
      </c>
      <c r="X2963">
        <v>1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0</v>
      </c>
      <c r="AI2963" t="s">
        <v>1462</v>
      </c>
      <c r="AJ2963">
        <v>38.867804999999997</v>
      </c>
      <c r="AK2963" t="s">
        <v>1463</v>
      </c>
      <c r="AL2963">
        <v>-87.609701000000001</v>
      </c>
      <c r="AM2963">
        <v>100</v>
      </c>
      <c r="AN2963">
        <v>2300</v>
      </c>
      <c r="AO2963" t="s">
        <v>118</v>
      </c>
      <c r="AP2963">
        <v>6</v>
      </c>
      <c r="AQ2963">
        <v>-124</v>
      </c>
      <c r="AR2963">
        <v>-128</v>
      </c>
      <c r="AZ2963">
        <v>4552</v>
      </c>
      <c r="BA2963">
        <v>1</v>
      </c>
      <c r="BB2963" t="str">
        <f t="shared" si="1164"/>
        <v xml:space="preserve">N607SR  </v>
      </c>
      <c r="BC2963">
        <v>1</v>
      </c>
      <c r="BE2963">
        <v>0</v>
      </c>
      <c r="BF2963">
        <v>0</v>
      </c>
      <c r="BG2963">
        <v>0</v>
      </c>
      <c r="BH2963">
        <v>2100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 t="shared" si="1175"/>
        <v>06:20:34.549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119</v>
      </c>
      <c r="CQ2963">
        <v>465</v>
      </c>
      <c r="CR2963">
        <v>0</v>
      </c>
      <c r="CW2963">
        <v>4728629</v>
      </c>
      <c r="CY2963">
        <v>1</v>
      </c>
      <c r="CZ2963">
        <v>0</v>
      </c>
      <c r="DA2963">
        <v>1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 t="shared" si="1172"/>
        <v>08/29/2020 06:20:31.339</v>
      </c>
      <c r="C2964" t="str">
        <f t="shared" si="1162"/>
        <v>FFDFD3C0</v>
      </c>
      <c r="D2964" t="s">
        <v>939</v>
      </c>
      <c r="E2964">
        <v>10</v>
      </c>
      <c r="H2964">
        <v>79</v>
      </c>
      <c r="I2964" t="s">
        <v>940</v>
      </c>
      <c r="J2964" t="s">
        <v>130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173"/>
        <v>06:20:34.547</v>
      </c>
      <c r="T2964" t="str">
        <f t="shared" si="1174"/>
        <v>06:20:34.147</v>
      </c>
      <c r="U2964" t="str">
        <f t="shared" si="1163"/>
        <v>A7E2E0</v>
      </c>
      <c r="V2964">
        <v>0</v>
      </c>
      <c r="W2964">
        <v>0</v>
      </c>
      <c r="X2964">
        <v>1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0</v>
      </c>
      <c r="AI2964" t="s">
        <v>1462</v>
      </c>
      <c r="AJ2964">
        <v>38.867804999999997</v>
      </c>
      <c r="AK2964" t="s">
        <v>1463</v>
      </c>
      <c r="AL2964">
        <v>-87.609701000000001</v>
      </c>
      <c r="AM2964">
        <v>100</v>
      </c>
      <c r="AN2964">
        <v>2300</v>
      </c>
      <c r="AO2964" t="s">
        <v>118</v>
      </c>
      <c r="AP2964">
        <v>6</v>
      </c>
      <c r="AQ2964">
        <v>-124</v>
      </c>
      <c r="AR2964">
        <v>-128</v>
      </c>
      <c r="AZ2964">
        <v>4552</v>
      </c>
      <c r="BA2964">
        <v>1</v>
      </c>
      <c r="BB2964" t="str">
        <f t="shared" si="1164"/>
        <v xml:space="preserve">N607SR  </v>
      </c>
      <c r="BC2964">
        <v>1</v>
      </c>
      <c r="BE2964">
        <v>0</v>
      </c>
      <c r="BF2964">
        <v>0</v>
      </c>
      <c r="BG2964">
        <v>0</v>
      </c>
      <c r="BH2964">
        <v>2100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 t="shared" si="1175"/>
        <v>06:20:34.549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119</v>
      </c>
      <c r="CQ2964">
        <v>465</v>
      </c>
      <c r="CR2964">
        <v>0</v>
      </c>
      <c r="CW2964">
        <v>4728629</v>
      </c>
      <c r="CY2964">
        <v>1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 t="shared" si="1172"/>
        <v>08/29/2020 06:20:31.339</v>
      </c>
      <c r="C2965" t="str">
        <f t="shared" si="1162"/>
        <v>FFDFD3C0</v>
      </c>
      <c r="D2965" t="s">
        <v>121</v>
      </c>
      <c r="E2965">
        <v>13</v>
      </c>
      <c r="F2965">
        <v>1013</v>
      </c>
      <c r="G2965" t="s">
        <v>122</v>
      </c>
      <c r="J2965" t="s">
        <v>123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173"/>
        <v>06:20:34.547</v>
      </c>
      <c r="T2965" t="str">
        <f t="shared" si="1174"/>
        <v>06:20:34.147</v>
      </c>
      <c r="U2965" t="str">
        <f t="shared" si="1163"/>
        <v>A7E2E0</v>
      </c>
      <c r="V2965">
        <v>0</v>
      </c>
      <c r="W2965">
        <v>0</v>
      </c>
      <c r="X2965">
        <v>1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0</v>
      </c>
      <c r="AI2965" t="s">
        <v>1462</v>
      </c>
      <c r="AJ2965">
        <v>38.867804999999997</v>
      </c>
      <c r="AK2965" t="s">
        <v>1463</v>
      </c>
      <c r="AL2965">
        <v>-87.609701000000001</v>
      </c>
      <c r="AM2965">
        <v>100</v>
      </c>
      <c r="AN2965">
        <v>2300</v>
      </c>
      <c r="AO2965" t="s">
        <v>118</v>
      </c>
      <c r="AP2965">
        <v>6</v>
      </c>
      <c r="AQ2965">
        <v>-124</v>
      </c>
      <c r="AR2965">
        <v>-128</v>
      </c>
      <c r="AZ2965">
        <v>4552</v>
      </c>
      <c r="BA2965">
        <v>1</v>
      </c>
      <c r="BB2965" t="str">
        <f t="shared" si="1164"/>
        <v xml:space="preserve">N607SR  </v>
      </c>
      <c r="BC2965">
        <v>1</v>
      </c>
      <c r="BE2965">
        <v>0</v>
      </c>
      <c r="BF2965">
        <v>0</v>
      </c>
      <c r="BG2965">
        <v>0</v>
      </c>
      <c r="BH2965">
        <v>2100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 t="shared" si="1175"/>
        <v>06:20:34.549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119</v>
      </c>
      <c r="CQ2965">
        <v>465</v>
      </c>
      <c r="CR2965">
        <v>0</v>
      </c>
      <c r="CW2965">
        <v>4728629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 t="shared" si="1172"/>
        <v>08/29/2020 06:20:31.339</v>
      </c>
      <c r="C2966" t="str">
        <f t="shared" si="1162"/>
        <v>FFDFD3C0</v>
      </c>
      <c r="D2966" t="s">
        <v>121</v>
      </c>
      <c r="E2966">
        <v>11</v>
      </c>
      <c r="F2966">
        <v>1011</v>
      </c>
      <c r="G2966" t="s">
        <v>125</v>
      </c>
      <c r="J2966" t="s">
        <v>123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si="1173"/>
        <v>06:20:34.547</v>
      </c>
      <c r="T2966" t="str">
        <f t="shared" si="1174"/>
        <v>06:20:34.147</v>
      </c>
      <c r="U2966" t="str">
        <f t="shared" si="1163"/>
        <v>A7E2E0</v>
      </c>
      <c r="V2966">
        <v>0</v>
      </c>
      <c r="W2966">
        <v>0</v>
      </c>
      <c r="X2966">
        <v>1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0</v>
      </c>
      <c r="AI2966" t="s">
        <v>1462</v>
      </c>
      <c r="AJ2966">
        <v>38.867804999999997</v>
      </c>
      <c r="AK2966" t="s">
        <v>1463</v>
      </c>
      <c r="AL2966">
        <v>-87.609701000000001</v>
      </c>
      <c r="AM2966">
        <v>100</v>
      </c>
      <c r="AN2966">
        <v>2300</v>
      </c>
      <c r="AO2966" t="s">
        <v>118</v>
      </c>
      <c r="AP2966">
        <v>6</v>
      </c>
      <c r="AQ2966">
        <v>-124</v>
      </c>
      <c r="AR2966">
        <v>-128</v>
      </c>
      <c r="AZ2966">
        <v>4552</v>
      </c>
      <c r="BA2966">
        <v>1</v>
      </c>
      <c r="BB2966" t="str">
        <f t="shared" si="1164"/>
        <v xml:space="preserve">N607SR  </v>
      </c>
      <c r="BC2966">
        <v>1</v>
      </c>
      <c r="BE2966">
        <v>0</v>
      </c>
      <c r="BF2966">
        <v>0</v>
      </c>
      <c r="BG2966">
        <v>0</v>
      </c>
      <c r="BH2966">
        <v>2100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 t="shared" si="1175"/>
        <v>06:20:34.549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5</v>
      </c>
      <c r="CP2966" t="s">
        <v>119</v>
      </c>
      <c r="CQ2966">
        <v>177</v>
      </c>
      <c r="CR2966">
        <v>2</v>
      </c>
      <c r="CW2966">
        <v>1686524</v>
      </c>
      <c r="CY2966">
        <v>1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 t="shared" ref="A2967:A2972" si="1176">"08/29/2020 06:20:32.400"</f>
        <v>08/29/2020 06:20:32.400</v>
      </c>
      <c r="C2967" t="str">
        <f t="shared" si="1162"/>
        <v>FFDFD3C0</v>
      </c>
      <c r="D2967" t="s">
        <v>121</v>
      </c>
      <c r="E2967">
        <v>10</v>
      </c>
      <c r="F2967">
        <v>1010</v>
      </c>
      <c r="G2967" t="s">
        <v>114</v>
      </c>
      <c r="J2967" t="s">
        <v>123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ref="S2967:S2972" si="1177">"06:20:35.609"</f>
        <v>06:20:35.609</v>
      </c>
      <c r="T2967" t="str">
        <f t="shared" ref="T2967:T2972" si="1178">"06:20:35.109"</f>
        <v>06:20:35.109</v>
      </c>
      <c r="U2967" t="str">
        <f t="shared" si="1163"/>
        <v>A7E2E0</v>
      </c>
      <c r="V2967">
        <v>0</v>
      </c>
      <c r="W2967">
        <v>0</v>
      </c>
      <c r="X2967">
        <v>1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0</v>
      </c>
      <c r="AI2967" t="s">
        <v>1464</v>
      </c>
      <c r="AJ2967">
        <v>38.867161000000003</v>
      </c>
      <c r="AK2967" t="s">
        <v>1465</v>
      </c>
      <c r="AL2967">
        <v>-87.609679999999997</v>
      </c>
      <c r="AM2967">
        <v>100</v>
      </c>
      <c r="AN2967">
        <v>2300</v>
      </c>
      <c r="AO2967" t="s">
        <v>118</v>
      </c>
      <c r="AP2967">
        <v>6</v>
      </c>
      <c r="AQ2967">
        <v>-124</v>
      </c>
      <c r="AR2967">
        <v>-128</v>
      </c>
      <c r="AZ2967">
        <v>4552</v>
      </c>
      <c r="BA2967">
        <v>1</v>
      </c>
      <c r="BB2967" t="str">
        <f t="shared" si="1164"/>
        <v xml:space="preserve">N607SR  </v>
      </c>
      <c r="BC2967">
        <v>1</v>
      </c>
      <c r="BE2967">
        <v>0</v>
      </c>
      <c r="BF2967">
        <v>0</v>
      </c>
      <c r="BG2967">
        <v>0</v>
      </c>
      <c r="BH2967">
        <v>2100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>"06:20:35.615"</f>
        <v>06:20:35.615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465</v>
      </c>
      <c r="CR2967">
        <v>0</v>
      </c>
      <c r="CW2967">
        <v>4728659</v>
      </c>
      <c r="CY2967">
        <v>1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 t="shared" si="1176"/>
        <v>08/29/2020 06:20:32.400</v>
      </c>
      <c r="C2968" t="str">
        <f t="shared" si="1162"/>
        <v>FFDFD3C0</v>
      </c>
      <c r="D2968" t="s">
        <v>939</v>
      </c>
      <c r="E2968">
        <v>10</v>
      </c>
      <c r="H2968">
        <v>79</v>
      </c>
      <c r="I2968" t="s">
        <v>940</v>
      </c>
      <c r="J2968" t="s">
        <v>130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177"/>
        <v>06:20:35.609</v>
      </c>
      <c r="T2968" t="str">
        <f t="shared" si="1178"/>
        <v>06:20:35.109</v>
      </c>
      <c r="U2968" t="str">
        <f t="shared" si="1163"/>
        <v>A7E2E0</v>
      </c>
      <c r="V2968">
        <v>0</v>
      </c>
      <c r="W2968">
        <v>0</v>
      </c>
      <c r="X2968">
        <v>1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0</v>
      </c>
      <c r="AI2968" t="s">
        <v>1464</v>
      </c>
      <c r="AJ2968">
        <v>38.867161000000003</v>
      </c>
      <c r="AK2968" t="s">
        <v>1465</v>
      </c>
      <c r="AL2968">
        <v>-87.609679999999997</v>
      </c>
      <c r="AM2968">
        <v>100</v>
      </c>
      <c r="AN2968">
        <v>2300</v>
      </c>
      <c r="AO2968" t="s">
        <v>118</v>
      </c>
      <c r="AP2968">
        <v>6</v>
      </c>
      <c r="AQ2968">
        <v>-124</v>
      </c>
      <c r="AR2968">
        <v>-128</v>
      </c>
      <c r="AZ2968">
        <v>4552</v>
      </c>
      <c r="BA2968">
        <v>1</v>
      </c>
      <c r="BB2968" t="str">
        <f t="shared" si="1164"/>
        <v xml:space="preserve">N607SR  </v>
      </c>
      <c r="BC2968">
        <v>1</v>
      </c>
      <c r="BE2968">
        <v>0</v>
      </c>
      <c r="BF2968">
        <v>0</v>
      </c>
      <c r="BG2968">
        <v>0</v>
      </c>
      <c r="BH2968">
        <v>2100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>"06:20:35.615"</f>
        <v>06:20:35.615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7</v>
      </c>
      <c r="CP2968" t="s">
        <v>119</v>
      </c>
      <c r="CQ2968">
        <v>465</v>
      </c>
      <c r="CR2968">
        <v>0</v>
      </c>
      <c r="CW2968">
        <v>4728659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 t="shared" si="1176"/>
        <v>08/29/2020 06:20:32.400</v>
      </c>
      <c r="C2969" t="str">
        <f t="shared" si="1162"/>
        <v>FFDFD3C0</v>
      </c>
      <c r="D2969" t="s">
        <v>113</v>
      </c>
      <c r="E2969">
        <v>5</v>
      </c>
      <c r="H2969">
        <v>163</v>
      </c>
      <c r="I2969" t="s">
        <v>114</v>
      </c>
      <c r="J2969" t="s">
        <v>115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si="1177"/>
        <v>06:20:35.609</v>
      </c>
      <c r="T2969" t="str">
        <f t="shared" si="1178"/>
        <v>06:20:35.109</v>
      </c>
      <c r="U2969" t="str">
        <f t="shared" si="1163"/>
        <v>A7E2E0</v>
      </c>
      <c r="V2969">
        <v>0</v>
      </c>
      <c r="W2969">
        <v>0</v>
      </c>
      <c r="X2969">
        <v>1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0</v>
      </c>
      <c r="AI2969" t="s">
        <v>1464</v>
      </c>
      <c r="AJ2969">
        <v>38.867161000000003</v>
      </c>
      <c r="AK2969" t="s">
        <v>1465</v>
      </c>
      <c r="AL2969">
        <v>-87.609679999999997</v>
      </c>
      <c r="AM2969">
        <v>100</v>
      </c>
      <c r="AN2969">
        <v>2300</v>
      </c>
      <c r="AO2969" t="s">
        <v>118</v>
      </c>
      <c r="AP2969">
        <v>6</v>
      </c>
      <c r="AQ2969">
        <v>-124</v>
      </c>
      <c r="AR2969">
        <v>-128</v>
      </c>
      <c r="AZ2969">
        <v>4552</v>
      </c>
      <c r="BA2969">
        <v>1</v>
      </c>
      <c r="BB2969" t="str">
        <f t="shared" si="1164"/>
        <v xml:space="preserve">N607SR  </v>
      </c>
      <c r="BC2969">
        <v>1</v>
      </c>
      <c r="BE2969">
        <v>0</v>
      </c>
      <c r="BF2969">
        <v>0</v>
      </c>
      <c r="BG2969">
        <v>0</v>
      </c>
      <c r="BH2969">
        <v>2100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>"06:20:35.615"</f>
        <v>06:20:35.615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465</v>
      </c>
      <c r="CR2969">
        <v>0</v>
      </c>
      <c r="CW2969">
        <v>4728659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 t="shared" si="1176"/>
        <v>08/29/2020 06:20:32.400</v>
      </c>
      <c r="C2970" t="str">
        <f t="shared" si="1162"/>
        <v>FFDFD3C0</v>
      </c>
      <c r="D2970" t="s">
        <v>128</v>
      </c>
      <c r="E2970">
        <v>5</v>
      </c>
      <c r="H2970">
        <v>241</v>
      </c>
      <c r="I2970" t="s">
        <v>129</v>
      </c>
      <c r="J2970" t="s">
        <v>130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177"/>
        <v>06:20:35.609</v>
      </c>
      <c r="T2970" t="str">
        <f t="shared" si="1178"/>
        <v>06:20:35.109</v>
      </c>
      <c r="U2970" t="str">
        <f t="shared" si="1163"/>
        <v>A7E2E0</v>
      </c>
      <c r="V2970">
        <v>0</v>
      </c>
      <c r="W2970">
        <v>0</v>
      </c>
      <c r="X2970">
        <v>1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0</v>
      </c>
      <c r="AI2970" t="s">
        <v>1464</v>
      </c>
      <c r="AJ2970">
        <v>38.867161000000003</v>
      </c>
      <c r="AK2970" t="s">
        <v>1465</v>
      </c>
      <c r="AL2970">
        <v>-87.609679999999997</v>
      </c>
      <c r="AM2970">
        <v>100</v>
      </c>
      <c r="AN2970">
        <v>2300</v>
      </c>
      <c r="AO2970" t="s">
        <v>118</v>
      </c>
      <c r="AP2970">
        <v>6</v>
      </c>
      <c r="AQ2970">
        <v>-124</v>
      </c>
      <c r="AR2970">
        <v>-128</v>
      </c>
      <c r="AZ2970">
        <v>4552</v>
      </c>
      <c r="BA2970">
        <v>1</v>
      </c>
      <c r="BB2970" t="str">
        <f t="shared" si="1164"/>
        <v xml:space="preserve">N607SR  </v>
      </c>
      <c r="BC2970">
        <v>1</v>
      </c>
      <c r="BE2970">
        <v>0</v>
      </c>
      <c r="BF2970">
        <v>0</v>
      </c>
      <c r="BG2970">
        <v>0</v>
      </c>
      <c r="BH2970">
        <v>2100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>"06:20:35.615"</f>
        <v>06:20:35.615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7</v>
      </c>
      <c r="CP2970" t="s">
        <v>119</v>
      </c>
      <c r="CQ2970">
        <v>465</v>
      </c>
      <c r="CR2970">
        <v>0</v>
      </c>
      <c r="CW2970">
        <v>4728659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 t="shared" si="1176"/>
        <v>08/29/2020 06:20:32.400</v>
      </c>
      <c r="C2971" t="str">
        <f t="shared" si="1162"/>
        <v>FFDFD3C0</v>
      </c>
      <c r="D2971" t="s">
        <v>121</v>
      </c>
      <c r="E2971">
        <v>13</v>
      </c>
      <c r="F2971">
        <v>1013</v>
      </c>
      <c r="G2971" t="s">
        <v>122</v>
      </c>
      <c r="J2971" t="s">
        <v>123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177"/>
        <v>06:20:35.609</v>
      </c>
      <c r="T2971" t="str">
        <f t="shared" si="1178"/>
        <v>06:20:35.109</v>
      </c>
      <c r="U2971" t="str">
        <f t="shared" si="1163"/>
        <v>A7E2E0</v>
      </c>
      <c r="V2971">
        <v>0</v>
      </c>
      <c r="W2971">
        <v>0</v>
      </c>
      <c r="X2971">
        <v>1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0</v>
      </c>
      <c r="AI2971" t="s">
        <v>1464</v>
      </c>
      <c r="AJ2971">
        <v>38.867161000000003</v>
      </c>
      <c r="AK2971" t="s">
        <v>1465</v>
      </c>
      <c r="AL2971">
        <v>-87.609679999999997</v>
      </c>
      <c r="AM2971">
        <v>100</v>
      </c>
      <c r="AN2971">
        <v>2300</v>
      </c>
      <c r="AO2971" t="s">
        <v>118</v>
      </c>
      <c r="AP2971">
        <v>6</v>
      </c>
      <c r="AQ2971">
        <v>-124</v>
      </c>
      <c r="AR2971">
        <v>-128</v>
      </c>
      <c r="AZ2971">
        <v>4552</v>
      </c>
      <c r="BA2971">
        <v>1</v>
      </c>
      <c r="BB2971" t="str">
        <f t="shared" si="1164"/>
        <v xml:space="preserve">N607SR  </v>
      </c>
      <c r="BC2971">
        <v>1</v>
      </c>
      <c r="BE2971">
        <v>0</v>
      </c>
      <c r="BF2971">
        <v>0</v>
      </c>
      <c r="BG2971">
        <v>0</v>
      </c>
      <c r="BH2971">
        <v>2100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>"06:20:35.615"</f>
        <v>06:20:35.615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119</v>
      </c>
      <c r="CQ2971">
        <v>465</v>
      </c>
      <c r="CR2971">
        <v>0</v>
      </c>
      <c r="CW2971">
        <v>4728659</v>
      </c>
      <c r="CY2971">
        <v>1</v>
      </c>
      <c r="CZ2971">
        <v>0</v>
      </c>
      <c r="DA2971">
        <v>1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 t="shared" si="1176"/>
        <v>08/29/2020 06:20:32.400</v>
      </c>
      <c r="C2972" t="str">
        <f t="shared" si="1162"/>
        <v>FFDFD3C0</v>
      </c>
      <c r="D2972" t="s">
        <v>121</v>
      </c>
      <c r="E2972">
        <v>11</v>
      </c>
      <c r="F2972">
        <v>1011</v>
      </c>
      <c r="G2972" t="s">
        <v>125</v>
      </c>
      <c r="J2972" t="s">
        <v>123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177"/>
        <v>06:20:35.609</v>
      </c>
      <c r="T2972" t="str">
        <f t="shared" si="1178"/>
        <v>06:20:35.109</v>
      </c>
      <c r="U2972" t="str">
        <f t="shared" si="1163"/>
        <v>A7E2E0</v>
      </c>
      <c r="V2972">
        <v>0</v>
      </c>
      <c r="W2972">
        <v>0</v>
      </c>
      <c r="X2972">
        <v>1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0</v>
      </c>
      <c r="AI2972" t="s">
        <v>1464</v>
      </c>
      <c r="AJ2972">
        <v>38.867161000000003</v>
      </c>
      <c r="AK2972" t="s">
        <v>1465</v>
      </c>
      <c r="AL2972">
        <v>-87.609679999999997</v>
      </c>
      <c r="AM2972">
        <v>100</v>
      </c>
      <c r="AN2972">
        <v>2300</v>
      </c>
      <c r="AO2972" t="s">
        <v>118</v>
      </c>
      <c r="AP2972">
        <v>6</v>
      </c>
      <c r="AQ2972">
        <v>-124</v>
      </c>
      <c r="AR2972">
        <v>-128</v>
      </c>
      <c r="AZ2972">
        <v>4552</v>
      </c>
      <c r="BA2972">
        <v>1</v>
      </c>
      <c r="BB2972" t="str">
        <f t="shared" si="1164"/>
        <v xml:space="preserve">N607SR  </v>
      </c>
      <c r="BC2972">
        <v>1</v>
      </c>
      <c r="BE2972">
        <v>0</v>
      </c>
      <c r="BF2972">
        <v>0</v>
      </c>
      <c r="BG2972">
        <v>0</v>
      </c>
      <c r="BH2972">
        <v>2100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>"06:20:35.616"</f>
        <v>06:20:35.616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5</v>
      </c>
      <c r="CP2972" t="s">
        <v>119</v>
      </c>
      <c r="CQ2972">
        <v>177</v>
      </c>
      <c r="CR2972">
        <v>2</v>
      </c>
      <c r="CW2972">
        <v>1686719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 t="shared" ref="A2973:A2978" si="1179">"08/29/2020 06:20:33.384"</f>
        <v>08/29/2020 06:20:33.384</v>
      </c>
      <c r="C2973" t="str">
        <f t="shared" si="1162"/>
        <v>FFDFD3C0</v>
      </c>
      <c r="D2973" t="s">
        <v>121</v>
      </c>
      <c r="E2973">
        <v>13</v>
      </c>
      <c r="F2973">
        <v>1013</v>
      </c>
      <c r="G2973" t="s">
        <v>122</v>
      </c>
      <c r="J2973" t="s">
        <v>123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ref="S2973:S2978" si="1180">"06:20:36.594"</f>
        <v>06:20:36.594</v>
      </c>
      <c r="T2973" t="str">
        <f t="shared" ref="T2973:T2978" si="1181">"06:20:36.194"</f>
        <v>06:20:36.194</v>
      </c>
      <c r="U2973" t="str">
        <f t="shared" si="1163"/>
        <v>A7E2E0</v>
      </c>
      <c r="V2973">
        <v>0</v>
      </c>
      <c r="W2973">
        <v>0</v>
      </c>
      <c r="X2973">
        <v>1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0</v>
      </c>
      <c r="AI2973" t="s">
        <v>1466</v>
      </c>
      <c r="AJ2973">
        <v>38.866646000000003</v>
      </c>
      <c r="AK2973" t="s">
        <v>1467</v>
      </c>
      <c r="AL2973">
        <v>-87.609637000000006</v>
      </c>
      <c r="AM2973">
        <v>100</v>
      </c>
      <c r="AN2973">
        <v>2300</v>
      </c>
      <c r="AO2973" t="s">
        <v>118</v>
      </c>
      <c r="AP2973">
        <v>7</v>
      </c>
      <c r="AQ2973">
        <v>-123</v>
      </c>
      <c r="AR2973">
        <v>-192</v>
      </c>
      <c r="AZ2973">
        <v>4552</v>
      </c>
      <c r="BA2973">
        <v>1</v>
      </c>
      <c r="BB2973" t="str">
        <f t="shared" si="1164"/>
        <v xml:space="preserve">N607SR  </v>
      </c>
      <c r="BC2973">
        <v>1</v>
      </c>
      <c r="BE2973">
        <v>0</v>
      </c>
      <c r="BF2973">
        <v>0</v>
      </c>
      <c r="BG2973">
        <v>0</v>
      </c>
      <c r="BH2973">
        <v>2100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 t="shared" ref="BW2973:BW2978" si="1182">"06:20:36.595"</f>
        <v>06:20:36.595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7</v>
      </c>
      <c r="CP2973" t="s">
        <v>119</v>
      </c>
      <c r="CQ2973">
        <v>465</v>
      </c>
      <c r="CR2973">
        <v>0</v>
      </c>
      <c r="CW2973">
        <v>4728690</v>
      </c>
      <c r="CY2973">
        <v>1</v>
      </c>
      <c r="CZ2973">
        <v>0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 t="shared" si="1179"/>
        <v>08/29/2020 06:20:33.384</v>
      </c>
      <c r="C2974" t="str">
        <f t="shared" si="1162"/>
        <v>FFDFD3C0</v>
      </c>
      <c r="D2974" t="s">
        <v>121</v>
      </c>
      <c r="E2974">
        <v>11</v>
      </c>
      <c r="F2974">
        <v>1011</v>
      </c>
      <c r="G2974" t="s">
        <v>125</v>
      </c>
      <c r="J2974" t="s">
        <v>123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180"/>
        <v>06:20:36.594</v>
      </c>
      <c r="T2974" t="str">
        <f t="shared" si="1181"/>
        <v>06:20:36.194</v>
      </c>
      <c r="U2974" t="str">
        <f t="shared" si="1163"/>
        <v>A7E2E0</v>
      </c>
      <c r="V2974">
        <v>0</v>
      </c>
      <c r="W2974">
        <v>0</v>
      </c>
      <c r="X2974">
        <v>1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0</v>
      </c>
      <c r="AI2974" t="s">
        <v>1466</v>
      </c>
      <c r="AJ2974">
        <v>38.866646000000003</v>
      </c>
      <c r="AK2974" t="s">
        <v>1467</v>
      </c>
      <c r="AL2974">
        <v>-87.609637000000006</v>
      </c>
      <c r="AM2974">
        <v>100</v>
      </c>
      <c r="AN2974">
        <v>2300</v>
      </c>
      <c r="AO2974" t="s">
        <v>118</v>
      </c>
      <c r="AP2974">
        <v>7</v>
      </c>
      <c r="AQ2974">
        <v>-123</v>
      </c>
      <c r="AR2974">
        <v>-192</v>
      </c>
      <c r="AZ2974">
        <v>4552</v>
      </c>
      <c r="BA2974">
        <v>1</v>
      </c>
      <c r="BB2974" t="str">
        <f t="shared" si="1164"/>
        <v xml:space="preserve">N607SR  </v>
      </c>
      <c r="BC2974">
        <v>1</v>
      </c>
      <c r="BE2974">
        <v>0</v>
      </c>
      <c r="BF2974">
        <v>0</v>
      </c>
      <c r="BG2974">
        <v>0</v>
      </c>
      <c r="BH2974">
        <v>2100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 t="shared" si="1182"/>
        <v>06:20:36.595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5</v>
      </c>
      <c r="CP2974" t="s">
        <v>119</v>
      </c>
      <c r="CQ2974">
        <v>177</v>
      </c>
      <c r="CR2974">
        <v>2</v>
      </c>
      <c r="CW2974">
        <v>1686905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 t="shared" si="1179"/>
        <v>08/29/2020 06:20:33.384</v>
      </c>
      <c r="C2975" t="str">
        <f t="shared" si="1162"/>
        <v>FFDFD3C0</v>
      </c>
      <c r="D2975" t="s">
        <v>939</v>
      </c>
      <c r="E2975">
        <v>10</v>
      </c>
      <c r="H2975">
        <v>79</v>
      </c>
      <c r="I2975" t="s">
        <v>940</v>
      </c>
      <c r="J2975" t="s">
        <v>130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180"/>
        <v>06:20:36.594</v>
      </c>
      <c r="T2975" t="str">
        <f t="shared" si="1181"/>
        <v>06:20:36.194</v>
      </c>
      <c r="U2975" t="str">
        <f t="shared" si="1163"/>
        <v>A7E2E0</v>
      </c>
      <c r="V2975">
        <v>0</v>
      </c>
      <c r="W2975">
        <v>0</v>
      </c>
      <c r="X2975">
        <v>1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0</v>
      </c>
      <c r="AI2975" t="s">
        <v>1466</v>
      </c>
      <c r="AJ2975">
        <v>38.866646000000003</v>
      </c>
      <c r="AK2975" t="s">
        <v>1467</v>
      </c>
      <c r="AL2975">
        <v>-87.609637000000006</v>
      </c>
      <c r="AM2975">
        <v>100</v>
      </c>
      <c r="AN2975">
        <v>2300</v>
      </c>
      <c r="AO2975" t="s">
        <v>118</v>
      </c>
      <c r="AP2975">
        <v>7</v>
      </c>
      <c r="AQ2975">
        <v>-123</v>
      </c>
      <c r="AR2975">
        <v>-192</v>
      </c>
      <c r="AZ2975">
        <v>4552</v>
      </c>
      <c r="BA2975">
        <v>1</v>
      </c>
      <c r="BB2975" t="str">
        <f t="shared" si="1164"/>
        <v xml:space="preserve">N607SR  </v>
      </c>
      <c r="BC2975">
        <v>1</v>
      </c>
      <c r="BE2975">
        <v>0</v>
      </c>
      <c r="BF2975">
        <v>0</v>
      </c>
      <c r="BG2975">
        <v>0</v>
      </c>
      <c r="BH2975">
        <v>2100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 t="shared" si="1182"/>
        <v>06:20:36.595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7</v>
      </c>
      <c r="CP2975" t="s">
        <v>119</v>
      </c>
      <c r="CQ2975">
        <v>465</v>
      </c>
      <c r="CR2975">
        <v>0</v>
      </c>
      <c r="CW2975">
        <v>4728690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 t="shared" si="1179"/>
        <v>08/29/2020 06:20:33.384</v>
      </c>
      <c r="C2976" t="str">
        <f t="shared" si="1162"/>
        <v>FFDFD3C0</v>
      </c>
      <c r="D2976" t="s">
        <v>121</v>
      </c>
      <c r="E2976">
        <v>10</v>
      </c>
      <c r="F2976">
        <v>1010</v>
      </c>
      <c r="G2976" t="s">
        <v>114</v>
      </c>
      <c r="J2976" t="s">
        <v>123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180"/>
        <v>06:20:36.594</v>
      </c>
      <c r="T2976" t="str">
        <f t="shared" si="1181"/>
        <v>06:20:36.194</v>
      </c>
      <c r="U2976" t="str">
        <f t="shared" si="1163"/>
        <v>A7E2E0</v>
      </c>
      <c r="V2976">
        <v>0</v>
      </c>
      <c r="W2976">
        <v>0</v>
      </c>
      <c r="X2976">
        <v>1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0</v>
      </c>
      <c r="AI2976" t="s">
        <v>1466</v>
      </c>
      <c r="AJ2976">
        <v>38.866646000000003</v>
      </c>
      <c r="AK2976" t="s">
        <v>1467</v>
      </c>
      <c r="AL2976">
        <v>-87.609637000000006</v>
      </c>
      <c r="AM2976">
        <v>100</v>
      </c>
      <c r="AN2976">
        <v>2300</v>
      </c>
      <c r="AO2976" t="s">
        <v>118</v>
      </c>
      <c r="AP2976">
        <v>7</v>
      </c>
      <c r="AQ2976">
        <v>-123</v>
      </c>
      <c r="AR2976">
        <v>-192</v>
      </c>
      <c r="AZ2976">
        <v>4552</v>
      </c>
      <c r="BA2976">
        <v>1</v>
      </c>
      <c r="BB2976" t="str">
        <f t="shared" si="1164"/>
        <v xml:space="preserve">N607SR  </v>
      </c>
      <c r="BC2976">
        <v>1</v>
      </c>
      <c r="BE2976">
        <v>0</v>
      </c>
      <c r="BF2976">
        <v>0</v>
      </c>
      <c r="BG2976">
        <v>0</v>
      </c>
      <c r="BH2976">
        <v>2100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 t="shared" si="1182"/>
        <v>06:20:36.595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7</v>
      </c>
      <c r="CP2976" t="s">
        <v>119</v>
      </c>
      <c r="CQ2976">
        <v>465</v>
      </c>
      <c r="CR2976">
        <v>0</v>
      </c>
      <c r="CW2976">
        <v>4728690</v>
      </c>
      <c r="CY2976">
        <v>1</v>
      </c>
      <c r="CZ2976">
        <v>0</v>
      </c>
      <c r="DA2976">
        <v>1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 t="shared" si="1179"/>
        <v>08/29/2020 06:20:33.384</v>
      </c>
      <c r="C2977" t="str">
        <f t="shared" si="1162"/>
        <v>FFDFD3C0</v>
      </c>
      <c r="D2977" t="s">
        <v>113</v>
      </c>
      <c r="E2977">
        <v>5</v>
      </c>
      <c r="H2977">
        <v>163</v>
      </c>
      <c r="I2977" t="s">
        <v>114</v>
      </c>
      <c r="J2977" t="s">
        <v>115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180"/>
        <v>06:20:36.594</v>
      </c>
      <c r="T2977" t="str">
        <f t="shared" si="1181"/>
        <v>06:20:36.194</v>
      </c>
      <c r="U2977" t="str">
        <f t="shared" si="1163"/>
        <v>A7E2E0</v>
      </c>
      <c r="V2977">
        <v>0</v>
      </c>
      <c r="W2977">
        <v>0</v>
      </c>
      <c r="X2977">
        <v>1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0</v>
      </c>
      <c r="AI2977" t="s">
        <v>1466</v>
      </c>
      <c r="AJ2977">
        <v>38.866646000000003</v>
      </c>
      <c r="AK2977" t="s">
        <v>1467</v>
      </c>
      <c r="AL2977">
        <v>-87.609637000000006</v>
      </c>
      <c r="AM2977">
        <v>100</v>
      </c>
      <c r="AN2977">
        <v>2300</v>
      </c>
      <c r="AO2977" t="s">
        <v>118</v>
      </c>
      <c r="AP2977">
        <v>7</v>
      </c>
      <c r="AQ2977">
        <v>-123</v>
      </c>
      <c r="AR2977">
        <v>-192</v>
      </c>
      <c r="AZ2977">
        <v>4552</v>
      </c>
      <c r="BA2977">
        <v>1</v>
      </c>
      <c r="BB2977" t="str">
        <f t="shared" si="1164"/>
        <v xml:space="preserve">N607SR  </v>
      </c>
      <c r="BC2977">
        <v>1</v>
      </c>
      <c r="BE2977">
        <v>0</v>
      </c>
      <c r="BF2977">
        <v>0</v>
      </c>
      <c r="BG2977">
        <v>0</v>
      </c>
      <c r="BH2977">
        <v>2100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 t="shared" si="1182"/>
        <v>06:20:36.595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7</v>
      </c>
      <c r="CP2977" t="s">
        <v>119</v>
      </c>
      <c r="CQ2977">
        <v>465</v>
      </c>
      <c r="CR2977">
        <v>0</v>
      </c>
      <c r="CW2977">
        <v>4728690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 t="shared" si="1179"/>
        <v>08/29/2020 06:20:33.384</v>
      </c>
      <c r="C2978" t="str">
        <f t="shared" si="1162"/>
        <v>FFDFD3C0</v>
      </c>
      <c r="D2978" t="s">
        <v>128</v>
      </c>
      <c r="E2978">
        <v>5</v>
      </c>
      <c r="H2978">
        <v>241</v>
      </c>
      <c r="I2978" t="s">
        <v>129</v>
      </c>
      <c r="J2978" t="s">
        <v>130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180"/>
        <v>06:20:36.594</v>
      </c>
      <c r="T2978" t="str">
        <f t="shared" si="1181"/>
        <v>06:20:36.194</v>
      </c>
      <c r="U2978" t="str">
        <f t="shared" si="1163"/>
        <v>A7E2E0</v>
      </c>
      <c r="V2978">
        <v>0</v>
      </c>
      <c r="W2978">
        <v>0</v>
      </c>
      <c r="X2978">
        <v>1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0</v>
      </c>
      <c r="AI2978" t="s">
        <v>1466</v>
      </c>
      <c r="AJ2978">
        <v>38.866646000000003</v>
      </c>
      <c r="AK2978" t="s">
        <v>1467</v>
      </c>
      <c r="AL2978">
        <v>-87.609637000000006</v>
      </c>
      <c r="AM2978">
        <v>100</v>
      </c>
      <c r="AN2978">
        <v>2300</v>
      </c>
      <c r="AO2978" t="s">
        <v>118</v>
      </c>
      <c r="AP2978">
        <v>7</v>
      </c>
      <c r="AQ2978">
        <v>-123</v>
      </c>
      <c r="AR2978">
        <v>-192</v>
      </c>
      <c r="AZ2978">
        <v>4552</v>
      </c>
      <c r="BA2978">
        <v>1</v>
      </c>
      <c r="BB2978" t="str">
        <f t="shared" si="1164"/>
        <v xml:space="preserve">N607SR  </v>
      </c>
      <c r="BC2978">
        <v>1</v>
      </c>
      <c r="BE2978">
        <v>0</v>
      </c>
      <c r="BF2978">
        <v>0</v>
      </c>
      <c r="BG2978">
        <v>0</v>
      </c>
      <c r="BH2978">
        <v>2100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 t="shared" si="1182"/>
        <v>06:20:36.595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7</v>
      </c>
      <c r="CP2978" t="s">
        <v>119</v>
      </c>
      <c r="CQ2978">
        <v>465</v>
      </c>
      <c r="CR2978">
        <v>0</v>
      </c>
      <c r="CW2978">
        <v>4728690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 t="shared" ref="A2979:A2984" si="1183">"08/29/2020 06:20:34.296"</f>
        <v>08/29/2020 06:20:34.296</v>
      </c>
      <c r="C2979" t="str">
        <f t="shared" si="1162"/>
        <v>FFDFD3C0</v>
      </c>
      <c r="D2979" t="s">
        <v>121</v>
      </c>
      <c r="E2979">
        <v>13</v>
      </c>
      <c r="F2979">
        <v>1013</v>
      </c>
      <c r="G2979" t="s">
        <v>122</v>
      </c>
      <c r="J2979" t="s">
        <v>123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ref="S2979:S2984" si="1184">"06:20:37.508"</f>
        <v>06:20:37.508</v>
      </c>
      <c r="T2979" t="str">
        <f t="shared" ref="T2979:T2984" si="1185">"06:20:37.108"</f>
        <v>06:20:37.108</v>
      </c>
      <c r="U2979" t="str">
        <f t="shared" si="1163"/>
        <v>A7E2E0</v>
      </c>
      <c r="V2979">
        <v>0</v>
      </c>
      <c r="W2979">
        <v>0</v>
      </c>
      <c r="X2979">
        <v>1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0</v>
      </c>
      <c r="AI2979" t="s">
        <v>1468</v>
      </c>
      <c r="AJ2979">
        <v>38.866131000000003</v>
      </c>
      <c r="AK2979" t="s">
        <v>1469</v>
      </c>
      <c r="AL2979">
        <v>-87.609615000000005</v>
      </c>
      <c r="AM2979">
        <v>100</v>
      </c>
      <c r="AN2979">
        <v>2300</v>
      </c>
      <c r="AO2979" t="s">
        <v>118</v>
      </c>
      <c r="AP2979">
        <v>7</v>
      </c>
      <c r="AQ2979">
        <v>-124</v>
      </c>
      <c r="AR2979">
        <v>-256</v>
      </c>
      <c r="AZ2979">
        <v>4552</v>
      </c>
      <c r="BA2979">
        <v>1</v>
      </c>
      <c r="BB2979" t="str">
        <f t="shared" si="1164"/>
        <v xml:space="preserve">N607SR  </v>
      </c>
      <c r="BC2979">
        <v>1</v>
      </c>
      <c r="BE2979">
        <v>0</v>
      </c>
      <c r="BF2979">
        <v>0</v>
      </c>
      <c r="BG2979">
        <v>0</v>
      </c>
      <c r="BH2979">
        <v>2075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 t="shared" ref="BW2979:BW2984" si="1186">"06:20:37.508"</f>
        <v>06:20:37.508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7</v>
      </c>
      <c r="CP2979" t="s">
        <v>119</v>
      </c>
      <c r="CQ2979">
        <v>465</v>
      </c>
      <c r="CR2979">
        <v>0</v>
      </c>
      <c r="CW2979">
        <v>4728710</v>
      </c>
      <c r="CY2979">
        <v>1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 t="shared" si="1183"/>
        <v>08/29/2020 06:20:34.296</v>
      </c>
      <c r="C2980" t="str">
        <f t="shared" si="1162"/>
        <v>FFDFD3C0</v>
      </c>
      <c r="D2980" t="s">
        <v>121</v>
      </c>
      <c r="E2980">
        <v>11</v>
      </c>
      <c r="F2980">
        <v>1011</v>
      </c>
      <c r="G2980" t="s">
        <v>125</v>
      </c>
      <c r="J2980" t="s">
        <v>123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si="1184"/>
        <v>06:20:37.508</v>
      </c>
      <c r="T2980" t="str">
        <f t="shared" si="1185"/>
        <v>06:20:37.108</v>
      </c>
      <c r="U2980" t="str">
        <f t="shared" si="1163"/>
        <v>A7E2E0</v>
      </c>
      <c r="V2980">
        <v>0</v>
      </c>
      <c r="W2980">
        <v>0</v>
      </c>
      <c r="X2980">
        <v>1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0</v>
      </c>
      <c r="AI2980" t="s">
        <v>1468</v>
      </c>
      <c r="AJ2980">
        <v>38.866131000000003</v>
      </c>
      <c r="AK2980" t="s">
        <v>1469</v>
      </c>
      <c r="AL2980">
        <v>-87.609615000000005</v>
      </c>
      <c r="AM2980">
        <v>100</v>
      </c>
      <c r="AN2980">
        <v>2300</v>
      </c>
      <c r="AO2980" t="s">
        <v>118</v>
      </c>
      <c r="AP2980">
        <v>7</v>
      </c>
      <c r="AQ2980">
        <v>-124</v>
      </c>
      <c r="AR2980">
        <v>-256</v>
      </c>
      <c r="AZ2980">
        <v>4552</v>
      </c>
      <c r="BA2980">
        <v>1</v>
      </c>
      <c r="BB2980" t="str">
        <f t="shared" si="1164"/>
        <v xml:space="preserve">N607SR  </v>
      </c>
      <c r="BC2980">
        <v>1</v>
      </c>
      <c r="BE2980">
        <v>0</v>
      </c>
      <c r="BF2980">
        <v>0</v>
      </c>
      <c r="BG2980">
        <v>0</v>
      </c>
      <c r="BH2980">
        <v>2075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 t="shared" si="1186"/>
        <v>06:20:37.508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5</v>
      </c>
      <c r="CP2980" t="s">
        <v>119</v>
      </c>
      <c r="CQ2980">
        <v>177</v>
      </c>
      <c r="CR2980">
        <v>2</v>
      </c>
      <c r="CW2980">
        <v>1687032</v>
      </c>
      <c r="CY2980">
        <v>1</v>
      </c>
      <c r="CZ2980">
        <v>0</v>
      </c>
      <c r="DA2980">
        <v>1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 t="shared" si="1183"/>
        <v>08/29/2020 06:20:34.296</v>
      </c>
      <c r="C2981" t="str">
        <f t="shared" si="1162"/>
        <v>FFDFD3C0</v>
      </c>
      <c r="D2981" t="s">
        <v>939</v>
      </c>
      <c r="E2981">
        <v>10</v>
      </c>
      <c r="H2981">
        <v>79</v>
      </c>
      <c r="I2981" t="s">
        <v>940</v>
      </c>
      <c r="J2981" t="s">
        <v>130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184"/>
        <v>06:20:37.508</v>
      </c>
      <c r="T2981" t="str">
        <f t="shared" si="1185"/>
        <v>06:20:37.108</v>
      </c>
      <c r="U2981" t="str">
        <f t="shared" si="1163"/>
        <v>A7E2E0</v>
      </c>
      <c r="V2981">
        <v>0</v>
      </c>
      <c r="W2981">
        <v>0</v>
      </c>
      <c r="X2981">
        <v>1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0</v>
      </c>
      <c r="AI2981" t="s">
        <v>1468</v>
      </c>
      <c r="AJ2981">
        <v>38.866131000000003</v>
      </c>
      <c r="AK2981" t="s">
        <v>1469</v>
      </c>
      <c r="AL2981">
        <v>-87.609615000000005</v>
      </c>
      <c r="AM2981">
        <v>100</v>
      </c>
      <c r="AN2981">
        <v>2300</v>
      </c>
      <c r="AO2981" t="s">
        <v>118</v>
      </c>
      <c r="AP2981">
        <v>7</v>
      </c>
      <c r="AQ2981">
        <v>-124</v>
      </c>
      <c r="AR2981">
        <v>-256</v>
      </c>
      <c r="AZ2981">
        <v>4552</v>
      </c>
      <c r="BA2981">
        <v>1</v>
      </c>
      <c r="BB2981" t="str">
        <f t="shared" si="1164"/>
        <v xml:space="preserve">N607SR  </v>
      </c>
      <c r="BC2981">
        <v>1</v>
      </c>
      <c r="BE2981">
        <v>0</v>
      </c>
      <c r="BF2981">
        <v>0</v>
      </c>
      <c r="BG2981">
        <v>0</v>
      </c>
      <c r="BH2981">
        <v>2075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 t="shared" si="1186"/>
        <v>06:20:37.508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7</v>
      </c>
      <c r="CP2981" t="s">
        <v>119</v>
      </c>
      <c r="CQ2981">
        <v>465</v>
      </c>
      <c r="CR2981">
        <v>0</v>
      </c>
      <c r="CW2981">
        <v>4728710</v>
      </c>
      <c r="CY2981">
        <v>1</v>
      </c>
      <c r="CZ2981">
        <v>0</v>
      </c>
      <c r="DA2981">
        <v>1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 t="shared" si="1183"/>
        <v>08/29/2020 06:20:34.296</v>
      </c>
      <c r="C2982" t="str">
        <f t="shared" si="1162"/>
        <v>FFDFD3C0</v>
      </c>
      <c r="D2982" t="s">
        <v>121</v>
      </c>
      <c r="E2982">
        <v>10</v>
      </c>
      <c r="F2982">
        <v>1010</v>
      </c>
      <c r="G2982" t="s">
        <v>114</v>
      </c>
      <c r="J2982" t="s">
        <v>123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184"/>
        <v>06:20:37.508</v>
      </c>
      <c r="T2982" t="str">
        <f t="shared" si="1185"/>
        <v>06:20:37.108</v>
      </c>
      <c r="U2982" t="str">
        <f t="shared" si="1163"/>
        <v>A7E2E0</v>
      </c>
      <c r="V2982">
        <v>0</v>
      </c>
      <c r="W2982">
        <v>0</v>
      </c>
      <c r="X2982">
        <v>1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0</v>
      </c>
      <c r="AI2982" t="s">
        <v>1468</v>
      </c>
      <c r="AJ2982">
        <v>38.866131000000003</v>
      </c>
      <c r="AK2982" t="s">
        <v>1469</v>
      </c>
      <c r="AL2982">
        <v>-87.609615000000005</v>
      </c>
      <c r="AM2982">
        <v>100</v>
      </c>
      <c r="AN2982">
        <v>2300</v>
      </c>
      <c r="AO2982" t="s">
        <v>118</v>
      </c>
      <c r="AP2982">
        <v>7</v>
      </c>
      <c r="AQ2982">
        <v>-124</v>
      </c>
      <c r="AR2982">
        <v>-256</v>
      </c>
      <c r="AZ2982">
        <v>4552</v>
      </c>
      <c r="BA2982">
        <v>1</v>
      </c>
      <c r="BB2982" t="str">
        <f t="shared" si="1164"/>
        <v xml:space="preserve">N607SR  </v>
      </c>
      <c r="BC2982">
        <v>1</v>
      </c>
      <c r="BE2982">
        <v>0</v>
      </c>
      <c r="BF2982">
        <v>0</v>
      </c>
      <c r="BG2982">
        <v>0</v>
      </c>
      <c r="BH2982">
        <v>2075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 t="shared" si="1186"/>
        <v>06:20:37.508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7</v>
      </c>
      <c r="CP2982" t="s">
        <v>119</v>
      </c>
      <c r="CQ2982">
        <v>465</v>
      </c>
      <c r="CR2982">
        <v>0</v>
      </c>
      <c r="CW2982">
        <v>4728710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 t="shared" si="1183"/>
        <v>08/29/2020 06:20:34.296</v>
      </c>
      <c r="C2983" t="str">
        <f t="shared" si="1162"/>
        <v>FFDFD3C0</v>
      </c>
      <c r="D2983" t="s">
        <v>113</v>
      </c>
      <c r="E2983">
        <v>5</v>
      </c>
      <c r="H2983">
        <v>163</v>
      </c>
      <c r="I2983" t="s">
        <v>114</v>
      </c>
      <c r="J2983" t="s">
        <v>115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184"/>
        <v>06:20:37.508</v>
      </c>
      <c r="T2983" t="str">
        <f t="shared" si="1185"/>
        <v>06:20:37.108</v>
      </c>
      <c r="U2983" t="str">
        <f t="shared" si="1163"/>
        <v>A7E2E0</v>
      </c>
      <c r="V2983">
        <v>0</v>
      </c>
      <c r="W2983">
        <v>0</v>
      </c>
      <c r="X2983">
        <v>1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0</v>
      </c>
      <c r="AI2983" t="s">
        <v>1468</v>
      </c>
      <c r="AJ2983">
        <v>38.866131000000003</v>
      </c>
      <c r="AK2983" t="s">
        <v>1469</v>
      </c>
      <c r="AL2983">
        <v>-87.609615000000005</v>
      </c>
      <c r="AM2983">
        <v>100</v>
      </c>
      <c r="AN2983">
        <v>2300</v>
      </c>
      <c r="AO2983" t="s">
        <v>118</v>
      </c>
      <c r="AP2983">
        <v>7</v>
      </c>
      <c r="AQ2983">
        <v>-124</v>
      </c>
      <c r="AR2983">
        <v>-256</v>
      </c>
      <c r="AZ2983">
        <v>4552</v>
      </c>
      <c r="BA2983">
        <v>1</v>
      </c>
      <c r="BB2983" t="str">
        <f t="shared" si="1164"/>
        <v xml:space="preserve">N607SR  </v>
      </c>
      <c r="BC2983">
        <v>1</v>
      </c>
      <c r="BE2983">
        <v>0</v>
      </c>
      <c r="BF2983">
        <v>0</v>
      </c>
      <c r="BG2983">
        <v>0</v>
      </c>
      <c r="BH2983">
        <v>2075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 t="shared" si="1186"/>
        <v>06:20:37.508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119</v>
      </c>
      <c r="CQ2983">
        <v>465</v>
      </c>
      <c r="CR2983">
        <v>0</v>
      </c>
      <c r="CW2983">
        <v>4728710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 t="shared" si="1183"/>
        <v>08/29/2020 06:20:34.296</v>
      </c>
      <c r="C2984" t="str">
        <f t="shared" si="1162"/>
        <v>FFDFD3C0</v>
      </c>
      <c r="D2984" t="s">
        <v>128</v>
      </c>
      <c r="E2984">
        <v>5</v>
      </c>
      <c r="H2984">
        <v>241</v>
      </c>
      <c r="I2984" t="s">
        <v>129</v>
      </c>
      <c r="J2984" t="s">
        <v>130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184"/>
        <v>06:20:37.508</v>
      </c>
      <c r="T2984" t="str">
        <f t="shared" si="1185"/>
        <v>06:20:37.108</v>
      </c>
      <c r="U2984" t="str">
        <f t="shared" si="1163"/>
        <v>A7E2E0</v>
      </c>
      <c r="V2984">
        <v>0</v>
      </c>
      <c r="W2984">
        <v>0</v>
      </c>
      <c r="X2984">
        <v>1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0</v>
      </c>
      <c r="AI2984" t="s">
        <v>1468</v>
      </c>
      <c r="AJ2984">
        <v>38.866131000000003</v>
      </c>
      <c r="AK2984" t="s">
        <v>1469</v>
      </c>
      <c r="AL2984">
        <v>-87.609615000000005</v>
      </c>
      <c r="AM2984">
        <v>100</v>
      </c>
      <c r="AN2984">
        <v>2300</v>
      </c>
      <c r="AO2984" t="s">
        <v>118</v>
      </c>
      <c r="AP2984">
        <v>7</v>
      </c>
      <c r="AQ2984">
        <v>-124</v>
      </c>
      <c r="AR2984">
        <v>-256</v>
      </c>
      <c r="AZ2984">
        <v>4552</v>
      </c>
      <c r="BA2984">
        <v>1</v>
      </c>
      <c r="BB2984" t="str">
        <f t="shared" si="1164"/>
        <v xml:space="preserve">N607SR  </v>
      </c>
      <c r="BC2984">
        <v>1</v>
      </c>
      <c r="BE2984">
        <v>0</v>
      </c>
      <c r="BF2984">
        <v>0</v>
      </c>
      <c r="BG2984">
        <v>0</v>
      </c>
      <c r="BH2984">
        <v>2075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 t="shared" si="1186"/>
        <v>06:20:37.508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119</v>
      </c>
      <c r="CQ2984">
        <v>465</v>
      </c>
      <c r="CR2984">
        <v>0</v>
      </c>
      <c r="CW2984">
        <v>4728710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 t="shared" ref="A2985:A2990" si="1187">"08/29/2020 06:20:35.181"</f>
        <v>08/29/2020 06:20:35.181</v>
      </c>
      <c r="C2985" t="str">
        <f t="shared" si="1162"/>
        <v>FFDFD3C0</v>
      </c>
      <c r="D2985" t="s">
        <v>121</v>
      </c>
      <c r="E2985">
        <v>10</v>
      </c>
      <c r="F2985">
        <v>1010</v>
      </c>
      <c r="G2985" t="s">
        <v>114</v>
      </c>
      <c r="J2985" t="s">
        <v>123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ref="S2985:S2990" si="1188">"06:20:38.398"</f>
        <v>06:20:38.398</v>
      </c>
      <c r="T2985" t="str">
        <f>"06:20:37.998"</f>
        <v>06:20:37.998</v>
      </c>
      <c r="U2985" t="str">
        <f t="shared" si="1163"/>
        <v>A7E2E0</v>
      </c>
      <c r="V2985">
        <v>0</v>
      </c>
      <c r="W2985">
        <v>0</v>
      </c>
      <c r="X2985">
        <v>1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0</v>
      </c>
      <c r="AI2985" t="s">
        <v>1470</v>
      </c>
      <c r="AJ2985">
        <v>38.865594999999999</v>
      </c>
      <c r="AK2985" t="s">
        <v>1471</v>
      </c>
      <c r="AL2985">
        <v>-87.609572</v>
      </c>
      <c r="AM2985">
        <v>100</v>
      </c>
      <c r="AN2985">
        <v>2300</v>
      </c>
      <c r="AO2985" t="s">
        <v>118</v>
      </c>
      <c r="AP2985">
        <v>8</v>
      </c>
      <c r="AQ2985">
        <v>-124</v>
      </c>
      <c r="AR2985">
        <v>-256</v>
      </c>
      <c r="AZ2985">
        <v>4552</v>
      </c>
      <c r="BA2985">
        <v>1</v>
      </c>
      <c r="BB2985" t="str">
        <f t="shared" si="1164"/>
        <v xml:space="preserve">N607SR  </v>
      </c>
      <c r="BC2985">
        <v>1</v>
      </c>
      <c r="BE2985">
        <v>0</v>
      </c>
      <c r="BF2985">
        <v>0</v>
      </c>
      <c r="BG2985">
        <v>0</v>
      </c>
      <c r="BH2985">
        <v>2075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 t="shared" ref="BW2985:BW2990" si="1189">"06:20:38.406"</f>
        <v>06:20:38.406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119</v>
      </c>
      <c r="CQ2985">
        <v>465</v>
      </c>
      <c r="CR2985">
        <v>0</v>
      </c>
      <c r="CW2985">
        <v>4728737</v>
      </c>
      <c r="CY2985">
        <v>1</v>
      </c>
      <c r="CZ2985">
        <v>0</v>
      </c>
      <c r="DA2985">
        <v>0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 t="shared" si="1187"/>
        <v>08/29/2020 06:20:35.181</v>
      </c>
      <c r="C2986" t="str">
        <f t="shared" si="1162"/>
        <v>FFDFD3C0</v>
      </c>
      <c r="D2986" t="s">
        <v>113</v>
      </c>
      <c r="E2986">
        <v>5</v>
      </c>
      <c r="H2986">
        <v>163</v>
      </c>
      <c r="I2986" t="s">
        <v>114</v>
      </c>
      <c r="J2986" t="s">
        <v>115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188"/>
        <v>06:20:38.398</v>
      </c>
      <c r="T2986" t="str">
        <f>"06:20:37.998"</f>
        <v>06:20:37.998</v>
      </c>
      <c r="U2986" t="str">
        <f t="shared" si="1163"/>
        <v>A7E2E0</v>
      </c>
      <c r="V2986">
        <v>0</v>
      </c>
      <c r="W2986">
        <v>0</v>
      </c>
      <c r="X2986">
        <v>1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0</v>
      </c>
      <c r="AI2986" t="s">
        <v>1470</v>
      </c>
      <c r="AJ2986">
        <v>38.865594999999999</v>
      </c>
      <c r="AK2986" t="s">
        <v>1471</v>
      </c>
      <c r="AL2986">
        <v>-87.609572</v>
      </c>
      <c r="AM2986">
        <v>100</v>
      </c>
      <c r="AN2986">
        <v>2300</v>
      </c>
      <c r="AO2986" t="s">
        <v>118</v>
      </c>
      <c r="AP2986">
        <v>8</v>
      </c>
      <c r="AQ2986">
        <v>-124</v>
      </c>
      <c r="AR2986">
        <v>-256</v>
      </c>
      <c r="AZ2986">
        <v>4552</v>
      </c>
      <c r="BA2986">
        <v>1</v>
      </c>
      <c r="BB2986" t="str">
        <f t="shared" si="1164"/>
        <v xml:space="preserve">N607SR  </v>
      </c>
      <c r="BC2986">
        <v>1</v>
      </c>
      <c r="BE2986">
        <v>0</v>
      </c>
      <c r="BF2986">
        <v>0</v>
      </c>
      <c r="BG2986">
        <v>0</v>
      </c>
      <c r="BH2986">
        <v>2075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 t="shared" si="1189"/>
        <v>06:20:38.406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465</v>
      </c>
      <c r="CR2986">
        <v>0</v>
      </c>
      <c r="CW2986">
        <v>4728737</v>
      </c>
      <c r="CY2986">
        <v>1</v>
      </c>
      <c r="CZ2986">
        <v>0</v>
      </c>
      <c r="DA2986">
        <v>1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 t="shared" si="1187"/>
        <v>08/29/2020 06:20:35.181</v>
      </c>
      <c r="C2987" t="str">
        <f t="shared" si="1162"/>
        <v>FFDFD3C0</v>
      </c>
      <c r="D2987" t="s">
        <v>128</v>
      </c>
      <c r="E2987">
        <v>5</v>
      </c>
      <c r="H2987">
        <v>241</v>
      </c>
      <c r="I2987" t="s">
        <v>129</v>
      </c>
      <c r="J2987" t="s">
        <v>130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si="1188"/>
        <v>06:20:38.398</v>
      </c>
      <c r="T2987" t="str">
        <f>"06:20:37.998"</f>
        <v>06:20:37.998</v>
      </c>
      <c r="U2987" t="str">
        <f t="shared" si="1163"/>
        <v>A7E2E0</v>
      </c>
      <c r="V2987">
        <v>0</v>
      </c>
      <c r="W2987">
        <v>0</v>
      </c>
      <c r="X2987">
        <v>1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0</v>
      </c>
      <c r="AI2987" t="s">
        <v>1470</v>
      </c>
      <c r="AJ2987">
        <v>38.865594999999999</v>
      </c>
      <c r="AK2987" t="s">
        <v>1471</v>
      </c>
      <c r="AL2987">
        <v>-87.609572</v>
      </c>
      <c r="AM2987">
        <v>100</v>
      </c>
      <c r="AN2987">
        <v>2300</v>
      </c>
      <c r="AO2987" t="s">
        <v>118</v>
      </c>
      <c r="AP2987">
        <v>8</v>
      </c>
      <c r="AQ2987">
        <v>-124</v>
      </c>
      <c r="AR2987">
        <v>-256</v>
      </c>
      <c r="AZ2987">
        <v>4552</v>
      </c>
      <c r="BA2987">
        <v>1</v>
      </c>
      <c r="BB2987" t="str">
        <f t="shared" si="1164"/>
        <v xml:space="preserve">N607SR  </v>
      </c>
      <c r="BC2987">
        <v>1</v>
      </c>
      <c r="BE2987">
        <v>0</v>
      </c>
      <c r="BF2987">
        <v>0</v>
      </c>
      <c r="BG2987">
        <v>0</v>
      </c>
      <c r="BH2987">
        <v>2075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 t="shared" si="1189"/>
        <v>06:20:38.406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7</v>
      </c>
      <c r="CP2987" t="s">
        <v>119</v>
      </c>
      <c r="CQ2987">
        <v>465</v>
      </c>
      <c r="CR2987">
        <v>0</v>
      </c>
      <c r="CW2987">
        <v>4728737</v>
      </c>
      <c r="CY2987">
        <v>1</v>
      </c>
      <c r="CZ2987">
        <v>0</v>
      </c>
      <c r="DA2987">
        <v>1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 t="shared" si="1187"/>
        <v>08/29/2020 06:20:35.181</v>
      </c>
      <c r="C2988" t="str">
        <f t="shared" si="1162"/>
        <v>FFDFD3C0</v>
      </c>
      <c r="D2988" t="s">
        <v>121</v>
      </c>
      <c r="E2988">
        <v>13</v>
      </c>
      <c r="F2988">
        <v>1013</v>
      </c>
      <c r="G2988" t="s">
        <v>122</v>
      </c>
      <c r="J2988" t="s">
        <v>123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188"/>
        <v>06:20:38.398</v>
      </c>
      <c r="T2988" t="str">
        <f>"06:20:37.998"</f>
        <v>06:20:37.998</v>
      </c>
      <c r="U2988" t="str">
        <f t="shared" si="1163"/>
        <v>A7E2E0</v>
      </c>
      <c r="V2988">
        <v>0</v>
      </c>
      <c r="W2988">
        <v>0</v>
      </c>
      <c r="X2988">
        <v>1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0</v>
      </c>
      <c r="AI2988" t="s">
        <v>1470</v>
      </c>
      <c r="AJ2988">
        <v>38.865594999999999</v>
      </c>
      <c r="AK2988" t="s">
        <v>1471</v>
      </c>
      <c r="AL2988">
        <v>-87.609572</v>
      </c>
      <c r="AM2988">
        <v>100</v>
      </c>
      <c r="AN2988">
        <v>2300</v>
      </c>
      <c r="AO2988" t="s">
        <v>118</v>
      </c>
      <c r="AP2988">
        <v>8</v>
      </c>
      <c r="AQ2988">
        <v>-124</v>
      </c>
      <c r="AR2988">
        <v>-256</v>
      </c>
      <c r="AZ2988">
        <v>4552</v>
      </c>
      <c r="BA2988">
        <v>1</v>
      </c>
      <c r="BB2988" t="str">
        <f t="shared" si="1164"/>
        <v xml:space="preserve">N607SR  </v>
      </c>
      <c r="BC2988">
        <v>1</v>
      </c>
      <c r="BE2988">
        <v>0</v>
      </c>
      <c r="BF2988">
        <v>0</v>
      </c>
      <c r="BG2988">
        <v>0</v>
      </c>
      <c r="BH2988">
        <v>2075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 t="shared" si="1189"/>
        <v>06:20:38.406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7</v>
      </c>
      <c r="CP2988" t="s">
        <v>119</v>
      </c>
      <c r="CQ2988">
        <v>465</v>
      </c>
      <c r="CR2988">
        <v>0</v>
      </c>
      <c r="CW2988">
        <v>4728737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 t="shared" si="1187"/>
        <v>08/29/2020 06:20:35.181</v>
      </c>
      <c r="C2989" t="str">
        <f t="shared" si="1162"/>
        <v>FFDFD3C0</v>
      </c>
      <c r="D2989" t="s">
        <v>939</v>
      </c>
      <c r="E2989">
        <v>10</v>
      </c>
      <c r="H2989">
        <v>79</v>
      </c>
      <c r="I2989" t="s">
        <v>940</v>
      </c>
      <c r="J2989" t="s">
        <v>130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188"/>
        <v>06:20:38.398</v>
      </c>
      <c r="T2989" t="str">
        <f>"06:20:37.998"</f>
        <v>06:20:37.998</v>
      </c>
      <c r="U2989" t="str">
        <f t="shared" si="1163"/>
        <v>A7E2E0</v>
      </c>
      <c r="V2989">
        <v>0</v>
      </c>
      <c r="W2989">
        <v>0</v>
      </c>
      <c r="X2989">
        <v>1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0</v>
      </c>
      <c r="AI2989" t="s">
        <v>1470</v>
      </c>
      <c r="AJ2989">
        <v>38.865594999999999</v>
      </c>
      <c r="AK2989" t="s">
        <v>1471</v>
      </c>
      <c r="AL2989">
        <v>-87.609572</v>
      </c>
      <c r="AM2989">
        <v>100</v>
      </c>
      <c r="AN2989">
        <v>2300</v>
      </c>
      <c r="AO2989" t="s">
        <v>118</v>
      </c>
      <c r="AP2989">
        <v>8</v>
      </c>
      <c r="AQ2989">
        <v>-124</v>
      </c>
      <c r="AR2989">
        <v>-256</v>
      </c>
      <c r="AZ2989">
        <v>4552</v>
      </c>
      <c r="BA2989">
        <v>1</v>
      </c>
      <c r="BB2989" t="str">
        <f t="shared" si="1164"/>
        <v xml:space="preserve">N607SR  </v>
      </c>
      <c r="BC2989">
        <v>1</v>
      </c>
      <c r="BE2989">
        <v>0</v>
      </c>
      <c r="BF2989">
        <v>0</v>
      </c>
      <c r="BG2989">
        <v>0</v>
      </c>
      <c r="BH2989">
        <v>2075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 t="shared" si="1189"/>
        <v>06:20:38.406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7</v>
      </c>
      <c r="CP2989" t="s">
        <v>119</v>
      </c>
      <c r="CQ2989">
        <v>465</v>
      </c>
      <c r="CR2989">
        <v>0</v>
      </c>
      <c r="CW2989">
        <v>4728737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 t="shared" si="1187"/>
        <v>08/29/2020 06:20:35.181</v>
      </c>
      <c r="C2990" t="str">
        <f t="shared" si="1162"/>
        <v>FFDFD3C0</v>
      </c>
      <c r="D2990" t="s">
        <v>121</v>
      </c>
      <c r="E2990">
        <v>11</v>
      </c>
      <c r="F2990">
        <v>1011</v>
      </c>
      <c r="G2990" t="s">
        <v>125</v>
      </c>
      <c r="J2990" t="s">
        <v>123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188"/>
        <v>06:20:38.398</v>
      </c>
      <c r="T2990" t="str">
        <f>"06:20:37.598"</f>
        <v>06:20:37.598</v>
      </c>
      <c r="U2990" t="str">
        <f t="shared" si="1163"/>
        <v>A7E2E0</v>
      </c>
      <c r="V2990">
        <v>0</v>
      </c>
      <c r="W2990">
        <v>0</v>
      </c>
      <c r="X2990">
        <v>1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0</v>
      </c>
      <c r="AI2990" t="s">
        <v>1470</v>
      </c>
      <c r="AJ2990">
        <v>38.865594999999999</v>
      </c>
      <c r="AK2990" t="s">
        <v>1471</v>
      </c>
      <c r="AL2990">
        <v>-87.609572</v>
      </c>
      <c r="AM2990">
        <v>100</v>
      </c>
      <c r="AN2990">
        <v>2300</v>
      </c>
      <c r="AO2990" t="s">
        <v>118</v>
      </c>
      <c r="AP2990">
        <v>8</v>
      </c>
      <c r="AQ2990">
        <v>-124</v>
      </c>
      <c r="AR2990">
        <v>-256</v>
      </c>
      <c r="AZ2990">
        <v>4552</v>
      </c>
      <c r="BA2990">
        <v>1</v>
      </c>
      <c r="BB2990" t="str">
        <f t="shared" si="1164"/>
        <v xml:space="preserve">N607SR  </v>
      </c>
      <c r="BC2990">
        <v>1</v>
      </c>
      <c r="BE2990">
        <v>0</v>
      </c>
      <c r="BF2990">
        <v>0</v>
      </c>
      <c r="BG2990">
        <v>0</v>
      </c>
      <c r="BH2990">
        <v>2075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 t="shared" si="1189"/>
        <v>06:20:38.406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5</v>
      </c>
      <c r="CP2990" t="s">
        <v>119</v>
      </c>
      <c r="CQ2990">
        <v>177</v>
      </c>
      <c r="CR2990">
        <v>2</v>
      </c>
      <c r="CW2990">
        <v>1687183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 t="shared" ref="A2991:A2996" si="1190">"08/29/2020 06:20:36.090"</f>
        <v>08/29/2020 06:20:36.090</v>
      </c>
      <c r="C2991" t="str">
        <f t="shared" si="1162"/>
        <v>FFDFD3C0</v>
      </c>
      <c r="D2991" t="s">
        <v>121</v>
      </c>
      <c r="E2991">
        <v>10</v>
      </c>
      <c r="F2991">
        <v>1010</v>
      </c>
      <c r="G2991" t="s">
        <v>114</v>
      </c>
      <c r="J2991" t="s">
        <v>123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ref="S2991:S2996" si="1191">"06:20:39.336"</f>
        <v>06:20:39.336</v>
      </c>
      <c r="T2991" t="str">
        <f t="shared" ref="T2991:T2996" si="1192">"06:20:38.936"</f>
        <v>06:20:38.936</v>
      </c>
      <c r="U2991" t="str">
        <f t="shared" si="1163"/>
        <v>A7E2E0</v>
      </c>
      <c r="V2991">
        <v>0</v>
      </c>
      <c r="W2991">
        <v>0</v>
      </c>
      <c r="X2991">
        <v>1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0</v>
      </c>
      <c r="AI2991" t="s">
        <v>1472</v>
      </c>
      <c r="AJ2991">
        <v>38.865057999999998</v>
      </c>
      <c r="AK2991" t="s">
        <v>1473</v>
      </c>
      <c r="AL2991">
        <v>-87.609508000000005</v>
      </c>
      <c r="AM2991">
        <v>100</v>
      </c>
      <c r="AN2991">
        <v>2300</v>
      </c>
      <c r="AO2991" t="s">
        <v>118</v>
      </c>
      <c r="AP2991">
        <v>9</v>
      </c>
      <c r="AQ2991">
        <v>-124</v>
      </c>
      <c r="AR2991">
        <v>-256</v>
      </c>
      <c r="AZ2991">
        <v>4552</v>
      </c>
      <c r="BA2991">
        <v>1</v>
      </c>
      <c r="BB2991" t="str">
        <f t="shared" si="1164"/>
        <v xml:space="preserve">N607SR  </v>
      </c>
      <c r="BC2991">
        <v>1</v>
      </c>
      <c r="BE2991">
        <v>0</v>
      </c>
      <c r="BF2991">
        <v>0</v>
      </c>
      <c r="BG2991">
        <v>0</v>
      </c>
      <c r="BH2991">
        <v>2075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 t="shared" ref="BW2991:BW2996" si="1193">"06:20:39.340"</f>
        <v>06:20:39.340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6</v>
      </c>
      <c r="CP2991" t="s">
        <v>119</v>
      </c>
      <c r="CQ2991">
        <v>465</v>
      </c>
      <c r="CR2991">
        <v>0</v>
      </c>
      <c r="CW2991">
        <v>4728764</v>
      </c>
      <c r="CY2991">
        <v>1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 t="shared" si="1190"/>
        <v>08/29/2020 06:20:36.090</v>
      </c>
      <c r="C2992" t="str">
        <f t="shared" si="1162"/>
        <v>FFDFD3C0</v>
      </c>
      <c r="D2992" t="s">
        <v>121</v>
      </c>
      <c r="E2992">
        <v>11</v>
      </c>
      <c r="F2992">
        <v>1011</v>
      </c>
      <c r="G2992" t="s">
        <v>125</v>
      </c>
      <c r="J2992" t="s">
        <v>123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191"/>
        <v>06:20:39.336</v>
      </c>
      <c r="T2992" t="str">
        <f t="shared" si="1192"/>
        <v>06:20:38.936</v>
      </c>
      <c r="U2992" t="str">
        <f t="shared" si="1163"/>
        <v>A7E2E0</v>
      </c>
      <c r="V2992">
        <v>0</v>
      </c>
      <c r="W2992">
        <v>0</v>
      </c>
      <c r="X2992">
        <v>1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0</v>
      </c>
      <c r="AI2992" t="s">
        <v>1472</v>
      </c>
      <c r="AJ2992">
        <v>38.865057999999998</v>
      </c>
      <c r="AK2992" t="s">
        <v>1473</v>
      </c>
      <c r="AL2992">
        <v>-87.609508000000005</v>
      </c>
      <c r="AM2992">
        <v>100</v>
      </c>
      <c r="AN2992">
        <v>2300</v>
      </c>
      <c r="AO2992" t="s">
        <v>118</v>
      </c>
      <c r="AP2992">
        <v>9</v>
      </c>
      <c r="AQ2992">
        <v>-124</v>
      </c>
      <c r="AR2992">
        <v>-256</v>
      </c>
      <c r="AZ2992">
        <v>4552</v>
      </c>
      <c r="BA2992">
        <v>1</v>
      </c>
      <c r="BB2992" t="str">
        <f t="shared" si="1164"/>
        <v xml:space="preserve">N607SR  </v>
      </c>
      <c r="BC2992">
        <v>1</v>
      </c>
      <c r="BE2992">
        <v>0</v>
      </c>
      <c r="BF2992">
        <v>0</v>
      </c>
      <c r="BG2992">
        <v>0</v>
      </c>
      <c r="BH2992">
        <v>2075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 t="shared" si="1193"/>
        <v>06:20:39.340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5</v>
      </c>
      <c r="CP2992" t="s">
        <v>119</v>
      </c>
      <c r="CQ2992">
        <v>177</v>
      </c>
      <c r="CR2992">
        <v>2</v>
      </c>
      <c r="CW2992">
        <v>1687354</v>
      </c>
      <c r="CY2992">
        <v>1</v>
      </c>
      <c r="CZ2992">
        <v>0</v>
      </c>
      <c r="DA2992">
        <v>1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 t="shared" si="1190"/>
        <v>08/29/2020 06:20:36.090</v>
      </c>
      <c r="C2993" t="str">
        <f t="shared" si="1162"/>
        <v>FFDFD3C0</v>
      </c>
      <c r="D2993" t="s">
        <v>113</v>
      </c>
      <c r="E2993">
        <v>5</v>
      </c>
      <c r="H2993">
        <v>163</v>
      </c>
      <c r="I2993" t="s">
        <v>114</v>
      </c>
      <c r="J2993" t="s">
        <v>115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191"/>
        <v>06:20:39.336</v>
      </c>
      <c r="T2993" t="str">
        <f t="shared" si="1192"/>
        <v>06:20:38.936</v>
      </c>
      <c r="U2993" t="str">
        <f t="shared" si="1163"/>
        <v>A7E2E0</v>
      </c>
      <c r="V2993">
        <v>0</v>
      </c>
      <c r="W2993">
        <v>0</v>
      </c>
      <c r="X2993">
        <v>1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0</v>
      </c>
      <c r="AI2993" t="s">
        <v>1472</v>
      </c>
      <c r="AJ2993">
        <v>38.865057999999998</v>
      </c>
      <c r="AK2993" t="s">
        <v>1473</v>
      </c>
      <c r="AL2993">
        <v>-87.609508000000005</v>
      </c>
      <c r="AM2993">
        <v>100</v>
      </c>
      <c r="AN2993">
        <v>2300</v>
      </c>
      <c r="AO2993" t="s">
        <v>118</v>
      </c>
      <c r="AP2993">
        <v>9</v>
      </c>
      <c r="AQ2993">
        <v>-124</v>
      </c>
      <c r="AR2993">
        <v>-256</v>
      </c>
      <c r="AZ2993">
        <v>4552</v>
      </c>
      <c r="BA2993">
        <v>1</v>
      </c>
      <c r="BB2993" t="str">
        <f t="shared" si="1164"/>
        <v xml:space="preserve">N607SR  </v>
      </c>
      <c r="BC2993">
        <v>1</v>
      </c>
      <c r="BE2993">
        <v>0</v>
      </c>
      <c r="BF2993">
        <v>0</v>
      </c>
      <c r="BG2993">
        <v>0</v>
      </c>
      <c r="BH2993">
        <v>2075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 t="shared" si="1193"/>
        <v>06:20:39.340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6</v>
      </c>
      <c r="CP2993" t="s">
        <v>119</v>
      </c>
      <c r="CQ2993">
        <v>465</v>
      </c>
      <c r="CR2993">
        <v>0</v>
      </c>
      <c r="CW2993">
        <v>4728764</v>
      </c>
      <c r="CY2993">
        <v>1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 t="shared" si="1190"/>
        <v>08/29/2020 06:20:36.090</v>
      </c>
      <c r="C2994" t="str">
        <f t="shared" si="1162"/>
        <v>FFDFD3C0</v>
      </c>
      <c r="D2994" t="s">
        <v>128</v>
      </c>
      <c r="E2994">
        <v>5</v>
      </c>
      <c r="H2994">
        <v>241</v>
      </c>
      <c r="I2994" t="s">
        <v>129</v>
      </c>
      <c r="J2994" t="s">
        <v>130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191"/>
        <v>06:20:39.336</v>
      </c>
      <c r="T2994" t="str">
        <f t="shared" si="1192"/>
        <v>06:20:38.936</v>
      </c>
      <c r="U2994" t="str">
        <f t="shared" si="1163"/>
        <v>A7E2E0</v>
      </c>
      <c r="V2994">
        <v>0</v>
      </c>
      <c r="W2994">
        <v>0</v>
      </c>
      <c r="X2994">
        <v>1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0</v>
      </c>
      <c r="AI2994" t="s">
        <v>1472</v>
      </c>
      <c r="AJ2994">
        <v>38.865057999999998</v>
      </c>
      <c r="AK2994" t="s">
        <v>1473</v>
      </c>
      <c r="AL2994">
        <v>-87.609508000000005</v>
      </c>
      <c r="AM2994">
        <v>100</v>
      </c>
      <c r="AN2994">
        <v>2300</v>
      </c>
      <c r="AO2994" t="s">
        <v>118</v>
      </c>
      <c r="AP2994">
        <v>9</v>
      </c>
      <c r="AQ2994">
        <v>-124</v>
      </c>
      <c r="AR2994">
        <v>-256</v>
      </c>
      <c r="AZ2994">
        <v>4552</v>
      </c>
      <c r="BA2994">
        <v>1</v>
      </c>
      <c r="BB2994" t="str">
        <f t="shared" si="1164"/>
        <v xml:space="preserve">N607SR  </v>
      </c>
      <c r="BC2994">
        <v>1</v>
      </c>
      <c r="BE2994">
        <v>0</v>
      </c>
      <c r="BF2994">
        <v>0</v>
      </c>
      <c r="BG2994">
        <v>0</v>
      </c>
      <c r="BH2994">
        <v>2075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 t="shared" si="1193"/>
        <v>06:20:39.340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6</v>
      </c>
      <c r="CP2994" t="s">
        <v>119</v>
      </c>
      <c r="CQ2994">
        <v>465</v>
      </c>
      <c r="CR2994">
        <v>0</v>
      </c>
      <c r="CW2994">
        <v>4728764</v>
      </c>
      <c r="CY2994">
        <v>1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 t="shared" si="1190"/>
        <v>08/29/2020 06:20:36.090</v>
      </c>
      <c r="C2995" t="str">
        <f t="shared" si="1162"/>
        <v>FFDFD3C0</v>
      </c>
      <c r="D2995" t="s">
        <v>121</v>
      </c>
      <c r="E2995">
        <v>13</v>
      </c>
      <c r="F2995">
        <v>1013</v>
      </c>
      <c r="G2995" t="s">
        <v>122</v>
      </c>
      <c r="J2995" t="s">
        <v>123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191"/>
        <v>06:20:39.336</v>
      </c>
      <c r="T2995" t="str">
        <f t="shared" si="1192"/>
        <v>06:20:38.936</v>
      </c>
      <c r="U2995" t="str">
        <f t="shared" si="1163"/>
        <v>A7E2E0</v>
      </c>
      <c r="V2995">
        <v>0</v>
      </c>
      <c r="W2995">
        <v>0</v>
      </c>
      <c r="X2995">
        <v>1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0</v>
      </c>
      <c r="AI2995" t="s">
        <v>1472</v>
      </c>
      <c r="AJ2995">
        <v>38.865057999999998</v>
      </c>
      <c r="AK2995" t="s">
        <v>1473</v>
      </c>
      <c r="AL2995">
        <v>-87.609508000000005</v>
      </c>
      <c r="AM2995">
        <v>100</v>
      </c>
      <c r="AN2995">
        <v>2300</v>
      </c>
      <c r="AO2995" t="s">
        <v>118</v>
      </c>
      <c r="AP2995">
        <v>9</v>
      </c>
      <c r="AQ2995">
        <v>-124</v>
      </c>
      <c r="AR2995">
        <v>-256</v>
      </c>
      <c r="AZ2995">
        <v>4552</v>
      </c>
      <c r="BA2995">
        <v>1</v>
      </c>
      <c r="BB2995" t="str">
        <f t="shared" si="1164"/>
        <v xml:space="preserve">N607SR  </v>
      </c>
      <c r="BC2995">
        <v>1</v>
      </c>
      <c r="BE2995">
        <v>0</v>
      </c>
      <c r="BF2995">
        <v>0</v>
      </c>
      <c r="BG2995">
        <v>0</v>
      </c>
      <c r="BH2995">
        <v>2075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 t="shared" si="1193"/>
        <v>06:20:39.340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6</v>
      </c>
      <c r="CP2995" t="s">
        <v>119</v>
      </c>
      <c r="CQ2995">
        <v>465</v>
      </c>
      <c r="CR2995">
        <v>0</v>
      </c>
      <c r="CW2995">
        <v>4728764</v>
      </c>
      <c r="CY2995">
        <v>1</v>
      </c>
      <c r="CZ2995">
        <v>0</v>
      </c>
      <c r="DA2995">
        <v>1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 t="shared" si="1190"/>
        <v>08/29/2020 06:20:36.090</v>
      </c>
      <c r="C2996" t="str">
        <f t="shared" si="1162"/>
        <v>FFDFD3C0</v>
      </c>
      <c r="D2996" t="s">
        <v>939</v>
      </c>
      <c r="E2996">
        <v>10</v>
      </c>
      <c r="H2996">
        <v>79</v>
      </c>
      <c r="I2996" t="s">
        <v>940</v>
      </c>
      <c r="J2996" t="s">
        <v>130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si="1191"/>
        <v>06:20:39.336</v>
      </c>
      <c r="T2996" t="str">
        <f t="shared" si="1192"/>
        <v>06:20:38.936</v>
      </c>
      <c r="U2996" t="str">
        <f t="shared" si="1163"/>
        <v>A7E2E0</v>
      </c>
      <c r="V2996">
        <v>0</v>
      </c>
      <c r="W2996">
        <v>0</v>
      </c>
      <c r="X2996">
        <v>1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0</v>
      </c>
      <c r="AI2996" t="s">
        <v>1472</v>
      </c>
      <c r="AJ2996">
        <v>38.865057999999998</v>
      </c>
      <c r="AK2996" t="s">
        <v>1473</v>
      </c>
      <c r="AL2996">
        <v>-87.609508000000005</v>
      </c>
      <c r="AM2996">
        <v>100</v>
      </c>
      <c r="AN2996">
        <v>2300</v>
      </c>
      <c r="AO2996" t="s">
        <v>118</v>
      </c>
      <c r="AP2996">
        <v>9</v>
      </c>
      <c r="AQ2996">
        <v>-124</v>
      </c>
      <c r="AR2996">
        <v>-256</v>
      </c>
      <c r="AZ2996">
        <v>4552</v>
      </c>
      <c r="BA2996">
        <v>1</v>
      </c>
      <c r="BB2996" t="str">
        <f t="shared" si="1164"/>
        <v xml:space="preserve">N607SR  </v>
      </c>
      <c r="BC2996">
        <v>1</v>
      </c>
      <c r="BE2996">
        <v>0</v>
      </c>
      <c r="BF2996">
        <v>0</v>
      </c>
      <c r="BG2996">
        <v>0</v>
      </c>
      <c r="BH2996">
        <v>2075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 t="shared" si="1193"/>
        <v>06:20:39.340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6</v>
      </c>
      <c r="CP2996" t="s">
        <v>119</v>
      </c>
      <c r="CQ2996">
        <v>465</v>
      </c>
      <c r="CR2996">
        <v>0</v>
      </c>
      <c r="CW2996">
        <v>4728764</v>
      </c>
      <c r="CY2996">
        <v>1</v>
      </c>
      <c r="CZ2996">
        <v>0</v>
      </c>
      <c r="DA2996">
        <v>1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 t="shared" ref="A2997:A3002" si="1194">"08/29/2020 06:20:37.170"</f>
        <v>08/29/2020 06:20:37.170</v>
      </c>
      <c r="C2997" t="str">
        <f t="shared" si="1162"/>
        <v>FFDFD3C0</v>
      </c>
      <c r="D2997" t="s">
        <v>128</v>
      </c>
      <c r="E2997">
        <v>5</v>
      </c>
      <c r="H2997">
        <v>241</v>
      </c>
      <c r="I2997" t="s">
        <v>129</v>
      </c>
      <c r="J2997" t="s">
        <v>130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ref="S2997:S3002" si="1195">"06:20:40.414"</f>
        <v>06:20:40.414</v>
      </c>
      <c r="T2997" t="str">
        <f t="shared" ref="T2997:T3002" si="1196">"06:20:40.014"</f>
        <v>06:20:40.014</v>
      </c>
      <c r="U2997" t="str">
        <f t="shared" si="1163"/>
        <v>A7E2E0</v>
      </c>
      <c r="V2997">
        <v>0</v>
      </c>
      <c r="W2997">
        <v>0</v>
      </c>
      <c r="X2997">
        <v>1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0</v>
      </c>
      <c r="AI2997" t="s">
        <v>1474</v>
      </c>
      <c r="AJ2997">
        <v>38.864415000000001</v>
      </c>
      <c r="AK2997" t="s">
        <v>1475</v>
      </c>
      <c r="AL2997">
        <v>-87.609443999999996</v>
      </c>
      <c r="AM2997">
        <v>100</v>
      </c>
      <c r="AN2997">
        <v>2300</v>
      </c>
      <c r="AO2997" t="s">
        <v>118</v>
      </c>
      <c r="AP2997">
        <v>10</v>
      </c>
      <c r="AQ2997">
        <v>-124</v>
      </c>
      <c r="AR2997">
        <v>-256</v>
      </c>
      <c r="AZ2997">
        <v>4552</v>
      </c>
      <c r="BA2997">
        <v>1</v>
      </c>
      <c r="BB2997" t="str">
        <f t="shared" si="1164"/>
        <v xml:space="preserve">N607SR  </v>
      </c>
      <c r="BC2997">
        <v>1</v>
      </c>
      <c r="BE2997">
        <v>0</v>
      </c>
      <c r="BF2997">
        <v>0</v>
      </c>
      <c r="BG2997">
        <v>0</v>
      </c>
      <c r="BH2997">
        <v>2075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 t="shared" ref="BW2997:BW3002" si="1197">"06:20:40.419"</f>
        <v>06:20:40.419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7</v>
      </c>
      <c r="CP2997" t="s">
        <v>119</v>
      </c>
      <c r="CQ2997">
        <v>465</v>
      </c>
      <c r="CR2997">
        <v>0</v>
      </c>
      <c r="CW2997">
        <v>4728797</v>
      </c>
      <c r="CY2997">
        <v>1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 t="shared" si="1194"/>
        <v>08/29/2020 06:20:37.170</v>
      </c>
      <c r="C2998" t="str">
        <f t="shared" si="1162"/>
        <v>FFDFD3C0</v>
      </c>
      <c r="D2998" t="s">
        <v>939</v>
      </c>
      <c r="E2998">
        <v>10</v>
      </c>
      <c r="H2998">
        <v>79</v>
      </c>
      <c r="I2998" t="s">
        <v>940</v>
      </c>
      <c r="J2998" t="s">
        <v>130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195"/>
        <v>06:20:40.414</v>
      </c>
      <c r="T2998" t="str">
        <f t="shared" si="1196"/>
        <v>06:20:40.014</v>
      </c>
      <c r="U2998" t="str">
        <f t="shared" si="1163"/>
        <v>A7E2E0</v>
      </c>
      <c r="V2998">
        <v>0</v>
      </c>
      <c r="W2998">
        <v>0</v>
      </c>
      <c r="X2998">
        <v>1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0</v>
      </c>
      <c r="AI2998" t="s">
        <v>1474</v>
      </c>
      <c r="AJ2998">
        <v>38.864415000000001</v>
      </c>
      <c r="AK2998" t="s">
        <v>1475</v>
      </c>
      <c r="AL2998">
        <v>-87.609443999999996</v>
      </c>
      <c r="AM2998">
        <v>100</v>
      </c>
      <c r="AN2998">
        <v>2300</v>
      </c>
      <c r="AO2998" t="s">
        <v>118</v>
      </c>
      <c r="AP2998">
        <v>10</v>
      </c>
      <c r="AQ2998">
        <v>-124</v>
      </c>
      <c r="AR2998">
        <v>-256</v>
      </c>
      <c r="AZ2998">
        <v>4552</v>
      </c>
      <c r="BA2998">
        <v>1</v>
      </c>
      <c r="BB2998" t="str">
        <f t="shared" si="1164"/>
        <v xml:space="preserve">N607SR  </v>
      </c>
      <c r="BC2998">
        <v>1</v>
      </c>
      <c r="BE2998">
        <v>0</v>
      </c>
      <c r="BF2998">
        <v>0</v>
      </c>
      <c r="BG2998">
        <v>0</v>
      </c>
      <c r="BH2998">
        <v>2075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 t="shared" si="1197"/>
        <v>06:20:40.419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119</v>
      </c>
      <c r="CQ2998">
        <v>465</v>
      </c>
      <c r="CR2998">
        <v>0</v>
      </c>
      <c r="CW2998">
        <v>4728797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 t="shared" si="1194"/>
        <v>08/29/2020 06:20:37.170</v>
      </c>
      <c r="C2999" t="str">
        <f t="shared" si="1162"/>
        <v>FFDFD3C0</v>
      </c>
      <c r="D2999" t="s">
        <v>121</v>
      </c>
      <c r="E2999">
        <v>13</v>
      </c>
      <c r="F2999">
        <v>1013</v>
      </c>
      <c r="G2999" t="s">
        <v>122</v>
      </c>
      <c r="J2999" t="s">
        <v>123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195"/>
        <v>06:20:40.414</v>
      </c>
      <c r="T2999" t="str">
        <f t="shared" si="1196"/>
        <v>06:20:40.014</v>
      </c>
      <c r="U2999" t="str">
        <f t="shared" si="1163"/>
        <v>A7E2E0</v>
      </c>
      <c r="V2999">
        <v>0</v>
      </c>
      <c r="W2999">
        <v>0</v>
      </c>
      <c r="X2999">
        <v>1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0</v>
      </c>
      <c r="AI2999" t="s">
        <v>1474</v>
      </c>
      <c r="AJ2999">
        <v>38.864415000000001</v>
      </c>
      <c r="AK2999" t="s">
        <v>1475</v>
      </c>
      <c r="AL2999">
        <v>-87.609443999999996</v>
      </c>
      <c r="AM2999">
        <v>100</v>
      </c>
      <c r="AN2999">
        <v>2300</v>
      </c>
      <c r="AO2999" t="s">
        <v>118</v>
      </c>
      <c r="AP2999">
        <v>10</v>
      </c>
      <c r="AQ2999">
        <v>-124</v>
      </c>
      <c r="AR2999">
        <v>-256</v>
      </c>
      <c r="AZ2999">
        <v>4552</v>
      </c>
      <c r="BA2999">
        <v>1</v>
      </c>
      <c r="BB2999" t="str">
        <f t="shared" si="1164"/>
        <v xml:space="preserve">N607SR  </v>
      </c>
      <c r="BC2999">
        <v>1</v>
      </c>
      <c r="BE2999">
        <v>0</v>
      </c>
      <c r="BF2999">
        <v>0</v>
      </c>
      <c r="BG2999">
        <v>0</v>
      </c>
      <c r="BH2999">
        <v>2075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 t="shared" si="1197"/>
        <v>06:20:40.419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119</v>
      </c>
      <c r="CQ2999">
        <v>465</v>
      </c>
      <c r="CR2999">
        <v>0</v>
      </c>
      <c r="CW2999">
        <v>4728797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 t="shared" si="1194"/>
        <v>08/29/2020 06:20:37.170</v>
      </c>
      <c r="C3000" t="str">
        <f t="shared" si="1162"/>
        <v>FFDFD3C0</v>
      </c>
      <c r="D3000" t="s">
        <v>121</v>
      </c>
      <c r="E3000">
        <v>10</v>
      </c>
      <c r="F3000">
        <v>1010</v>
      </c>
      <c r="G3000" t="s">
        <v>114</v>
      </c>
      <c r="J3000" t="s">
        <v>123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195"/>
        <v>06:20:40.414</v>
      </c>
      <c r="T3000" t="str">
        <f t="shared" si="1196"/>
        <v>06:20:40.014</v>
      </c>
      <c r="U3000" t="str">
        <f t="shared" si="1163"/>
        <v>A7E2E0</v>
      </c>
      <c r="V3000">
        <v>0</v>
      </c>
      <c r="W3000">
        <v>0</v>
      </c>
      <c r="X3000">
        <v>1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0</v>
      </c>
      <c r="AI3000" t="s">
        <v>1474</v>
      </c>
      <c r="AJ3000">
        <v>38.864415000000001</v>
      </c>
      <c r="AK3000" t="s">
        <v>1475</v>
      </c>
      <c r="AL3000">
        <v>-87.609443999999996</v>
      </c>
      <c r="AM3000">
        <v>100</v>
      </c>
      <c r="AN3000">
        <v>2300</v>
      </c>
      <c r="AO3000" t="s">
        <v>118</v>
      </c>
      <c r="AP3000">
        <v>10</v>
      </c>
      <c r="AQ3000">
        <v>-124</v>
      </c>
      <c r="AR3000">
        <v>-256</v>
      </c>
      <c r="AZ3000">
        <v>4552</v>
      </c>
      <c r="BA3000">
        <v>1</v>
      </c>
      <c r="BB3000" t="str">
        <f t="shared" si="1164"/>
        <v xml:space="preserve">N607SR  </v>
      </c>
      <c r="BC3000">
        <v>1</v>
      </c>
      <c r="BE3000">
        <v>0</v>
      </c>
      <c r="BF3000">
        <v>0</v>
      </c>
      <c r="BG3000">
        <v>0</v>
      </c>
      <c r="BH3000">
        <v>2075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 t="shared" si="1197"/>
        <v>06:20:40.419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119</v>
      </c>
      <c r="CQ3000">
        <v>465</v>
      </c>
      <c r="CR3000">
        <v>0</v>
      </c>
      <c r="CW3000">
        <v>4728797</v>
      </c>
      <c r="CY3000">
        <v>1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 t="shared" si="1194"/>
        <v>08/29/2020 06:20:37.170</v>
      </c>
      <c r="C3001" t="str">
        <f t="shared" si="1162"/>
        <v>FFDFD3C0</v>
      </c>
      <c r="D3001" t="s">
        <v>121</v>
      </c>
      <c r="E3001">
        <v>11</v>
      </c>
      <c r="F3001">
        <v>1011</v>
      </c>
      <c r="G3001" t="s">
        <v>125</v>
      </c>
      <c r="J3001" t="s">
        <v>123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 t="shared" si="1195"/>
        <v>06:20:40.414</v>
      </c>
      <c r="T3001" t="str">
        <f t="shared" si="1196"/>
        <v>06:20:40.014</v>
      </c>
      <c r="U3001" t="str">
        <f t="shared" si="1163"/>
        <v>A7E2E0</v>
      </c>
      <c r="V3001">
        <v>0</v>
      </c>
      <c r="W3001">
        <v>0</v>
      </c>
      <c r="X3001">
        <v>1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0</v>
      </c>
      <c r="AI3001" t="s">
        <v>1474</v>
      </c>
      <c r="AJ3001">
        <v>38.864415000000001</v>
      </c>
      <c r="AK3001" t="s">
        <v>1475</v>
      </c>
      <c r="AL3001">
        <v>-87.609443999999996</v>
      </c>
      <c r="AM3001">
        <v>100</v>
      </c>
      <c r="AN3001">
        <v>2300</v>
      </c>
      <c r="AO3001" t="s">
        <v>118</v>
      </c>
      <c r="AP3001">
        <v>10</v>
      </c>
      <c r="AQ3001">
        <v>-124</v>
      </c>
      <c r="AR3001">
        <v>-256</v>
      </c>
      <c r="AZ3001">
        <v>4552</v>
      </c>
      <c r="BA3001">
        <v>1</v>
      </c>
      <c r="BB3001" t="str">
        <f t="shared" si="1164"/>
        <v xml:space="preserve">N607SR  </v>
      </c>
      <c r="BC3001">
        <v>1</v>
      </c>
      <c r="BE3001">
        <v>0</v>
      </c>
      <c r="BF3001">
        <v>0</v>
      </c>
      <c r="BG3001">
        <v>0</v>
      </c>
      <c r="BH3001">
        <v>2075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 t="shared" si="1197"/>
        <v>06:20:40.419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5</v>
      </c>
      <c r="CP3001" t="s">
        <v>119</v>
      </c>
      <c r="CQ3001">
        <v>177</v>
      </c>
      <c r="CR3001">
        <v>2</v>
      </c>
      <c r="CW3001">
        <v>1687549</v>
      </c>
      <c r="CY3001">
        <v>1</v>
      </c>
      <c r="CZ3001">
        <v>0</v>
      </c>
      <c r="DA3001">
        <v>1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 t="shared" si="1194"/>
        <v>08/29/2020 06:20:37.170</v>
      </c>
      <c r="C3002" t="str">
        <f t="shared" si="1162"/>
        <v>FFDFD3C0</v>
      </c>
      <c r="D3002" t="s">
        <v>113</v>
      </c>
      <c r="E3002">
        <v>5</v>
      </c>
      <c r="H3002">
        <v>163</v>
      </c>
      <c r="I3002" t="s">
        <v>114</v>
      </c>
      <c r="J3002" t="s">
        <v>115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si="1195"/>
        <v>06:20:40.414</v>
      </c>
      <c r="T3002" t="str">
        <f t="shared" si="1196"/>
        <v>06:20:40.014</v>
      </c>
      <c r="U3002" t="str">
        <f t="shared" si="1163"/>
        <v>A7E2E0</v>
      </c>
      <c r="V3002">
        <v>0</v>
      </c>
      <c r="W3002">
        <v>0</v>
      </c>
      <c r="X3002">
        <v>1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0</v>
      </c>
      <c r="AI3002" t="s">
        <v>1474</v>
      </c>
      <c r="AJ3002">
        <v>38.864415000000001</v>
      </c>
      <c r="AK3002" t="s">
        <v>1475</v>
      </c>
      <c r="AL3002">
        <v>-87.609443999999996</v>
      </c>
      <c r="AM3002">
        <v>100</v>
      </c>
      <c r="AN3002">
        <v>2300</v>
      </c>
      <c r="AO3002" t="s">
        <v>118</v>
      </c>
      <c r="AP3002">
        <v>10</v>
      </c>
      <c r="AQ3002">
        <v>-124</v>
      </c>
      <c r="AR3002">
        <v>-256</v>
      </c>
      <c r="AZ3002">
        <v>4552</v>
      </c>
      <c r="BA3002">
        <v>1</v>
      </c>
      <c r="BB3002" t="str">
        <f t="shared" si="1164"/>
        <v xml:space="preserve">N607SR  </v>
      </c>
      <c r="BC3002">
        <v>1</v>
      </c>
      <c r="BE3002">
        <v>0</v>
      </c>
      <c r="BF3002">
        <v>0</v>
      </c>
      <c r="BG3002">
        <v>0</v>
      </c>
      <c r="BH3002">
        <v>2075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 t="shared" si="1197"/>
        <v>06:20:40.419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119</v>
      </c>
      <c r="CQ3002">
        <v>465</v>
      </c>
      <c r="CR3002">
        <v>0</v>
      </c>
      <c r="CW3002">
        <v>4728797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 t="shared" ref="A3003:A3008" si="1198">"08/29/2020 06:20:38.299"</f>
        <v>08/29/2020 06:20:38.299</v>
      </c>
      <c r="C3003" t="str">
        <f t="shared" si="1162"/>
        <v>FFDFD3C0</v>
      </c>
      <c r="D3003" t="s">
        <v>121</v>
      </c>
      <c r="E3003">
        <v>13</v>
      </c>
      <c r="F3003">
        <v>1013</v>
      </c>
      <c r="G3003" t="s">
        <v>122</v>
      </c>
      <c r="J3003" t="s">
        <v>123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ref="S3003:S3008" si="1199">"06:20:41.531"</f>
        <v>06:20:41.531</v>
      </c>
      <c r="T3003" t="str">
        <f t="shared" ref="T3003:T3008" si="1200">"06:20:41.031"</f>
        <v>06:20:41.031</v>
      </c>
      <c r="U3003" t="str">
        <f t="shared" si="1163"/>
        <v>A7E2E0</v>
      </c>
      <c r="V3003">
        <v>0</v>
      </c>
      <c r="W3003">
        <v>0</v>
      </c>
      <c r="X3003">
        <v>1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0</v>
      </c>
      <c r="AI3003" t="s">
        <v>1476</v>
      </c>
      <c r="AJ3003">
        <v>38.863771</v>
      </c>
      <c r="AK3003" t="s">
        <v>1242</v>
      </c>
      <c r="AL3003">
        <v>-87.609401000000005</v>
      </c>
      <c r="AM3003">
        <v>100</v>
      </c>
      <c r="AN3003">
        <v>2300</v>
      </c>
      <c r="AO3003" t="s">
        <v>118</v>
      </c>
      <c r="AP3003">
        <v>10</v>
      </c>
      <c r="AQ3003">
        <v>-124</v>
      </c>
      <c r="AR3003">
        <v>-128</v>
      </c>
      <c r="AZ3003">
        <v>4552</v>
      </c>
      <c r="BA3003">
        <v>1</v>
      </c>
      <c r="BB3003" t="str">
        <f t="shared" si="1164"/>
        <v xml:space="preserve">N607SR  </v>
      </c>
      <c r="BC3003">
        <v>1</v>
      </c>
      <c r="BE3003">
        <v>0</v>
      </c>
      <c r="BF3003">
        <v>0</v>
      </c>
      <c r="BG3003">
        <v>0</v>
      </c>
      <c r="BH3003">
        <v>2075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>"06:20:41.538"</f>
        <v>06:20:41.538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7</v>
      </c>
      <c r="CP3003" t="s">
        <v>119</v>
      </c>
      <c r="CQ3003">
        <v>465</v>
      </c>
      <c r="CR3003">
        <v>0</v>
      </c>
      <c r="CW3003">
        <v>4728830</v>
      </c>
      <c r="CY3003">
        <v>1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 t="shared" si="1198"/>
        <v>08/29/2020 06:20:38.299</v>
      </c>
      <c r="C3004" t="str">
        <f t="shared" si="1162"/>
        <v>FFDFD3C0</v>
      </c>
      <c r="D3004" t="s">
        <v>121</v>
      </c>
      <c r="E3004">
        <v>10</v>
      </c>
      <c r="F3004">
        <v>1010</v>
      </c>
      <c r="G3004" t="s">
        <v>114</v>
      </c>
      <c r="J3004" t="s">
        <v>123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si="1199"/>
        <v>06:20:41.531</v>
      </c>
      <c r="T3004" t="str">
        <f t="shared" si="1200"/>
        <v>06:20:41.031</v>
      </c>
      <c r="U3004" t="str">
        <f t="shared" si="1163"/>
        <v>A7E2E0</v>
      </c>
      <c r="V3004">
        <v>0</v>
      </c>
      <c r="W3004">
        <v>0</v>
      </c>
      <c r="X3004">
        <v>1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0</v>
      </c>
      <c r="AI3004" t="s">
        <v>1476</v>
      </c>
      <c r="AJ3004">
        <v>38.863771</v>
      </c>
      <c r="AK3004" t="s">
        <v>1242</v>
      </c>
      <c r="AL3004">
        <v>-87.609401000000005</v>
      </c>
      <c r="AM3004">
        <v>100</v>
      </c>
      <c r="AN3004">
        <v>2300</v>
      </c>
      <c r="AO3004" t="s">
        <v>118</v>
      </c>
      <c r="AP3004">
        <v>10</v>
      </c>
      <c r="AQ3004">
        <v>-124</v>
      </c>
      <c r="AR3004">
        <v>-128</v>
      </c>
      <c r="AZ3004">
        <v>4552</v>
      </c>
      <c r="BA3004">
        <v>1</v>
      </c>
      <c r="BB3004" t="str">
        <f t="shared" si="1164"/>
        <v xml:space="preserve">N607SR  </v>
      </c>
      <c r="BC3004">
        <v>1</v>
      </c>
      <c r="BE3004">
        <v>0</v>
      </c>
      <c r="BF3004">
        <v>0</v>
      </c>
      <c r="BG3004">
        <v>0</v>
      </c>
      <c r="BH3004">
        <v>2075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>"06:20:41.538"</f>
        <v>06:20:41.538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7</v>
      </c>
      <c r="CP3004" t="s">
        <v>119</v>
      </c>
      <c r="CQ3004">
        <v>465</v>
      </c>
      <c r="CR3004">
        <v>0</v>
      </c>
      <c r="CW3004">
        <v>4728830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 t="shared" si="1198"/>
        <v>08/29/2020 06:20:38.299</v>
      </c>
      <c r="C3005" t="str">
        <f t="shared" si="1162"/>
        <v>FFDFD3C0</v>
      </c>
      <c r="D3005" t="s">
        <v>121</v>
      </c>
      <c r="E3005">
        <v>11</v>
      </c>
      <c r="F3005">
        <v>1011</v>
      </c>
      <c r="G3005" t="s">
        <v>125</v>
      </c>
      <c r="J3005" t="s">
        <v>123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si="1199"/>
        <v>06:20:41.531</v>
      </c>
      <c r="T3005" t="str">
        <f t="shared" si="1200"/>
        <v>06:20:41.031</v>
      </c>
      <c r="U3005" t="str">
        <f t="shared" si="1163"/>
        <v>A7E2E0</v>
      </c>
      <c r="V3005">
        <v>0</v>
      </c>
      <c r="W3005">
        <v>0</v>
      </c>
      <c r="X3005">
        <v>1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0</v>
      </c>
      <c r="AI3005" t="s">
        <v>1476</v>
      </c>
      <c r="AJ3005">
        <v>38.863771</v>
      </c>
      <c r="AK3005" t="s">
        <v>1242</v>
      </c>
      <c r="AL3005">
        <v>-87.609401000000005</v>
      </c>
      <c r="AM3005">
        <v>100</v>
      </c>
      <c r="AN3005">
        <v>2300</v>
      </c>
      <c r="AO3005" t="s">
        <v>118</v>
      </c>
      <c r="AP3005">
        <v>10</v>
      </c>
      <c r="AQ3005">
        <v>-124</v>
      </c>
      <c r="AR3005">
        <v>-128</v>
      </c>
      <c r="AZ3005">
        <v>4552</v>
      </c>
      <c r="BA3005">
        <v>1</v>
      </c>
      <c r="BB3005" t="str">
        <f t="shared" si="1164"/>
        <v xml:space="preserve">N607SR  </v>
      </c>
      <c r="BC3005">
        <v>1</v>
      </c>
      <c r="BE3005">
        <v>0</v>
      </c>
      <c r="BF3005">
        <v>0</v>
      </c>
      <c r="BG3005">
        <v>0</v>
      </c>
      <c r="BH3005">
        <v>2075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>"06:20:41.539"</f>
        <v>06:20:41.539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5</v>
      </c>
      <c r="CP3005" t="s">
        <v>119</v>
      </c>
      <c r="CQ3005">
        <v>177</v>
      </c>
      <c r="CR3005">
        <v>2</v>
      </c>
      <c r="CW3005">
        <v>1687737</v>
      </c>
      <c r="CY3005">
        <v>1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 t="shared" si="1198"/>
        <v>08/29/2020 06:20:38.299</v>
      </c>
      <c r="C3006" t="str">
        <f t="shared" si="1162"/>
        <v>FFDFD3C0</v>
      </c>
      <c r="D3006" t="s">
        <v>939</v>
      </c>
      <c r="E3006">
        <v>10</v>
      </c>
      <c r="H3006">
        <v>79</v>
      </c>
      <c r="I3006" t="s">
        <v>940</v>
      </c>
      <c r="J3006" t="s">
        <v>130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199"/>
        <v>06:20:41.531</v>
      </c>
      <c r="T3006" t="str">
        <f t="shared" si="1200"/>
        <v>06:20:41.031</v>
      </c>
      <c r="U3006" t="str">
        <f t="shared" si="1163"/>
        <v>A7E2E0</v>
      </c>
      <c r="V3006">
        <v>0</v>
      </c>
      <c r="W3006">
        <v>0</v>
      </c>
      <c r="X3006">
        <v>1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0</v>
      </c>
      <c r="AI3006" t="s">
        <v>1476</v>
      </c>
      <c r="AJ3006">
        <v>38.863771</v>
      </c>
      <c r="AK3006" t="s">
        <v>1242</v>
      </c>
      <c r="AL3006">
        <v>-87.609401000000005</v>
      </c>
      <c r="AM3006">
        <v>100</v>
      </c>
      <c r="AN3006">
        <v>2300</v>
      </c>
      <c r="AO3006" t="s">
        <v>118</v>
      </c>
      <c r="AP3006">
        <v>10</v>
      </c>
      <c r="AQ3006">
        <v>-124</v>
      </c>
      <c r="AR3006">
        <v>-128</v>
      </c>
      <c r="AZ3006">
        <v>4552</v>
      </c>
      <c r="BA3006">
        <v>1</v>
      </c>
      <c r="BB3006" t="str">
        <f t="shared" si="1164"/>
        <v xml:space="preserve">N607SR  </v>
      </c>
      <c r="BC3006">
        <v>1</v>
      </c>
      <c r="BE3006">
        <v>0</v>
      </c>
      <c r="BF3006">
        <v>0</v>
      </c>
      <c r="BG3006">
        <v>0</v>
      </c>
      <c r="BH3006">
        <v>2075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>"06:20:41.538"</f>
        <v>06:20:41.538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7</v>
      </c>
      <c r="CP3006" t="s">
        <v>119</v>
      </c>
      <c r="CQ3006">
        <v>465</v>
      </c>
      <c r="CR3006">
        <v>0</v>
      </c>
      <c r="CW3006">
        <v>4728830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 t="shared" si="1198"/>
        <v>08/29/2020 06:20:38.299</v>
      </c>
      <c r="C3007" t="str">
        <f t="shared" si="1162"/>
        <v>FFDFD3C0</v>
      </c>
      <c r="D3007" t="s">
        <v>113</v>
      </c>
      <c r="E3007">
        <v>5</v>
      </c>
      <c r="H3007">
        <v>163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199"/>
        <v>06:20:41.531</v>
      </c>
      <c r="T3007" t="str">
        <f t="shared" si="1200"/>
        <v>06:20:41.031</v>
      </c>
      <c r="U3007" t="str">
        <f t="shared" si="1163"/>
        <v>A7E2E0</v>
      </c>
      <c r="V3007">
        <v>0</v>
      </c>
      <c r="W3007">
        <v>0</v>
      </c>
      <c r="X3007">
        <v>1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0</v>
      </c>
      <c r="AI3007" t="s">
        <v>1476</v>
      </c>
      <c r="AJ3007">
        <v>38.863771</v>
      </c>
      <c r="AK3007" t="s">
        <v>1242</v>
      </c>
      <c r="AL3007">
        <v>-87.609401000000005</v>
      </c>
      <c r="AM3007">
        <v>100</v>
      </c>
      <c r="AN3007">
        <v>2300</v>
      </c>
      <c r="AO3007" t="s">
        <v>118</v>
      </c>
      <c r="AP3007">
        <v>10</v>
      </c>
      <c r="AQ3007">
        <v>-124</v>
      </c>
      <c r="AR3007">
        <v>-128</v>
      </c>
      <c r="AZ3007">
        <v>4552</v>
      </c>
      <c r="BA3007">
        <v>1</v>
      </c>
      <c r="BB3007" t="str">
        <f t="shared" si="1164"/>
        <v xml:space="preserve">N607SR  </v>
      </c>
      <c r="BC3007">
        <v>1</v>
      </c>
      <c r="BE3007">
        <v>0</v>
      </c>
      <c r="BF3007">
        <v>0</v>
      </c>
      <c r="BG3007">
        <v>0</v>
      </c>
      <c r="BH3007">
        <v>2075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>"06:20:41.538"</f>
        <v>06:20:41.538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7</v>
      </c>
      <c r="CP3007" t="s">
        <v>119</v>
      </c>
      <c r="CQ3007">
        <v>465</v>
      </c>
      <c r="CR3007">
        <v>0</v>
      </c>
      <c r="CW3007">
        <v>4728830</v>
      </c>
      <c r="CY3007">
        <v>1</v>
      </c>
      <c r="CZ3007">
        <v>0</v>
      </c>
      <c r="DA3007">
        <v>1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 t="shared" si="1198"/>
        <v>08/29/2020 06:20:38.299</v>
      </c>
      <c r="C3008" t="str">
        <f t="shared" si="1162"/>
        <v>FFDFD3C0</v>
      </c>
      <c r="D3008" t="s">
        <v>128</v>
      </c>
      <c r="E3008">
        <v>5</v>
      </c>
      <c r="H3008">
        <v>241</v>
      </c>
      <c r="I3008" t="s">
        <v>129</v>
      </c>
      <c r="J3008" t="s">
        <v>130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199"/>
        <v>06:20:41.531</v>
      </c>
      <c r="T3008" t="str">
        <f t="shared" si="1200"/>
        <v>06:20:41.031</v>
      </c>
      <c r="U3008" t="str">
        <f t="shared" si="1163"/>
        <v>A7E2E0</v>
      </c>
      <c r="V3008">
        <v>0</v>
      </c>
      <c r="W3008">
        <v>0</v>
      </c>
      <c r="X3008">
        <v>1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0</v>
      </c>
      <c r="AI3008" t="s">
        <v>1476</v>
      </c>
      <c r="AJ3008">
        <v>38.863771</v>
      </c>
      <c r="AK3008" t="s">
        <v>1242</v>
      </c>
      <c r="AL3008">
        <v>-87.609401000000005</v>
      </c>
      <c r="AM3008">
        <v>100</v>
      </c>
      <c r="AN3008">
        <v>2300</v>
      </c>
      <c r="AO3008" t="s">
        <v>118</v>
      </c>
      <c r="AP3008">
        <v>10</v>
      </c>
      <c r="AQ3008">
        <v>-124</v>
      </c>
      <c r="AR3008">
        <v>-128</v>
      </c>
      <c r="AZ3008">
        <v>4552</v>
      </c>
      <c r="BA3008">
        <v>1</v>
      </c>
      <c r="BB3008" t="str">
        <f t="shared" si="1164"/>
        <v xml:space="preserve">N607SR  </v>
      </c>
      <c r="BC3008">
        <v>1</v>
      </c>
      <c r="BE3008">
        <v>0</v>
      </c>
      <c r="BF3008">
        <v>0</v>
      </c>
      <c r="BG3008">
        <v>0</v>
      </c>
      <c r="BH3008">
        <v>2075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>"06:20:41.538"</f>
        <v>06:20:41.538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7</v>
      </c>
      <c r="CP3008" t="s">
        <v>119</v>
      </c>
      <c r="CQ3008">
        <v>465</v>
      </c>
      <c r="CR3008">
        <v>0</v>
      </c>
      <c r="CW3008">
        <v>4728830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 t="shared" ref="A3009:A3014" si="1201">"08/29/2020 06:20:39.304"</f>
        <v>08/29/2020 06:20:39.304</v>
      </c>
      <c r="C3009" t="str">
        <f t="shared" si="1162"/>
        <v>FFDFD3C0</v>
      </c>
      <c r="D3009" t="s">
        <v>128</v>
      </c>
      <c r="E3009">
        <v>5</v>
      </c>
      <c r="H3009">
        <v>241</v>
      </c>
      <c r="I3009" t="s">
        <v>129</v>
      </c>
      <c r="J3009" t="s">
        <v>130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ref="S3009:S3014" si="1202">"06:20:42.516"</f>
        <v>06:20:42.516</v>
      </c>
      <c r="T3009" t="str">
        <f t="shared" ref="T3009:T3014" si="1203">"06:20:42.016"</f>
        <v>06:20:42.016</v>
      </c>
      <c r="U3009" t="str">
        <f t="shared" si="1163"/>
        <v>A7E2E0</v>
      </c>
      <c r="V3009">
        <v>0</v>
      </c>
      <c r="W3009">
        <v>0</v>
      </c>
      <c r="X3009">
        <v>1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0</v>
      </c>
      <c r="AI3009" t="s">
        <v>1477</v>
      </c>
      <c r="AJ3009">
        <v>38.863213000000002</v>
      </c>
      <c r="AK3009" t="s">
        <v>1478</v>
      </c>
      <c r="AL3009">
        <v>-87.609335999999999</v>
      </c>
      <c r="AM3009">
        <v>100</v>
      </c>
      <c r="AN3009">
        <v>2300</v>
      </c>
      <c r="AO3009" t="s">
        <v>118</v>
      </c>
      <c r="AP3009">
        <v>11</v>
      </c>
      <c r="AQ3009">
        <v>-123</v>
      </c>
      <c r="AR3009">
        <v>128</v>
      </c>
      <c r="AZ3009">
        <v>4552</v>
      </c>
      <c r="BA3009">
        <v>1</v>
      </c>
      <c r="BB3009" t="str">
        <f t="shared" si="1164"/>
        <v xml:space="preserve">N607SR  </v>
      </c>
      <c r="BC3009">
        <v>1</v>
      </c>
      <c r="BE3009">
        <v>0</v>
      </c>
      <c r="BF3009">
        <v>0</v>
      </c>
      <c r="BG3009">
        <v>0</v>
      </c>
      <c r="BH3009">
        <v>2075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 t="shared" ref="BW3009:BW3014" si="1204">"06:20:42.523"</f>
        <v>06:20:42.523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7</v>
      </c>
      <c r="CP3009" t="s">
        <v>119</v>
      </c>
      <c r="CQ3009">
        <v>465</v>
      </c>
      <c r="CR3009">
        <v>0</v>
      </c>
      <c r="CW3009">
        <v>4728858</v>
      </c>
      <c r="CY3009">
        <v>1</v>
      </c>
      <c r="CZ3009">
        <v>0</v>
      </c>
      <c r="DA3009">
        <v>0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 t="shared" si="1201"/>
        <v>08/29/2020 06:20:39.304</v>
      </c>
      <c r="C3010" t="str">
        <f t="shared" ref="C3010:C3073" si="1205">"FFDFD3C0"</f>
        <v>FFDFD3C0</v>
      </c>
      <c r="D3010" t="s">
        <v>121</v>
      </c>
      <c r="E3010">
        <v>13</v>
      </c>
      <c r="F3010">
        <v>1013</v>
      </c>
      <c r="G3010" t="s">
        <v>122</v>
      </c>
      <c r="J3010" t="s">
        <v>123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202"/>
        <v>06:20:42.516</v>
      </c>
      <c r="T3010" t="str">
        <f t="shared" si="1203"/>
        <v>06:20:42.016</v>
      </c>
      <c r="U3010" t="str">
        <f t="shared" ref="U3010:U3073" si="1206">"A7E2E0"</f>
        <v>A7E2E0</v>
      </c>
      <c r="V3010">
        <v>0</v>
      </c>
      <c r="W3010">
        <v>0</v>
      </c>
      <c r="X3010">
        <v>1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0</v>
      </c>
      <c r="AI3010" t="s">
        <v>1477</v>
      </c>
      <c r="AJ3010">
        <v>38.863213000000002</v>
      </c>
      <c r="AK3010" t="s">
        <v>1478</v>
      </c>
      <c r="AL3010">
        <v>-87.609335999999999</v>
      </c>
      <c r="AM3010">
        <v>100</v>
      </c>
      <c r="AN3010">
        <v>2300</v>
      </c>
      <c r="AO3010" t="s">
        <v>118</v>
      </c>
      <c r="AP3010">
        <v>11</v>
      </c>
      <c r="AQ3010">
        <v>-123</v>
      </c>
      <c r="AR3010">
        <v>128</v>
      </c>
      <c r="AZ3010">
        <v>4552</v>
      </c>
      <c r="BA3010">
        <v>1</v>
      </c>
      <c r="BB3010" t="str">
        <f t="shared" ref="BB3010:BB3073" si="1207">"N607SR  "</f>
        <v xml:space="preserve">N607SR  </v>
      </c>
      <c r="BC3010">
        <v>1</v>
      </c>
      <c r="BE3010">
        <v>0</v>
      </c>
      <c r="BF3010">
        <v>0</v>
      </c>
      <c r="BG3010">
        <v>0</v>
      </c>
      <c r="BH3010">
        <v>2075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 t="shared" si="1204"/>
        <v>06:20:42.523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7</v>
      </c>
      <c r="CP3010" t="s">
        <v>119</v>
      </c>
      <c r="CQ3010">
        <v>465</v>
      </c>
      <c r="CR3010">
        <v>0</v>
      </c>
      <c r="CW3010">
        <v>4728858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 t="shared" si="1201"/>
        <v>08/29/2020 06:20:39.304</v>
      </c>
      <c r="C3011" t="str">
        <f t="shared" si="1205"/>
        <v>FFDFD3C0</v>
      </c>
      <c r="D3011" t="s">
        <v>121</v>
      </c>
      <c r="E3011">
        <v>10</v>
      </c>
      <c r="F3011">
        <v>1010</v>
      </c>
      <c r="G3011" t="s">
        <v>114</v>
      </c>
      <c r="J3011" t="s">
        <v>123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202"/>
        <v>06:20:42.516</v>
      </c>
      <c r="T3011" t="str">
        <f t="shared" si="1203"/>
        <v>06:20:42.016</v>
      </c>
      <c r="U3011" t="str">
        <f t="shared" si="1206"/>
        <v>A7E2E0</v>
      </c>
      <c r="V3011">
        <v>0</v>
      </c>
      <c r="W3011">
        <v>0</v>
      </c>
      <c r="X3011">
        <v>1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0</v>
      </c>
      <c r="AI3011" t="s">
        <v>1477</v>
      </c>
      <c r="AJ3011">
        <v>38.863213000000002</v>
      </c>
      <c r="AK3011" t="s">
        <v>1478</v>
      </c>
      <c r="AL3011">
        <v>-87.609335999999999</v>
      </c>
      <c r="AM3011">
        <v>100</v>
      </c>
      <c r="AN3011">
        <v>2300</v>
      </c>
      <c r="AO3011" t="s">
        <v>118</v>
      </c>
      <c r="AP3011">
        <v>11</v>
      </c>
      <c r="AQ3011">
        <v>-123</v>
      </c>
      <c r="AR3011">
        <v>128</v>
      </c>
      <c r="AZ3011">
        <v>4552</v>
      </c>
      <c r="BA3011">
        <v>1</v>
      </c>
      <c r="BB3011" t="str">
        <f t="shared" si="1207"/>
        <v xml:space="preserve">N607SR  </v>
      </c>
      <c r="BC3011">
        <v>1</v>
      </c>
      <c r="BE3011">
        <v>0</v>
      </c>
      <c r="BF3011">
        <v>0</v>
      </c>
      <c r="BG3011">
        <v>0</v>
      </c>
      <c r="BH3011">
        <v>2075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 t="shared" si="1204"/>
        <v>06:20:42.523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119</v>
      </c>
      <c r="CQ3011">
        <v>465</v>
      </c>
      <c r="CR3011">
        <v>0</v>
      </c>
      <c r="CW3011">
        <v>4728858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 t="shared" si="1201"/>
        <v>08/29/2020 06:20:39.304</v>
      </c>
      <c r="C3012" t="str">
        <f t="shared" si="1205"/>
        <v>FFDFD3C0</v>
      </c>
      <c r="D3012" t="s">
        <v>121</v>
      </c>
      <c r="E3012">
        <v>11</v>
      </c>
      <c r="F3012">
        <v>1011</v>
      </c>
      <c r="G3012" t="s">
        <v>125</v>
      </c>
      <c r="J3012" t="s">
        <v>123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202"/>
        <v>06:20:42.516</v>
      </c>
      <c r="T3012" t="str">
        <f t="shared" si="1203"/>
        <v>06:20:42.016</v>
      </c>
      <c r="U3012" t="str">
        <f t="shared" si="1206"/>
        <v>A7E2E0</v>
      </c>
      <c r="V3012">
        <v>0</v>
      </c>
      <c r="W3012">
        <v>0</v>
      </c>
      <c r="X3012">
        <v>1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0</v>
      </c>
      <c r="AI3012" t="s">
        <v>1477</v>
      </c>
      <c r="AJ3012">
        <v>38.863213000000002</v>
      </c>
      <c r="AK3012" t="s">
        <v>1478</v>
      </c>
      <c r="AL3012">
        <v>-87.609335999999999</v>
      </c>
      <c r="AM3012">
        <v>100</v>
      </c>
      <c r="AN3012">
        <v>2300</v>
      </c>
      <c r="AO3012" t="s">
        <v>118</v>
      </c>
      <c r="AP3012">
        <v>11</v>
      </c>
      <c r="AQ3012">
        <v>-123</v>
      </c>
      <c r="AR3012">
        <v>128</v>
      </c>
      <c r="AZ3012">
        <v>4552</v>
      </c>
      <c r="BA3012">
        <v>1</v>
      </c>
      <c r="BB3012" t="str">
        <f t="shared" si="1207"/>
        <v xml:space="preserve">N607SR  </v>
      </c>
      <c r="BC3012">
        <v>1</v>
      </c>
      <c r="BE3012">
        <v>0</v>
      </c>
      <c r="BF3012">
        <v>0</v>
      </c>
      <c r="BG3012">
        <v>0</v>
      </c>
      <c r="BH3012">
        <v>2075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 t="shared" si="1204"/>
        <v>06:20:42.523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4</v>
      </c>
      <c r="CP3012" t="s">
        <v>119</v>
      </c>
      <c r="CQ3012">
        <v>177</v>
      </c>
      <c r="CR3012">
        <v>2</v>
      </c>
      <c r="CW3012">
        <v>1687890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 t="shared" si="1201"/>
        <v>08/29/2020 06:20:39.304</v>
      </c>
      <c r="C3013" t="str">
        <f t="shared" si="1205"/>
        <v>FFDFD3C0</v>
      </c>
      <c r="D3013" t="s">
        <v>939</v>
      </c>
      <c r="E3013">
        <v>10</v>
      </c>
      <c r="H3013">
        <v>79</v>
      </c>
      <c r="I3013" t="s">
        <v>940</v>
      </c>
      <c r="J3013" t="s">
        <v>130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202"/>
        <v>06:20:42.516</v>
      </c>
      <c r="T3013" t="str">
        <f t="shared" si="1203"/>
        <v>06:20:42.016</v>
      </c>
      <c r="U3013" t="str">
        <f t="shared" si="1206"/>
        <v>A7E2E0</v>
      </c>
      <c r="V3013">
        <v>0</v>
      </c>
      <c r="W3013">
        <v>0</v>
      </c>
      <c r="X3013">
        <v>1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0</v>
      </c>
      <c r="AI3013" t="s">
        <v>1477</v>
      </c>
      <c r="AJ3013">
        <v>38.863213000000002</v>
      </c>
      <c r="AK3013" t="s">
        <v>1478</v>
      </c>
      <c r="AL3013">
        <v>-87.609335999999999</v>
      </c>
      <c r="AM3013">
        <v>100</v>
      </c>
      <c r="AN3013">
        <v>2300</v>
      </c>
      <c r="AO3013" t="s">
        <v>118</v>
      </c>
      <c r="AP3013">
        <v>11</v>
      </c>
      <c r="AQ3013">
        <v>-123</v>
      </c>
      <c r="AR3013">
        <v>128</v>
      </c>
      <c r="AZ3013">
        <v>4552</v>
      </c>
      <c r="BA3013">
        <v>1</v>
      </c>
      <c r="BB3013" t="str">
        <f t="shared" si="1207"/>
        <v xml:space="preserve">N607SR  </v>
      </c>
      <c r="BC3013">
        <v>1</v>
      </c>
      <c r="BE3013">
        <v>0</v>
      </c>
      <c r="BF3013">
        <v>0</v>
      </c>
      <c r="BG3013">
        <v>0</v>
      </c>
      <c r="BH3013">
        <v>2075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 t="shared" si="1204"/>
        <v>06:20:42.523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119</v>
      </c>
      <c r="CQ3013">
        <v>465</v>
      </c>
      <c r="CR3013">
        <v>0</v>
      </c>
      <c r="CW3013">
        <v>4728858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 t="shared" si="1201"/>
        <v>08/29/2020 06:20:39.304</v>
      </c>
      <c r="C3014" t="str">
        <f t="shared" si="1205"/>
        <v>FFDFD3C0</v>
      </c>
      <c r="D3014" t="s">
        <v>113</v>
      </c>
      <c r="E3014">
        <v>5</v>
      </c>
      <c r="H3014">
        <v>163</v>
      </c>
      <c r="I3014" t="s">
        <v>114</v>
      </c>
      <c r="J3014" t="s">
        <v>115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si="1202"/>
        <v>06:20:42.516</v>
      </c>
      <c r="T3014" t="str">
        <f t="shared" si="1203"/>
        <v>06:20:42.016</v>
      </c>
      <c r="U3014" t="str">
        <f t="shared" si="1206"/>
        <v>A7E2E0</v>
      </c>
      <c r="V3014">
        <v>0</v>
      </c>
      <c r="W3014">
        <v>0</v>
      </c>
      <c r="X3014">
        <v>1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0</v>
      </c>
      <c r="AI3014" t="s">
        <v>1477</v>
      </c>
      <c r="AJ3014">
        <v>38.863213000000002</v>
      </c>
      <c r="AK3014" t="s">
        <v>1478</v>
      </c>
      <c r="AL3014">
        <v>-87.609335999999999</v>
      </c>
      <c r="AM3014">
        <v>100</v>
      </c>
      <c r="AN3014">
        <v>2300</v>
      </c>
      <c r="AO3014" t="s">
        <v>118</v>
      </c>
      <c r="AP3014">
        <v>11</v>
      </c>
      <c r="AQ3014">
        <v>-123</v>
      </c>
      <c r="AR3014">
        <v>128</v>
      </c>
      <c r="AZ3014">
        <v>4552</v>
      </c>
      <c r="BA3014">
        <v>1</v>
      </c>
      <c r="BB3014" t="str">
        <f t="shared" si="1207"/>
        <v xml:space="preserve">N607SR  </v>
      </c>
      <c r="BC3014">
        <v>1</v>
      </c>
      <c r="BE3014">
        <v>0</v>
      </c>
      <c r="BF3014">
        <v>0</v>
      </c>
      <c r="BG3014">
        <v>0</v>
      </c>
      <c r="BH3014">
        <v>2075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 t="shared" si="1204"/>
        <v>06:20:42.523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465</v>
      </c>
      <c r="CR3014">
        <v>0</v>
      </c>
      <c r="CW3014">
        <v>4728858</v>
      </c>
      <c r="CY3014">
        <v>1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 t="shared" ref="A3015:A3020" si="1208">"08/29/2020 06:20:40.200"</f>
        <v>08/29/2020 06:20:40.200</v>
      </c>
      <c r="C3015" t="str">
        <f t="shared" si="1205"/>
        <v>FFDFD3C0</v>
      </c>
      <c r="D3015" t="s">
        <v>939</v>
      </c>
      <c r="E3015">
        <v>10</v>
      </c>
      <c r="H3015">
        <v>79</v>
      </c>
      <c r="I3015" t="s">
        <v>940</v>
      </c>
      <c r="J3015" t="s">
        <v>130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ref="S3015:S3020" si="1209">"06:20:43.414"</f>
        <v>06:20:43.414</v>
      </c>
      <c r="T3015" t="str">
        <f t="shared" ref="T3015:T3020" si="1210">"06:20:43.014"</f>
        <v>06:20:43.014</v>
      </c>
      <c r="U3015" t="str">
        <f t="shared" si="1206"/>
        <v>A7E2E0</v>
      </c>
      <c r="V3015">
        <v>0</v>
      </c>
      <c r="W3015">
        <v>0</v>
      </c>
      <c r="X3015">
        <v>1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0</v>
      </c>
      <c r="AI3015" t="s">
        <v>1479</v>
      </c>
      <c r="AJ3015">
        <v>38.862698000000002</v>
      </c>
      <c r="AK3015" t="s">
        <v>1480</v>
      </c>
      <c r="AL3015">
        <v>-87.609251</v>
      </c>
      <c r="AM3015">
        <v>100</v>
      </c>
      <c r="AN3015">
        <v>2300</v>
      </c>
      <c r="AO3015" t="s">
        <v>118</v>
      </c>
      <c r="AP3015">
        <v>11</v>
      </c>
      <c r="AQ3015">
        <v>-122</v>
      </c>
      <c r="AR3015">
        <v>512</v>
      </c>
      <c r="AZ3015">
        <v>4552</v>
      </c>
      <c r="BA3015">
        <v>1</v>
      </c>
      <c r="BB3015" t="str">
        <f t="shared" si="1207"/>
        <v xml:space="preserve">N607SR  </v>
      </c>
      <c r="BC3015">
        <v>1</v>
      </c>
      <c r="BE3015">
        <v>0</v>
      </c>
      <c r="BF3015">
        <v>0</v>
      </c>
      <c r="BG3015">
        <v>0</v>
      </c>
      <c r="BH3015">
        <v>2075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 t="shared" ref="BW3015:BW3020" si="1211">"06:20:43.416"</f>
        <v>06:20:43.416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465</v>
      </c>
      <c r="CR3015">
        <v>0</v>
      </c>
      <c r="CW3015">
        <v>4728887</v>
      </c>
      <c r="CY3015">
        <v>1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 t="shared" si="1208"/>
        <v>08/29/2020 06:20:40.200</v>
      </c>
      <c r="C3016" t="str">
        <f t="shared" si="1205"/>
        <v>FFDFD3C0</v>
      </c>
      <c r="D3016" t="s">
        <v>121</v>
      </c>
      <c r="E3016">
        <v>11</v>
      </c>
      <c r="F3016">
        <v>1011</v>
      </c>
      <c r="G3016" t="s">
        <v>125</v>
      </c>
      <c r="J3016" t="s">
        <v>123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209"/>
        <v>06:20:43.414</v>
      </c>
      <c r="T3016" t="str">
        <f t="shared" si="1210"/>
        <v>06:20:43.014</v>
      </c>
      <c r="U3016" t="str">
        <f t="shared" si="1206"/>
        <v>A7E2E0</v>
      </c>
      <c r="V3016">
        <v>0</v>
      </c>
      <c r="W3016">
        <v>0</v>
      </c>
      <c r="X3016">
        <v>1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0</v>
      </c>
      <c r="AI3016" t="s">
        <v>1479</v>
      </c>
      <c r="AJ3016">
        <v>38.862698000000002</v>
      </c>
      <c r="AK3016" t="s">
        <v>1480</v>
      </c>
      <c r="AL3016">
        <v>-87.609251</v>
      </c>
      <c r="AM3016">
        <v>100</v>
      </c>
      <c r="AN3016">
        <v>2300</v>
      </c>
      <c r="AO3016" t="s">
        <v>118</v>
      </c>
      <c r="AP3016">
        <v>11</v>
      </c>
      <c r="AQ3016">
        <v>-122</v>
      </c>
      <c r="AR3016">
        <v>512</v>
      </c>
      <c r="AZ3016">
        <v>4552</v>
      </c>
      <c r="BA3016">
        <v>1</v>
      </c>
      <c r="BB3016" t="str">
        <f t="shared" si="1207"/>
        <v xml:space="preserve">N607SR  </v>
      </c>
      <c r="BC3016">
        <v>1</v>
      </c>
      <c r="BE3016">
        <v>0</v>
      </c>
      <c r="BF3016">
        <v>0</v>
      </c>
      <c r="BG3016">
        <v>0</v>
      </c>
      <c r="BH3016">
        <v>2075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 t="shared" si="1211"/>
        <v>06:20:43.416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5</v>
      </c>
      <c r="CP3016" t="s">
        <v>119</v>
      </c>
      <c r="CQ3016">
        <v>177</v>
      </c>
      <c r="CR3016">
        <v>2</v>
      </c>
      <c r="CW3016">
        <v>1688048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 t="shared" si="1208"/>
        <v>08/29/2020 06:20:40.200</v>
      </c>
      <c r="C3017" t="str">
        <f t="shared" si="1205"/>
        <v>FFDFD3C0</v>
      </c>
      <c r="D3017" t="s">
        <v>113</v>
      </c>
      <c r="E3017">
        <v>5</v>
      </c>
      <c r="H3017">
        <v>163</v>
      </c>
      <c r="I3017" t="s">
        <v>114</v>
      </c>
      <c r="J3017" t="s">
        <v>115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209"/>
        <v>06:20:43.414</v>
      </c>
      <c r="T3017" t="str">
        <f t="shared" si="1210"/>
        <v>06:20:43.014</v>
      </c>
      <c r="U3017" t="str">
        <f t="shared" si="1206"/>
        <v>A7E2E0</v>
      </c>
      <c r="V3017">
        <v>0</v>
      </c>
      <c r="W3017">
        <v>0</v>
      </c>
      <c r="X3017">
        <v>1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0</v>
      </c>
      <c r="AI3017" t="s">
        <v>1479</v>
      </c>
      <c r="AJ3017">
        <v>38.862698000000002</v>
      </c>
      <c r="AK3017" t="s">
        <v>1480</v>
      </c>
      <c r="AL3017">
        <v>-87.609251</v>
      </c>
      <c r="AM3017">
        <v>100</v>
      </c>
      <c r="AN3017">
        <v>2300</v>
      </c>
      <c r="AO3017" t="s">
        <v>118</v>
      </c>
      <c r="AP3017">
        <v>11</v>
      </c>
      <c r="AQ3017">
        <v>-122</v>
      </c>
      <c r="AR3017">
        <v>512</v>
      </c>
      <c r="AZ3017">
        <v>4552</v>
      </c>
      <c r="BA3017">
        <v>1</v>
      </c>
      <c r="BB3017" t="str">
        <f t="shared" si="1207"/>
        <v xml:space="preserve">N607SR  </v>
      </c>
      <c r="BC3017">
        <v>1</v>
      </c>
      <c r="BE3017">
        <v>0</v>
      </c>
      <c r="BF3017">
        <v>0</v>
      </c>
      <c r="BG3017">
        <v>0</v>
      </c>
      <c r="BH3017">
        <v>2075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 t="shared" si="1211"/>
        <v>06:20:43.416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465</v>
      </c>
      <c r="CR3017">
        <v>0</v>
      </c>
      <c r="CW3017">
        <v>4728887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 t="shared" si="1208"/>
        <v>08/29/2020 06:20:40.200</v>
      </c>
      <c r="C3018" t="str">
        <f t="shared" si="1205"/>
        <v>FFDFD3C0</v>
      </c>
      <c r="D3018" t="s">
        <v>128</v>
      </c>
      <c r="E3018">
        <v>5</v>
      </c>
      <c r="H3018">
        <v>241</v>
      </c>
      <c r="I3018" t="s">
        <v>129</v>
      </c>
      <c r="J3018" t="s">
        <v>130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209"/>
        <v>06:20:43.414</v>
      </c>
      <c r="T3018" t="str">
        <f t="shared" si="1210"/>
        <v>06:20:43.014</v>
      </c>
      <c r="U3018" t="str">
        <f t="shared" si="1206"/>
        <v>A7E2E0</v>
      </c>
      <c r="V3018">
        <v>0</v>
      </c>
      <c r="W3018">
        <v>0</v>
      </c>
      <c r="X3018">
        <v>1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0</v>
      </c>
      <c r="AI3018" t="s">
        <v>1479</v>
      </c>
      <c r="AJ3018">
        <v>38.862698000000002</v>
      </c>
      <c r="AK3018" t="s">
        <v>1480</v>
      </c>
      <c r="AL3018">
        <v>-87.609251</v>
      </c>
      <c r="AM3018">
        <v>100</v>
      </c>
      <c r="AN3018">
        <v>2300</v>
      </c>
      <c r="AO3018" t="s">
        <v>118</v>
      </c>
      <c r="AP3018">
        <v>11</v>
      </c>
      <c r="AQ3018">
        <v>-122</v>
      </c>
      <c r="AR3018">
        <v>512</v>
      </c>
      <c r="AZ3018">
        <v>4552</v>
      </c>
      <c r="BA3018">
        <v>1</v>
      </c>
      <c r="BB3018" t="str">
        <f t="shared" si="1207"/>
        <v xml:space="preserve">N607SR  </v>
      </c>
      <c r="BC3018">
        <v>1</v>
      </c>
      <c r="BE3018">
        <v>0</v>
      </c>
      <c r="BF3018">
        <v>0</v>
      </c>
      <c r="BG3018">
        <v>0</v>
      </c>
      <c r="BH3018">
        <v>2075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 t="shared" si="1211"/>
        <v>06:20:43.416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465</v>
      </c>
      <c r="CR3018">
        <v>0</v>
      </c>
      <c r="CW3018">
        <v>4728887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 t="shared" si="1208"/>
        <v>08/29/2020 06:20:40.200</v>
      </c>
      <c r="C3019" t="str">
        <f t="shared" si="1205"/>
        <v>FFDFD3C0</v>
      </c>
      <c r="D3019" t="s">
        <v>121</v>
      </c>
      <c r="E3019">
        <v>13</v>
      </c>
      <c r="F3019">
        <v>1013</v>
      </c>
      <c r="G3019" t="s">
        <v>122</v>
      </c>
      <c r="J3019" t="s">
        <v>123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209"/>
        <v>06:20:43.414</v>
      </c>
      <c r="T3019" t="str">
        <f t="shared" si="1210"/>
        <v>06:20:43.014</v>
      </c>
      <c r="U3019" t="str">
        <f t="shared" si="1206"/>
        <v>A7E2E0</v>
      </c>
      <c r="V3019">
        <v>0</v>
      </c>
      <c r="W3019">
        <v>0</v>
      </c>
      <c r="X3019">
        <v>1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0</v>
      </c>
      <c r="AI3019" t="s">
        <v>1479</v>
      </c>
      <c r="AJ3019">
        <v>38.862698000000002</v>
      </c>
      <c r="AK3019" t="s">
        <v>1480</v>
      </c>
      <c r="AL3019">
        <v>-87.609251</v>
      </c>
      <c r="AM3019">
        <v>100</v>
      </c>
      <c r="AN3019">
        <v>2300</v>
      </c>
      <c r="AO3019" t="s">
        <v>118</v>
      </c>
      <c r="AP3019">
        <v>11</v>
      </c>
      <c r="AQ3019">
        <v>-122</v>
      </c>
      <c r="AR3019">
        <v>512</v>
      </c>
      <c r="AZ3019">
        <v>4552</v>
      </c>
      <c r="BA3019">
        <v>1</v>
      </c>
      <c r="BB3019" t="str">
        <f t="shared" si="1207"/>
        <v xml:space="preserve">N607SR  </v>
      </c>
      <c r="BC3019">
        <v>1</v>
      </c>
      <c r="BE3019">
        <v>0</v>
      </c>
      <c r="BF3019">
        <v>0</v>
      </c>
      <c r="BG3019">
        <v>0</v>
      </c>
      <c r="BH3019">
        <v>2075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 t="shared" si="1211"/>
        <v>06:20:43.416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119</v>
      </c>
      <c r="CQ3019">
        <v>465</v>
      </c>
      <c r="CR3019">
        <v>0</v>
      </c>
      <c r="CW3019">
        <v>4728887</v>
      </c>
      <c r="CY3019">
        <v>1</v>
      </c>
      <c r="CZ3019">
        <v>0</v>
      </c>
      <c r="DA3019">
        <v>1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 t="shared" si="1208"/>
        <v>08/29/2020 06:20:40.200</v>
      </c>
      <c r="C3020" t="str">
        <f t="shared" si="1205"/>
        <v>FFDFD3C0</v>
      </c>
      <c r="D3020" t="s">
        <v>121</v>
      </c>
      <c r="E3020">
        <v>10</v>
      </c>
      <c r="F3020">
        <v>1010</v>
      </c>
      <c r="G3020" t="s">
        <v>114</v>
      </c>
      <c r="J3020" t="s">
        <v>123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209"/>
        <v>06:20:43.414</v>
      </c>
      <c r="T3020" t="str">
        <f t="shared" si="1210"/>
        <v>06:20:43.014</v>
      </c>
      <c r="U3020" t="str">
        <f t="shared" si="1206"/>
        <v>A7E2E0</v>
      </c>
      <c r="V3020">
        <v>0</v>
      </c>
      <c r="W3020">
        <v>0</v>
      </c>
      <c r="X3020">
        <v>1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0</v>
      </c>
      <c r="AI3020" t="s">
        <v>1479</v>
      </c>
      <c r="AJ3020">
        <v>38.862698000000002</v>
      </c>
      <c r="AK3020" t="s">
        <v>1480</v>
      </c>
      <c r="AL3020">
        <v>-87.609251</v>
      </c>
      <c r="AM3020">
        <v>100</v>
      </c>
      <c r="AN3020">
        <v>2300</v>
      </c>
      <c r="AO3020" t="s">
        <v>118</v>
      </c>
      <c r="AP3020">
        <v>11</v>
      </c>
      <c r="AQ3020">
        <v>-122</v>
      </c>
      <c r="AR3020">
        <v>512</v>
      </c>
      <c r="AZ3020">
        <v>4552</v>
      </c>
      <c r="BA3020">
        <v>1</v>
      </c>
      <c r="BB3020" t="str">
        <f t="shared" si="1207"/>
        <v xml:space="preserve">N607SR  </v>
      </c>
      <c r="BC3020">
        <v>1</v>
      </c>
      <c r="BE3020">
        <v>0</v>
      </c>
      <c r="BF3020">
        <v>0</v>
      </c>
      <c r="BG3020">
        <v>0</v>
      </c>
      <c r="BH3020">
        <v>2075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 t="shared" si="1211"/>
        <v>06:20:43.416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465</v>
      </c>
      <c r="CR3020">
        <v>0</v>
      </c>
      <c r="CW3020">
        <v>4728887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 t="shared" ref="A3021:A3026" si="1212">"08/29/2020 06:20:41.176"</f>
        <v>08/29/2020 06:20:41.176</v>
      </c>
      <c r="C3021" t="str">
        <f t="shared" si="1205"/>
        <v>FFDFD3C0</v>
      </c>
      <c r="D3021" t="s">
        <v>128</v>
      </c>
      <c r="E3021">
        <v>5</v>
      </c>
      <c r="H3021">
        <v>241</v>
      </c>
      <c r="I3021" t="s">
        <v>129</v>
      </c>
      <c r="J3021" t="s">
        <v>130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ref="S3021:S3026" si="1213">"06:20:44.406"</f>
        <v>06:20:44.406</v>
      </c>
      <c r="T3021" t="str">
        <f t="shared" ref="T3021:T3026" si="1214">"06:20:44.006"</f>
        <v>06:20:44.006</v>
      </c>
      <c r="U3021" t="str">
        <f t="shared" si="1206"/>
        <v>A7E2E0</v>
      </c>
      <c r="V3021">
        <v>0</v>
      </c>
      <c r="W3021">
        <v>0</v>
      </c>
      <c r="X3021">
        <v>1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0</v>
      </c>
      <c r="AI3021" t="s">
        <v>1481</v>
      </c>
      <c r="AJ3021">
        <v>38.862183000000002</v>
      </c>
      <c r="AK3021" t="s">
        <v>1482</v>
      </c>
      <c r="AL3021">
        <v>-87.609185999999994</v>
      </c>
      <c r="AM3021">
        <v>100</v>
      </c>
      <c r="AN3021">
        <v>2300</v>
      </c>
      <c r="AO3021" t="s">
        <v>118</v>
      </c>
      <c r="AP3021">
        <v>11</v>
      </c>
      <c r="AQ3021">
        <v>-120</v>
      </c>
      <c r="AR3021">
        <v>640</v>
      </c>
      <c r="AZ3021">
        <v>4552</v>
      </c>
      <c r="BA3021">
        <v>1</v>
      </c>
      <c r="BB3021" t="str">
        <f t="shared" si="1207"/>
        <v xml:space="preserve">N607SR  </v>
      </c>
      <c r="BC3021">
        <v>1</v>
      </c>
      <c r="BE3021">
        <v>0</v>
      </c>
      <c r="BF3021">
        <v>0</v>
      </c>
      <c r="BG3021">
        <v>0</v>
      </c>
      <c r="BH3021">
        <v>2100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 t="shared" ref="BW3021:BW3026" si="1215">"06:20:44.414"</f>
        <v>06:20:44.414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465</v>
      </c>
      <c r="CR3021">
        <v>0</v>
      </c>
      <c r="CW3021">
        <v>4728915</v>
      </c>
      <c r="CY3021">
        <v>1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 t="shared" si="1212"/>
        <v>08/29/2020 06:20:41.176</v>
      </c>
      <c r="C3022" t="str">
        <f t="shared" si="1205"/>
        <v>FFDFD3C0</v>
      </c>
      <c r="D3022" t="s">
        <v>121</v>
      </c>
      <c r="E3022">
        <v>13</v>
      </c>
      <c r="F3022">
        <v>1013</v>
      </c>
      <c r="G3022" t="s">
        <v>122</v>
      </c>
      <c r="J3022" t="s">
        <v>123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213"/>
        <v>06:20:44.406</v>
      </c>
      <c r="T3022" t="str">
        <f t="shared" si="1214"/>
        <v>06:20:44.006</v>
      </c>
      <c r="U3022" t="str">
        <f t="shared" si="1206"/>
        <v>A7E2E0</v>
      </c>
      <c r="V3022">
        <v>0</v>
      </c>
      <c r="W3022">
        <v>0</v>
      </c>
      <c r="X3022">
        <v>1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0</v>
      </c>
      <c r="AI3022" t="s">
        <v>1481</v>
      </c>
      <c r="AJ3022">
        <v>38.862183000000002</v>
      </c>
      <c r="AK3022" t="s">
        <v>1482</v>
      </c>
      <c r="AL3022">
        <v>-87.609185999999994</v>
      </c>
      <c r="AM3022">
        <v>100</v>
      </c>
      <c r="AN3022">
        <v>2300</v>
      </c>
      <c r="AO3022" t="s">
        <v>118</v>
      </c>
      <c r="AP3022">
        <v>11</v>
      </c>
      <c r="AQ3022">
        <v>-120</v>
      </c>
      <c r="AR3022">
        <v>640</v>
      </c>
      <c r="AZ3022">
        <v>4552</v>
      </c>
      <c r="BA3022">
        <v>1</v>
      </c>
      <c r="BB3022" t="str">
        <f t="shared" si="1207"/>
        <v xml:space="preserve">N607SR  </v>
      </c>
      <c r="BC3022">
        <v>1</v>
      </c>
      <c r="BE3022">
        <v>0</v>
      </c>
      <c r="BF3022">
        <v>0</v>
      </c>
      <c r="BG3022">
        <v>0</v>
      </c>
      <c r="BH3022">
        <v>2100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 t="shared" si="1215"/>
        <v>06:20:44.414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465</v>
      </c>
      <c r="CR3022">
        <v>0</v>
      </c>
      <c r="CW3022">
        <v>4728915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 t="shared" si="1212"/>
        <v>08/29/2020 06:20:41.176</v>
      </c>
      <c r="C3023" t="str">
        <f t="shared" si="1205"/>
        <v>FFDFD3C0</v>
      </c>
      <c r="D3023" t="s">
        <v>121</v>
      </c>
      <c r="E3023">
        <v>10</v>
      </c>
      <c r="F3023">
        <v>1010</v>
      </c>
      <c r="G3023" t="s">
        <v>114</v>
      </c>
      <c r="J3023" t="s">
        <v>123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213"/>
        <v>06:20:44.406</v>
      </c>
      <c r="T3023" t="str">
        <f t="shared" si="1214"/>
        <v>06:20:44.006</v>
      </c>
      <c r="U3023" t="str">
        <f t="shared" si="1206"/>
        <v>A7E2E0</v>
      </c>
      <c r="V3023">
        <v>0</v>
      </c>
      <c r="W3023">
        <v>0</v>
      </c>
      <c r="X3023">
        <v>1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0</v>
      </c>
      <c r="AI3023" t="s">
        <v>1481</v>
      </c>
      <c r="AJ3023">
        <v>38.862183000000002</v>
      </c>
      <c r="AK3023" t="s">
        <v>1482</v>
      </c>
      <c r="AL3023">
        <v>-87.609185999999994</v>
      </c>
      <c r="AM3023">
        <v>100</v>
      </c>
      <c r="AN3023">
        <v>2300</v>
      </c>
      <c r="AO3023" t="s">
        <v>118</v>
      </c>
      <c r="AP3023">
        <v>11</v>
      </c>
      <c r="AQ3023">
        <v>-120</v>
      </c>
      <c r="AR3023">
        <v>640</v>
      </c>
      <c r="AZ3023">
        <v>4552</v>
      </c>
      <c r="BA3023">
        <v>1</v>
      </c>
      <c r="BB3023" t="str">
        <f t="shared" si="1207"/>
        <v xml:space="preserve">N607SR  </v>
      </c>
      <c r="BC3023">
        <v>1</v>
      </c>
      <c r="BE3023">
        <v>0</v>
      </c>
      <c r="BF3023">
        <v>0</v>
      </c>
      <c r="BG3023">
        <v>0</v>
      </c>
      <c r="BH3023">
        <v>2100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 t="shared" si="1215"/>
        <v>06:20:44.414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465</v>
      </c>
      <c r="CR3023">
        <v>0</v>
      </c>
      <c r="CW3023">
        <v>4728915</v>
      </c>
      <c r="CY3023">
        <v>1</v>
      </c>
      <c r="CZ3023">
        <v>0</v>
      </c>
      <c r="DA3023">
        <v>1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 t="shared" si="1212"/>
        <v>08/29/2020 06:20:41.176</v>
      </c>
      <c r="C3024" t="str">
        <f t="shared" si="1205"/>
        <v>FFDFD3C0</v>
      </c>
      <c r="D3024" t="s">
        <v>939</v>
      </c>
      <c r="E3024">
        <v>10</v>
      </c>
      <c r="H3024">
        <v>79</v>
      </c>
      <c r="I3024" t="s">
        <v>940</v>
      </c>
      <c r="J3024" t="s">
        <v>130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213"/>
        <v>06:20:44.406</v>
      </c>
      <c r="T3024" t="str">
        <f t="shared" si="1214"/>
        <v>06:20:44.006</v>
      </c>
      <c r="U3024" t="str">
        <f t="shared" si="1206"/>
        <v>A7E2E0</v>
      </c>
      <c r="V3024">
        <v>0</v>
      </c>
      <c r="W3024">
        <v>0</v>
      </c>
      <c r="X3024">
        <v>1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0</v>
      </c>
      <c r="AI3024" t="s">
        <v>1481</v>
      </c>
      <c r="AJ3024">
        <v>38.862183000000002</v>
      </c>
      <c r="AK3024" t="s">
        <v>1482</v>
      </c>
      <c r="AL3024">
        <v>-87.609185999999994</v>
      </c>
      <c r="AM3024">
        <v>100</v>
      </c>
      <c r="AN3024">
        <v>2300</v>
      </c>
      <c r="AO3024" t="s">
        <v>118</v>
      </c>
      <c r="AP3024">
        <v>11</v>
      </c>
      <c r="AQ3024">
        <v>-120</v>
      </c>
      <c r="AR3024">
        <v>640</v>
      </c>
      <c r="AZ3024">
        <v>4552</v>
      </c>
      <c r="BA3024">
        <v>1</v>
      </c>
      <c r="BB3024" t="str">
        <f t="shared" si="1207"/>
        <v xml:space="preserve">N607SR  </v>
      </c>
      <c r="BC3024">
        <v>1</v>
      </c>
      <c r="BE3024">
        <v>0</v>
      </c>
      <c r="BF3024">
        <v>0</v>
      </c>
      <c r="BG3024">
        <v>0</v>
      </c>
      <c r="BH3024">
        <v>2100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 t="shared" si="1215"/>
        <v>06:20:44.414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465</v>
      </c>
      <c r="CR3024">
        <v>0</v>
      </c>
      <c r="CW3024">
        <v>4728915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 t="shared" si="1212"/>
        <v>08/29/2020 06:20:41.176</v>
      </c>
      <c r="C3025" t="str">
        <f t="shared" si="1205"/>
        <v>FFDFD3C0</v>
      </c>
      <c r="D3025" t="s">
        <v>121</v>
      </c>
      <c r="E3025">
        <v>11</v>
      </c>
      <c r="F3025">
        <v>1011</v>
      </c>
      <c r="G3025" t="s">
        <v>125</v>
      </c>
      <c r="J3025" t="s">
        <v>123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213"/>
        <v>06:20:44.406</v>
      </c>
      <c r="T3025" t="str">
        <f t="shared" si="1214"/>
        <v>06:20:44.006</v>
      </c>
      <c r="U3025" t="str">
        <f t="shared" si="1206"/>
        <v>A7E2E0</v>
      </c>
      <c r="V3025">
        <v>0</v>
      </c>
      <c r="W3025">
        <v>0</v>
      </c>
      <c r="X3025">
        <v>1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0</v>
      </c>
      <c r="AI3025" t="s">
        <v>1481</v>
      </c>
      <c r="AJ3025">
        <v>38.862183000000002</v>
      </c>
      <c r="AK3025" t="s">
        <v>1482</v>
      </c>
      <c r="AL3025">
        <v>-87.609185999999994</v>
      </c>
      <c r="AM3025">
        <v>100</v>
      </c>
      <c r="AN3025">
        <v>2300</v>
      </c>
      <c r="AO3025" t="s">
        <v>118</v>
      </c>
      <c r="AP3025">
        <v>11</v>
      </c>
      <c r="AQ3025">
        <v>-120</v>
      </c>
      <c r="AR3025">
        <v>640</v>
      </c>
      <c r="AZ3025">
        <v>4552</v>
      </c>
      <c r="BA3025">
        <v>1</v>
      </c>
      <c r="BB3025" t="str">
        <f t="shared" si="1207"/>
        <v xml:space="preserve">N607SR  </v>
      </c>
      <c r="BC3025">
        <v>1</v>
      </c>
      <c r="BE3025">
        <v>0</v>
      </c>
      <c r="BF3025">
        <v>0</v>
      </c>
      <c r="BG3025">
        <v>0</v>
      </c>
      <c r="BH3025">
        <v>2100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 t="shared" si="1215"/>
        <v>06:20:44.414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4</v>
      </c>
      <c r="CP3025" t="s">
        <v>119</v>
      </c>
      <c r="CQ3025">
        <v>177</v>
      </c>
      <c r="CR3025">
        <v>2</v>
      </c>
      <c r="CW3025">
        <v>1688218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 t="shared" si="1212"/>
        <v>08/29/2020 06:20:41.176</v>
      </c>
      <c r="C3026" t="str">
        <f t="shared" si="1205"/>
        <v>FFDFD3C0</v>
      </c>
      <c r="D3026" t="s">
        <v>113</v>
      </c>
      <c r="E3026">
        <v>5</v>
      </c>
      <c r="H3026">
        <v>163</v>
      </c>
      <c r="I3026" t="s">
        <v>114</v>
      </c>
      <c r="J3026" t="s">
        <v>115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213"/>
        <v>06:20:44.406</v>
      </c>
      <c r="T3026" t="str">
        <f t="shared" si="1214"/>
        <v>06:20:44.006</v>
      </c>
      <c r="U3026" t="str">
        <f t="shared" si="1206"/>
        <v>A7E2E0</v>
      </c>
      <c r="V3026">
        <v>0</v>
      </c>
      <c r="W3026">
        <v>0</v>
      </c>
      <c r="X3026">
        <v>1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0</v>
      </c>
      <c r="AI3026" t="s">
        <v>1481</v>
      </c>
      <c r="AJ3026">
        <v>38.862183000000002</v>
      </c>
      <c r="AK3026" t="s">
        <v>1482</v>
      </c>
      <c r="AL3026">
        <v>-87.609185999999994</v>
      </c>
      <c r="AM3026">
        <v>100</v>
      </c>
      <c r="AN3026">
        <v>2300</v>
      </c>
      <c r="AO3026" t="s">
        <v>118</v>
      </c>
      <c r="AP3026">
        <v>11</v>
      </c>
      <c r="AQ3026">
        <v>-120</v>
      </c>
      <c r="AR3026">
        <v>640</v>
      </c>
      <c r="AZ3026">
        <v>4552</v>
      </c>
      <c r="BA3026">
        <v>1</v>
      </c>
      <c r="BB3026" t="str">
        <f t="shared" si="1207"/>
        <v xml:space="preserve">N607SR  </v>
      </c>
      <c r="BC3026">
        <v>1</v>
      </c>
      <c r="BE3026">
        <v>0</v>
      </c>
      <c r="BF3026">
        <v>0</v>
      </c>
      <c r="BG3026">
        <v>0</v>
      </c>
      <c r="BH3026">
        <v>2100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 t="shared" si="1215"/>
        <v>06:20:44.414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465</v>
      </c>
      <c r="CR3026">
        <v>0</v>
      </c>
      <c r="CW3026">
        <v>4728915</v>
      </c>
      <c r="CY3026">
        <v>1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 t="shared" ref="A3027:A3032" si="1216">"08/29/2020 06:20:42.254"</f>
        <v>08/29/2020 06:20:42.254</v>
      </c>
      <c r="C3027" t="str">
        <f t="shared" si="1205"/>
        <v>FFDFD3C0</v>
      </c>
      <c r="D3027" t="s">
        <v>121</v>
      </c>
      <c r="E3027">
        <v>13</v>
      </c>
      <c r="F3027">
        <v>1013</v>
      </c>
      <c r="G3027" t="s">
        <v>122</v>
      </c>
      <c r="J3027" t="s">
        <v>123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ref="S3027:S3032" si="1217">"06:20:45.469"</f>
        <v>06:20:45.469</v>
      </c>
      <c r="T3027" t="str">
        <f t="shared" ref="T3027:T3032" si="1218">"06:20:44.969"</f>
        <v>06:20:44.969</v>
      </c>
      <c r="U3027" t="str">
        <f t="shared" si="1206"/>
        <v>A7E2E0</v>
      </c>
      <c r="V3027">
        <v>0</v>
      </c>
      <c r="W3027">
        <v>0</v>
      </c>
      <c r="X3027">
        <v>1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0</v>
      </c>
      <c r="AI3027" t="s">
        <v>1483</v>
      </c>
      <c r="AJ3027">
        <v>38.861624999999997</v>
      </c>
      <c r="AK3027" t="s">
        <v>1484</v>
      </c>
      <c r="AL3027">
        <v>-87.609121999999999</v>
      </c>
      <c r="AM3027">
        <v>100</v>
      </c>
      <c r="AN3027">
        <v>2300</v>
      </c>
      <c r="AO3027" t="s">
        <v>118</v>
      </c>
      <c r="AP3027">
        <v>11</v>
      </c>
      <c r="AQ3027">
        <v>-118</v>
      </c>
      <c r="AR3027">
        <v>704</v>
      </c>
      <c r="AZ3027">
        <v>4552</v>
      </c>
      <c r="BA3027">
        <v>1</v>
      </c>
      <c r="BB3027" t="str">
        <f t="shared" si="1207"/>
        <v xml:space="preserve">N607SR  </v>
      </c>
      <c r="BC3027">
        <v>1</v>
      </c>
      <c r="BE3027">
        <v>0</v>
      </c>
      <c r="BF3027">
        <v>0</v>
      </c>
      <c r="BG3027">
        <v>0</v>
      </c>
      <c r="BH3027">
        <v>2100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 t="shared" ref="BW3027:BW3032" si="1219">"06:20:45.471"</f>
        <v>06:20:45.471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465</v>
      </c>
      <c r="CR3027">
        <v>0</v>
      </c>
      <c r="CW3027">
        <v>4728945</v>
      </c>
      <c r="CY3027">
        <v>1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 t="shared" si="1216"/>
        <v>08/29/2020 06:20:42.254</v>
      </c>
      <c r="C3028" t="str">
        <f t="shared" si="1205"/>
        <v>FFDFD3C0</v>
      </c>
      <c r="D3028" t="s">
        <v>121</v>
      </c>
      <c r="E3028">
        <v>10</v>
      </c>
      <c r="F3028">
        <v>1010</v>
      </c>
      <c r="G3028" t="s">
        <v>114</v>
      </c>
      <c r="J3028" t="s">
        <v>123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217"/>
        <v>06:20:45.469</v>
      </c>
      <c r="T3028" t="str">
        <f t="shared" si="1218"/>
        <v>06:20:44.969</v>
      </c>
      <c r="U3028" t="str">
        <f t="shared" si="1206"/>
        <v>A7E2E0</v>
      </c>
      <c r="V3028">
        <v>0</v>
      </c>
      <c r="W3028">
        <v>0</v>
      </c>
      <c r="X3028">
        <v>1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0</v>
      </c>
      <c r="AI3028" t="s">
        <v>1483</v>
      </c>
      <c r="AJ3028">
        <v>38.861624999999997</v>
      </c>
      <c r="AK3028" t="s">
        <v>1484</v>
      </c>
      <c r="AL3028">
        <v>-87.609121999999999</v>
      </c>
      <c r="AM3028">
        <v>100</v>
      </c>
      <c r="AN3028">
        <v>2300</v>
      </c>
      <c r="AO3028" t="s">
        <v>118</v>
      </c>
      <c r="AP3028">
        <v>11</v>
      </c>
      <c r="AQ3028">
        <v>-118</v>
      </c>
      <c r="AR3028">
        <v>704</v>
      </c>
      <c r="AZ3028">
        <v>4552</v>
      </c>
      <c r="BA3028">
        <v>1</v>
      </c>
      <c r="BB3028" t="str">
        <f t="shared" si="1207"/>
        <v xml:space="preserve">N607SR  </v>
      </c>
      <c r="BC3028">
        <v>1</v>
      </c>
      <c r="BE3028">
        <v>0</v>
      </c>
      <c r="BF3028">
        <v>0</v>
      </c>
      <c r="BG3028">
        <v>0</v>
      </c>
      <c r="BH3028">
        <v>2100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 t="shared" si="1219"/>
        <v>06:20:45.471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465</v>
      </c>
      <c r="CR3028">
        <v>0</v>
      </c>
      <c r="CW3028">
        <v>4728945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 t="shared" si="1216"/>
        <v>08/29/2020 06:20:42.254</v>
      </c>
      <c r="C3029" t="str">
        <f t="shared" si="1205"/>
        <v>FFDFD3C0</v>
      </c>
      <c r="D3029" t="s">
        <v>939</v>
      </c>
      <c r="E3029">
        <v>10</v>
      </c>
      <c r="H3029">
        <v>79</v>
      </c>
      <c r="I3029" t="s">
        <v>940</v>
      </c>
      <c r="J3029" t="s">
        <v>130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217"/>
        <v>06:20:45.469</v>
      </c>
      <c r="T3029" t="str">
        <f t="shared" si="1218"/>
        <v>06:20:44.969</v>
      </c>
      <c r="U3029" t="str">
        <f t="shared" si="1206"/>
        <v>A7E2E0</v>
      </c>
      <c r="V3029">
        <v>0</v>
      </c>
      <c r="W3029">
        <v>0</v>
      </c>
      <c r="X3029">
        <v>1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0</v>
      </c>
      <c r="AI3029" t="s">
        <v>1483</v>
      </c>
      <c r="AJ3029">
        <v>38.861624999999997</v>
      </c>
      <c r="AK3029" t="s">
        <v>1484</v>
      </c>
      <c r="AL3029">
        <v>-87.609121999999999</v>
      </c>
      <c r="AM3029">
        <v>100</v>
      </c>
      <c r="AN3029">
        <v>2300</v>
      </c>
      <c r="AO3029" t="s">
        <v>118</v>
      </c>
      <c r="AP3029">
        <v>11</v>
      </c>
      <c r="AQ3029">
        <v>-118</v>
      </c>
      <c r="AR3029">
        <v>704</v>
      </c>
      <c r="AZ3029">
        <v>4552</v>
      </c>
      <c r="BA3029">
        <v>1</v>
      </c>
      <c r="BB3029" t="str">
        <f t="shared" si="1207"/>
        <v xml:space="preserve">N607SR  </v>
      </c>
      <c r="BC3029">
        <v>1</v>
      </c>
      <c r="BE3029">
        <v>0</v>
      </c>
      <c r="BF3029">
        <v>0</v>
      </c>
      <c r="BG3029">
        <v>0</v>
      </c>
      <c r="BH3029">
        <v>2100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 t="shared" si="1219"/>
        <v>06:20:45.471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465</v>
      </c>
      <c r="CR3029">
        <v>0</v>
      </c>
      <c r="CW3029">
        <v>4728945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 t="shared" si="1216"/>
        <v>08/29/2020 06:20:42.254</v>
      </c>
      <c r="C3030" t="str">
        <f t="shared" si="1205"/>
        <v>FFDFD3C0</v>
      </c>
      <c r="D3030" t="s">
        <v>121</v>
      </c>
      <c r="E3030">
        <v>11</v>
      </c>
      <c r="F3030">
        <v>1011</v>
      </c>
      <c r="G3030" t="s">
        <v>125</v>
      </c>
      <c r="J3030" t="s">
        <v>123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217"/>
        <v>06:20:45.469</v>
      </c>
      <c r="T3030" t="str">
        <f t="shared" si="1218"/>
        <v>06:20:44.969</v>
      </c>
      <c r="U3030" t="str">
        <f t="shared" si="1206"/>
        <v>A7E2E0</v>
      </c>
      <c r="V3030">
        <v>0</v>
      </c>
      <c r="W3030">
        <v>0</v>
      </c>
      <c r="X3030">
        <v>1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0</v>
      </c>
      <c r="AI3030" t="s">
        <v>1483</v>
      </c>
      <c r="AJ3030">
        <v>38.861624999999997</v>
      </c>
      <c r="AK3030" t="s">
        <v>1484</v>
      </c>
      <c r="AL3030">
        <v>-87.609121999999999</v>
      </c>
      <c r="AM3030">
        <v>100</v>
      </c>
      <c r="AN3030">
        <v>2300</v>
      </c>
      <c r="AO3030" t="s">
        <v>118</v>
      </c>
      <c r="AP3030">
        <v>11</v>
      </c>
      <c r="AQ3030">
        <v>-118</v>
      </c>
      <c r="AR3030">
        <v>704</v>
      </c>
      <c r="AZ3030">
        <v>4552</v>
      </c>
      <c r="BA3030">
        <v>1</v>
      </c>
      <c r="BB3030" t="str">
        <f t="shared" si="1207"/>
        <v xml:space="preserve">N607SR  </v>
      </c>
      <c r="BC3030">
        <v>1</v>
      </c>
      <c r="BE3030">
        <v>0</v>
      </c>
      <c r="BF3030">
        <v>0</v>
      </c>
      <c r="BG3030">
        <v>0</v>
      </c>
      <c r="BH3030">
        <v>2100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 t="shared" si="1219"/>
        <v>06:20:45.471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5</v>
      </c>
      <c r="CP3030" t="s">
        <v>119</v>
      </c>
      <c r="CQ3030">
        <v>177</v>
      </c>
      <c r="CR3030">
        <v>2</v>
      </c>
      <c r="CW3030">
        <v>1688404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 t="shared" si="1216"/>
        <v>08/29/2020 06:20:42.254</v>
      </c>
      <c r="C3031" t="str">
        <f t="shared" si="1205"/>
        <v>FFDFD3C0</v>
      </c>
      <c r="D3031" t="s">
        <v>113</v>
      </c>
      <c r="E3031">
        <v>5</v>
      </c>
      <c r="H3031">
        <v>163</v>
      </c>
      <c r="I3031" t="s">
        <v>114</v>
      </c>
      <c r="J3031" t="s">
        <v>115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217"/>
        <v>06:20:45.469</v>
      </c>
      <c r="T3031" t="str">
        <f t="shared" si="1218"/>
        <v>06:20:44.969</v>
      </c>
      <c r="U3031" t="str">
        <f t="shared" si="1206"/>
        <v>A7E2E0</v>
      </c>
      <c r="V3031">
        <v>0</v>
      </c>
      <c r="W3031">
        <v>0</v>
      </c>
      <c r="X3031">
        <v>1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0</v>
      </c>
      <c r="AI3031" t="s">
        <v>1483</v>
      </c>
      <c r="AJ3031">
        <v>38.861624999999997</v>
      </c>
      <c r="AK3031" t="s">
        <v>1484</v>
      </c>
      <c r="AL3031">
        <v>-87.609121999999999</v>
      </c>
      <c r="AM3031">
        <v>100</v>
      </c>
      <c r="AN3031">
        <v>2300</v>
      </c>
      <c r="AO3031" t="s">
        <v>118</v>
      </c>
      <c r="AP3031">
        <v>11</v>
      </c>
      <c r="AQ3031">
        <v>-118</v>
      </c>
      <c r="AR3031">
        <v>704</v>
      </c>
      <c r="AZ3031">
        <v>4552</v>
      </c>
      <c r="BA3031">
        <v>1</v>
      </c>
      <c r="BB3031" t="str">
        <f t="shared" si="1207"/>
        <v xml:space="preserve">N607SR  </v>
      </c>
      <c r="BC3031">
        <v>1</v>
      </c>
      <c r="BE3031">
        <v>0</v>
      </c>
      <c r="BF3031">
        <v>0</v>
      </c>
      <c r="BG3031">
        <v>0</v>
      </c>
      <c r="BH3031">
        <v>2100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 t="shared" si="1219"/>
        <v>06:20:45.471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465</v>
      </c>
      <c r="CR3031">
        <v>0</v>
      </c>
      <c r="CW3031">
        <v>4728945</v>
      </c>
      <c r="CY3031">
        <v>1</v>
      </c>
      <c r="CZ3031">
        <v>0</v>
      </c>
      <c r="DA3031">
        <v>1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 t="shared" si="1216"/>
        <v>08/29/2020 06:20:42.254</v>
      </c>
      <c r="C3032" t="str">
        <f t="shared" si="1205"/>
        <v>FFDFD3C0</v>
      </c>
      <c r="D3032" t="s">
        <v>128</v>
      </c>
      <c r="E3032">
        <v>5</v>
      </c>
      <c r="H3032">
        <v>241</v>
      </c>
      <c r="I3032" t="s">
        <v>129</v>
      </c>
      <c r="J3032" t="s">
        <v>130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217"/>
        <v>06:20:45.469</v>
      </c>
      <c r="T3032" t="str">
        <f t="shared" si="1218"/>
        <v>06:20:44.969</v>
      </c>
      <c r="U3032" t="str">
        <f t="shared" si="1206"/>
        <v>A7E2E0</v>
      </c>
      <c r="V3032">
        <v>0</v>
      </c>
      <c r="W3032">
        <v>0</v>
      </c>
      <c r="X3032">
        <v>1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0</v>
      </c>
      <c r="AI3032" t="s">
        <v>1483</v>
      </c>
      <c r="AJ3032">
        <v>38.861624999999997</v>
      </c>
      <c r="AK3032" t="s">
        <v>1484</v>
      </c>
      <c r="AL3032">
        <v>-87.609121999999999</v>
      </c>
      <c r="AM3032">
        <v>100</v>
      </c>
      <c r="AN3032">
        <v>2300</v>
      </c>
      <c r="AO3032" t="s">
        <v>118</v>
      </c>
      <c r="AP3032">
        <v>11</v>
      </c>
      <c r="AQ3032">
        <v>-118</v>
      </c>
      <c r="AR3032">
        <v>704</v>
      </c>
      <c r="AZ3032">
        <v>4552</v>
      </c>
      <c r="BA3032">
        <v>1</v>
      </c>
      <c r="BB3032" t="str">
        <f t="shared" si="1207"/>
        <v xml:space="preserve">N607SR  </v>
      </c>
      <c r="BC3032">
        <v>1</v>
      </c>
      <c r="BE3032">
        <v>0</v>
      </c>
      <c r="BF3032">
        <v>0</v>
      </c>
      <c r="BG3032">
        <v>0</v>
      </c>
      <c r="BH3032">
        <v>2100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 t="shared" si="1219"/>
        <v>06:20:45.471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465</v>
      </c>
      <c r="CR3032">
        <v>0</v>
      </c>
      <c r="CW3032">
        <v>4728945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 t="shared" ref="A3033:A3038" si="1220">"08/29/2020 06:20:43.348"</f>
        <v>08/29/2020 06:20:43.348</v>
      </c>
      <c r="C3033" t="str">
        <f t="shared" si="1205"/>
        <v>FFDFD3C0</v>
      </c>
      <c r="D3033" t="s">
        <v>113</v>
      </c>
      <c r="E3033">
        <v>5</v>
      </c>
      <c r="H3033">
        <v>163</v>
      </c>
      <c r="I3033" t="s">
        <v>114</v>
      </c>
      <c r="J3033" t="s">
        <v>115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ref="S3033:S3038" si="1221">"06:20:46.563"</f>
        <v>06:20:46.563</v>
      </c>
      <c r="T3033" t="str">
        <f t="shared" ref="T3033:T3038" si="1222">"06:20:46.063"</f>
        <v>06:20:46.063</v>
      </c>
      <c r="U3033" t="str">
        <f t="shared" si="1206"/>
        <v>A7E2E0</v>
      </c>
      <c r="V3033">
        <v>0</v>
      </c>
      <c r="W3033">
        <v>0</v>
      </c>
      <c r="X3033">
        <v>1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0</v>
      </c>
      <c r="AI3033" t="s">
        <v>1485</v>
      </c>
      <c r="AJ3033">
        <v>38.861024</v>
      </c>
      <c r="AK3033" t="s">
        <v>1486</v>
      </c>
      <c r="AL3033">
        <v>-87.609036000000003</v>
      </c>
      <c r="AM3033">
        <v>100</v>
      </c>
      <c r="AN3033">
        <v>2300</v>
      </c>
      <c r="AO3033" t="s">
        <v>118</v>
      </c>
      <c r="AP3033">
        <v>11</v>
      </c>
      <c r="AQ3033">
        <v>-116</v>
      </c>
      <c r="AR3033">
        <v>704</v>
      </c>
      <c r="AZ3033">
        <v>4552</v>
      </c>
      <c r="BA3033">
        <v>1</v>
      </c>
      <c r="BB3033" t="str">
        <f t="shared" si="1207"/>
        <v xml:space="preserve">N607SR  </v>
      </c>
      <c r="BC3033">
        <v>1</v>
      </c>
      <c r="BE3033">
        <v>0</v>
      </c>
      <c r="BF3033">
        <v>0</v>
      </c>
      <c r="BG3033">
        <v>0</v>
      </c>
      <c r="BH3033">
        <v>2125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 t="shared" ref="BW3033:BW3038" si="1223">"06:20:46.569"</f>
        <v>06:20:46.569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465</v>
      </c>
      <c r="CR3033">
        <v>0</v>
      </c>
      <c r="CW3033">
        <v>4728972</v>
      </c>
      <c r="CY3033">
        <v>1</v>
      </c>
      <c r="CZ3033">
        <v>0</v>
      </c>
      <c r="DA3033">
        <v>0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 t="shared" si="1220"/>
        <v>08/29/2020 06:20:43.348</v>
      </c>
      <c r="C3034" t="str">
        <f t="shared" si="1205"/>
        <v>FFDFD3C0</v>
      </c>
      <c r="D3034" t="s">
        <v>128</v>
      </c>
      <c r="E3034">
        <v>5</v>
      </c>
      <c r="H3034">
        <v>241</v>
      </c>
      <c r="I3034" t="s">
        <v>129</v>
      </c>
      <c r="J3034" t="s">
        <v>130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221"/>
        <v>06:20:46.563</v>
      </c>
      <c r="T3034" t="str">
        <f t="shared" si="1222"/>
        <v>06:20:46.063</v>
      </c>
      <c r="U3034" t="str">
        <f t="shared" si="1206"/>
        <v>A7E2E0</v>
      </c>
      <c r="V3034">
        <v>0</v>
      </c>
      <c r="W3034">
        <v>0</v>
      </c>
      <c r="X3034">
        <v>1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0</v>
      </c>
      <c r="AI3034" t="s">
        <v>1485</v>
      </c>
      <c r="AJ3034">
        <v>38.861024</v>
      </c>
      <c r="AK3034" t="s">
        <v>1486</v>
      </c>
      <c r="AL3034">
        <v>-87.609036000000003</v>
      </c>
      <c r="AM3034">
        <v>100</v>
      </c>
      <c r="AN3034">
        <v>2300</v>
      </c>
      <c r="AO3034" t="s">
        <v>118</v>
      </c>
      <c r="AP3034">
        <v>11</v>
      </c>
      <c r="AQ3034">
        <v>-116</v>
      </c>
      <c r="AR3034">
        <v>704</v>
      </c>
      <c r="AZ3034">
        <v>4552</v>
      </c>
      <c r="BA3034">
        <v>1</v>
      </c>
      <c r="BB3034" t="str">
        <f t="shared" si="1207"/>
        <v xml:space="preserve">N607SR  </v>
      </c>
      <c r="BC3034">
        <v>1</v>
      </c>
      <c r="BE3034">
        <v>0</v>
      </c>
      <c r="BF3034">
        <v>0</v>
      </c>
      <c r="BG3034">
        <v>0</v>
      </c>
      <c r="BH3034">
        <v>2125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 t="shared" si="1223"/>
        <v>06:20:46.569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465</v>
      </c>
      <c r="CR3034">
        <v>0</v>
      </c>
      <c r="CW3034">
        <v>4728972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 t="shared" si="1220"/>
        <v>08/29/2020 06:20:43.348</v>
      </c>
      <c r="C3035" t="str">
        <f t="shared" si="1205"/>
        <v>FFDFD3C0</v>
      </c>
      <c r="D3035" t="s">
        <v>121</v>
      </c>
      <c r="E3035">
        <v>13</v>
      </c>
      <c r="F3035">
        <v>1013</v>
      </c>
      <c r="G3035" t="s">
        <v>122</v>
      </c>
      <c r="J3035" t="s">
        <v>123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221"/>
        <v>06:20:46.563</v>
      </c>
      <c r="T3035" t="str">
        <f t="shared" si="1222"/>
        <v>06:20:46.063</v>
      </c>
      <c r="U3035" t="str">
        <f t="shared" si="1206"/>
        <v>A7E2E0</v>
      </c>
      <c r="V3035">
        <v>0</v>
      </c>
      <c r="W3035">
        <v>0</v>
      </c>
      <c r="X3035">
        <v>1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0</v>
      </c>
      <c r="AI3035" t="s">
        <v>1485</v>
      </c>
      <c r="AJ3035">
        <v>38.861024</v>
      </c>
      <c r="AK3035" t="s">
        <v>1486</v>
      </c>
      <c r="AL3035">
        <v>-87.609036000000003</v>
      </c>
      <c r="AM3035">
        <v>100</v>
      </c>
      <c r="AN3035">
        <v>2300</v>
      </c>
      <c r="AO3035" t="s">
        <v>118</v>
      </c>
      <c r="AP3035">
        <v>11</v>
      </c>
      <c r="AQ3035">
        <v>-116</v>
      </c>
      <c r="AR3035">
        <v>704</v>
      </c>
      <c r="AZ3035">
        <v>4552</v>
      </c>
      <c r="BA3035">
        <v>1</v>
      </c>
      <c r="BB3035" t="str">
        <f t="shared" si="1207"/>
        <v xml:space="preserve">N607SR  </v>
      </c>
      <c r="BC3035">
        <v>1</v>
      </c>
      <c r="BE3035">
        <v>0</v>
      </c>
      <c r="BF3035">
        <v>0</v>
      </c>
      <c r="BG3035">
        <v>0</v>
      </c>
      <c r="BH3035">
        <v>2125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 t="shared" si="1223"/>
        <v>06:20:46.569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465</v>
      </c>
      <c r="CR3035">
        <v>0</v>
      </c>
      <c r="CW3035">
        <v>4728972</v>
      </c>
      <c r="CY3035">
        <v>1</v>
      </c>
      <c r="CZ3035">
        <v>0</v>
      </c>
      <c r="DA3035">
        <v>1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 t="shared" si="1220"/>
        <v>08/29/2020 06:20:43.348</v>
      </c>
      <c r="C3036" t="str">
        <f t="shared" si="1205"/>
        <v>FFDFD3C0</v>
      </c>
      <c r="D3036" t="s">
        <v>939</v>
      </c>
      <c r="E3036">
        <v>10</v>
      </c>
      <c r="H3036">
        <v>79</v>
      </c>
      <c r="I3036" t="s">
        <v>940</v>
      </c>
      <c r="J3036" t="s">
        <v>130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221"/>
        <v>06:20:46.563</v>
      </c>
      <c r="T3036" t="str">
        <f t="shared" si="1222"/>
        <v>06:20:46.063</v>
      </c>
      <c r="U3036" t="str">
        <f t="shared" si="1206"/>
        <v>A7E2E0</v>
      </c>
      <c r="V3036">
        <v>0</v>
      </c>
      <c r="W3036">
        <v>0</v>
      </c>
      <c r="X3036">
        <v>1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0</v>
      </c>
      <c r="AI3036" t="s">
        <v>1485</v>
      </c>
      <c r="AJ3036">
        <v>38.861024</v>
      </c>
      <c r="AK3036" t="s">
        <v>1486</v>
      </c>
      <c r="AL3036">
        <v>-87.609036000000003</v>
      </c>
      <c r="AM3036">
        <v>100</v>
      </c>
      <c r="AN3036">
        <v>2300</v>
      </c>
      <c r="AO3036" t="s">
        <v>118</v>
      </c>
      <c r="AP3036">
        <v>11</v>
      </c>
      <c r="AQ3036">
        <v>-116</v>
      </c>
      <c r="AR3036">
        <v>704</v>
      </c>
      <c r="AZ3036">
        <v>4552</v>
      </c>
      <c r="BA3036">
        <v>1</v>
      </c>
      <c r="BB3036" t="str">
        <f t="shared" si="1207"/>
        <v xml:space="preserve">N607SR  </v>
      </c>
      <c r="BC3036">
        <v>1</v>
      </c>
      <c r="BE3036">
        <v>0</v>
      </c>
      <c r="BF3036">
        <v>0</v>
      </c>
      <c r="BG3036">
        <v>0</v>
      </c>
      <c r="BH3036">
        <v>2125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 t="shared" si="1223"/>
        <v>06:20:46.569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465</v>
      </c>
      <c r="CR3036">
        <v>0</v>
      </c>
      <c r="CW3036">
        <v>4728972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 t="shared" si="1220"/>
        <v>08/29/2020 06:20:43.348</v>
      </c>
      <c r="C3037" t="str">
        <f t="shared" si="1205"/>
        <v>FFDFD3C0</v>
      </c>
      <c r="D3037" t="s">
        <v>121</v>
      </c>
      <c r="E3037">
        <v>10</v>
      </c>
      <c r="F3037">
        <v>1010</v>
      </c>
      <c r="G3037" t="s">
        <v>114</v>
      </c>
      <c r="J3037" t="s">
        <v>123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221"/>
        <v>06:20:46.563</v>
      </c>
      <c r="T3037" t="str">
        <f t="shared" si="1222"/>
        <v>06:20:46.063</v>
      </c>
      <c r="U3037" t="str">
        <f t="shared" si="1206"/>
        <v>A7E2E0</v>
      </c>
      <c r="V3037">
        <v>0</v>
      </c>
      <c r="W3037">
        <v>0</v>
      </c>
      <c r="X3037">
        <v>1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0</v>
      </c>
      <c r="AI3037" t="s">
        <v>1485</v>
      </c>
      <c r="AJ3037">
        <v>38.861024</v>
      </c>
      <c r="AK3037" t="s">
        <v>1486</v>
      </c>
      <c r="AL3037">
        <v>-87.609036000000003</v>
      </c>
      <c r="AM3037">
        <v>100</v>
      </c>
      <c r="AN3037">
        <v>2300</v>
      </c>
      <c r="AO3037" t="s">
        <v>118</v>
      </c>
      <c r="AP3037">
        <v>11</v>
      </c>
      <c r="AQ3037">
        <v>-116</v>
      </c>
      <c r="AR3037">
        <v>704</v>
      </c>
      <c r="AZ3037">
        <v>4552</v>
      </c>
      <c r="BA3037">
        <v>1</v>
      </c>
      <c r="BB3037" t="str">
        <f t="shared" si="1207"/>
        <v xml:space="preserve">N607SR  </v>
      </c>
      <c r="BC3037">
        <v>1</v>
      </c>
      <c r="BE3037">
        <v>0</v>
      </c>
      <c r="BF3037">
        <v>0</v>
      </c>
      <c r="BG3037">
        <v>0</v>
      </c>
      <c r="BH3037">
        <v>2125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 t="shared" si="1223"/>
        <v>06:20:46.569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465</v>
      </c>
      <c r="CR3037">
        <v>0</v>
      </c>
      <c r="CW3037">
        <v>4728972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 t="shared" si="1220"/>
        <v>08/29/2020 06:20:43.348</v>
      </c>
      <c r="C3038" t="str">
        <f t="shared" si="1205"/>
        <v>FFDFD3C0</v>
      </c>
      <c r="D3038" t="s">
        <v>121</v>
      </c>
      <c r="E3038">
        <v>11</v>
      </c>
      <c r="F3038">
        <v>1011</v>
      </c>
      <c r="G3038" t="s">
        <v>125</v>
      </c>
      <c r="J3038" t="s">
        <v>123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221"/>
        <v>06:20:46.563</v>
      </c>
      <c r="T3038" t="str">
        <f t="shared" si="1222"/>
        <v>06:20:46.063</v>
      </c>
      <c r="U3038" t="str">
        <f t="shared" si="1206"/>
        <v>A7E2E0</v>
      </c>
      <c r="V3038">
        <v>0</v>
      </c>
      <c r="W3038">
        <v>0</v>
      </c>
      <c r="X3038">
        <v>1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0</v>
      </c>
      <c r="AI3038" t="s">
        <v>1485</v>
      </c>
      <c r="AJ3038">
        <v>38.861024</v>
      </c>
      <c r="AK3038" t="s">
        <v>1486</v>
      </c>
      <c r="AL3038">
        <v>-87.609036000000003</v>
      </c>
      <c r="AM3038">
        <v>100</v>
      </c>
      <c r="AN3038">
        <v>2300</v>
      </c>
      <c r="AO3038" t="s">
        <v>118</v>
      </c>
      <c r="AP3038">
        <v>11</v>
      </c>
      <c r="AQ3038">
        <v>-116</v>
      </c>
      <c r="AR3038">
        <v>704</v>
      </c>
      <c r="AZ3038">
        <v>4552</v>
      </c>
      <c r="BA3038">
        <v>1</v>
      </c>
      <c r="BB3038" t="str">
        <f t="shared" si="1207"/>
        <v xml:space="preserve">N607SR  </v>
      </c>
      <c r="BC3038">
        <v>1</v>
      </c>
      <c r="BE3038">
        <v>0</v>
      </c>
      <c r="BF3038">
        <v>0</v>
      </c>
      <c r="BG3038">
        <v>0</v>
      </c>
      <c r="BH3038">
        <v>2125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 t="shared" si="1223"/>
        <v>06:20:46.569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5</v>
      </c>
      <c r="CP3038" t="s">
        <v>119</v>
      </c>
      <c r="CQ3038">
        <v>177</v>
      </c>
      <c r="CR3038">
        <v>2</v>
      </c>
      <c r="CW3038">
        <v>1688568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 t="shared" ref="A3039:A3044" si="1224">"08/29/2020 06:20:44.360"</f>
        <v>08/29/2020 06:20:44.360</v>
      </c>
      <c r="C3039" t="str">
        <f t="shared" si="1205"/>
        <v>FFDFD3C0</v>
      </c>
      <c r="D3039" t="s">
        <v>113</v>
      </c>
      <c r="E3039">
        <v>5</v>
      </c>
      <c r="H3039">
        <v>163</v>
      </c>
      <c r="I3039" t="s">
        <v>114</v>
      </c>
      <c r="J3039" t="s">
        <v>115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ref="S3039:S3044" si="1225">"06:20:47.563"</f>
        <v>06:20:47.563</v>
      </c>
      <c r="T3039" t="str">
        <f t="shared" ref="T3039:T3044" si="1226">"06:20:47.162"</f>
        <v>06:20:47.162</v>
      </c>
      <c r="U3039" t="str">
        <f t="shared" si="1206"/>
        <v>A7E2E0</v>
      </c>
      <c r="V3039">
        <v>0</v>
      </c>
      <c r="W3039">
        <v>0</v>
      </c>
      <c r="X3039">
        <v>1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0</v>
      </c>
      <c r="AI3039" t="s">
        <v>1487</v>
      </c>
      <c r="AJ3039">
        <v>38.860466000000002</v>
      </c>
      <c r="AK3039" t="s">
        <v>1488</v>
      </c>
      <c r="AL3039">
        <v>-87.608971999999994</v>
      </c>
      <c r="AM3039">
        <v>100</v>
      </c>
      <c r="AN3039">
        <v>2300</v>
      </c>
      <c r="AO3039" t="s">
        <v>118</v>
      </c>
      <c r="AP3039">
        <v>11</v>
      </c>
      <c r="AQ3039">
        <v>-115</v>
      </c>
      <c r="AR3039">
        <v>640</v>
      </c>
      <c r="AZ3039">
        <v>4552</v>
      </c>
      <c r="BA3039">
        <v>1</v>
      </c>
      <c r="BB3039" t="str">
        <f t="shared" si="1207"/>
        <v xml:space="preserve">N607SR  </v>
      </c>
      <c r="BC3039">
        <v>1</v>
      </c>
      <c r="BE3039">
        <v>0</v>
      </c>
      <c r="BF3039">
        <v>0</v>
      </c>
      <c r="BG3039">
        <v>0</v>
      </c>
      <c r="BH3039">
        <v>2125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 t="shared" ref="BW3039:BW3044" si="1227">"06:20:47.565"</f>
        <v>06:20:47.565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465</v>
      </c>
      <c r="CR3039">
        <v>0</v>
      </c>
      <c r="CW3039">
        <v>4729002</v>
      </c>
      <c r="CY3039">
        <v>1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 t="shared" si="1224"/>
        <v>08/29/2020 06:20:44.360</v>
      </c>
      <c r="C3040" t="str">
        <f t="shared" si="1205"/>
        <v>FFDFD3C0</v>
      </c>
      <c r="D3040" t="s">
        <v>121</v>
      </c>
      <c r="E3040">
        <v>11</v>
      </c>
      <c r="F3040">
        <v>1011</v>
      </c>
      <c r="G3040" t="s">
        <v>125</v>
      </c>
      <c r="J3040" t="s">
        <v>123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225"/>
        <v>06:20:47.563</v>
      </c>
      <c r="T3040" t="str">
        <f t="shared" si="1226"/>
        <v>06:20:47.162</v>
      </c>
      <c r="U3040" t="str">
        <f t="shared" si="1206"/>
        <v>A7E2E0</v>
      </c>
      <c r="V3040">
        <v>0</v>
      </c>
      <c r="W3040">
        <v>0</v>
      </c>
      <c r="X3040">
        <v>1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0</v>
      </c>
      <c r="AI3040" t="s">
        <v>1487</v>
      </c>
      <c r="AJ3040">
        <v>38.860466000000002</v>
      </c>
      <c r="AK3040" t="s">
        <v>1488</v>
      </c>
      <c r="AL3040">
        <v>-87.608971999999994</v>
      </c>
      <c r="AM3040">
        <v>100</v>
      </c>
      <c r="AN3040">
        <v>2300</v>
      </c>
      <c r="AO3040" t="s">
        <v>118</v>
      </c>
      <c r="AP3040">
        <v>11</v>
      </c>
      <c r="AQ3040">
        <v>-115</v>
      </c>
      <c r="AR3040">
        <v>640</v>
      </c>
      <c r="AZ3040">
        <v>4552</v>
      </c>
      <c r="BA3040">
        <v>1</v>
      </c>
      <c r="BB3040" t="str">
        <f t="shared" si="1207"/>
        <v xml:space="preserve">N607SR  </v>
      </c>
      <c r="BC3040">
        <v>1</v>
      </c>
      <c r="BE3040">
        <v>0</v>
      </c>
      <c r="BF3040">
        <v>0</v>
      </c>
      <c r="BG3040">
        <v>0</v>
      </c>
      <c r="BH3040">
        <v>2125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 t="shared" si="1227"/>
        <v>06:20:47.565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5</v>
      </c>
      <c r="CP3040" t="s">
        <v>119</v>
      </c>
      <c r="CQ3040">
        <v>177</v>
      </c>
      <c r="CR3040">
        <v>2</v>
      </c>
      <c r="CW3040">
        <v>1688737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 t="shared" si="1224"/>
        <v>08/29/2020 06:20:44.360</v>
      </c>
      <c r="C3041" t="str">
        <f t="shared" si="1205"/>
        <v>FFDFD3C0</v>
      </c>
      <c r="D3041" t="s">
        <v>128</v>
      </c>
      <c r="E3041">
        <v>5</v>
      </c>
      <c r="H3041">
        <v>241</v>
      </c>
      <c r="I3041" t="s">
        <v>129</v>
      </c>
      <c r="J3041" t="s">
        <v>130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225"/>
        <v>06:20:47.563</v>
      </c>
      <c r="T3041" t="str">
        <f t="shared" si="1226"/>
        <v>06:20:47.162</v>
      </c>
      <c r="U3041" t="str">
        <f t="shared" si="1206"/>
        <v>A7E2E0</v>
      </c>
      <c r="V3041">
        <v>0</v>
      </c>
      <c r="W3041">
        <v>0</v>
      </c>
      <c r="X3041">
        <v>1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0</v>
      </c>
      <c r="AI3041" t="s">
        <v>1487</v>
      </c>
      <c r="AJ3041">
        <v>38.860466000000002</v>
      </c>
      <c r="AK3041" t="s">
        <v>1488</v>
      </c>
      <c r="AL3041">
        <v>-87.608971999999994</v>
      </c>
      <c r="AM3041">
        <v>100</v>
      </c>
      <c r="AN3041">
        <v>2300</v>
      </c>
      <c r="AO3041" t="s">
        <v>118</v>
      </c>
      <c r="AP3041">
        <v>11</v>
      </c>
      <c r="AQ3041">
        <v>-115</v>
      </c>
      <c r="AR3041">
        <v>640</v>
      </c>
      <c r="AZ3041">
        <v>4552</v>
      </c>
      <c r="BA3041">
        <v>1</v>
      </c>
      <c r="BB3041" t="str">
        <f t="shared" si="1207"/>
        <v xml:space="preserve">N607SR  </v>
      </c>
      <c r="BC3041">
        <v>1</v>
      </c>
      <c r="BE3041">
        <v>0</v>
      </c>
      <c r="BF3041">
        <v>0</v>
      </c>
      <c r="BG3041">
        <v>0</v>
      </c>
      <c r="BH3041">
        <v>2125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 t="shared" si="1227"/>
        <v>06:20:47.565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465</v>
      </c>
      <c r="CR3041">
        <v>0</v>
      </c>
      <c r="CW3041">
        <v>4729002</v>
      </c>
      <c r="CY3041">
        <v>1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 t="shared" si="1224"/>
        <v>08/29/2020 06:20:44.360</v>
      </c>
      <c r="C3042" t="str">
        <f t="shared" si="1205"/>
        <v>FFDFD3C0</v>
      </c>
      <c r="D3042" t="s">
        <v>939</v>
      </c>
      <c r="E3042">
        <v>10</v>
      </c>
      <c r="H3042">
        <v>79</v>
      </c>
      <c r="I3042" t="s">
        <v>940</v>
      </c>
      <c r="J3042" t="s">
        <v>130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225"/>
        <v>06:20:47.563</v>
      </c>
      <c r="T3042" t="str">
        <f t="shared" si="1226"/>
        <v>06:20:47.162</v>
      </c>
      <c r="U3042" t="str">
        <f t="shared" si="1206"/>
        <v>A7E2E0</v>
      </c>
      <c r="V3042">
        <v>0</v>
      </c>
      <c r="W3042">
        <v>0</v>
      </c>
      <c r="X3042">
        <v>1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0</v>
      </c>
      <c r="AI3042" t="s">
        <v>1487</v>
      </c>
      <c r="AJ3042">
        <v>38.860466000000002</v>
      </c>
      <c r="AK3042" t="s">
        <v>1488</v>
      </c>
      <c r="AL3042">
        <v>-87.608971999999994</v>
      </c>
      <c r="AM3042">
        <v>100</v>
      </c>
      <c r="AN3042">
        <v>2300</v>
      </c>
      <c r="AO3042" t="s">
        <v>118</v>
      </c>
      <c r="AP3042">
        <v>11</v>
      </c>
      <c r="AQ3042">
        <v>-115</v>
      </c>
      <c r="AR3042">
        <v>640</v>
      </c>
      <c r="AZ3042">
        <v>4552</v>
      </c>
      <c r="BA3042">
        <v>1</v>
      </c>
      <c r="BB3042" t="str">
        <f t="shared" si="1207"/>
        <v xml:space="preserve">N607SR  </v>
      </c>
      <c r="BC3042">
        <v>1</v>
      </c>
      <c r="BE3042">
        <v>0</v>
      </c>
      <c r="BF3042">
        <v>0</v>
      </c>
      <c r="BG3042">
        <v>0</v>
      </c>
      <c r="BH3042">
        <v>2125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 t="shared" si="1227"/>
        <v>06:20:47.565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465</v>
      </c>
      <c r="CR3042">
        <v>0</v>
      </c>
      <c r="CW3042">
        <v>4729002</v>
      </c>
      <c r="CY3042">
        <v>1</v>
      </c>
      <c r="CZ3042">
        <v>0</v>
      </c>
      <c r="DA3042">
        <v>1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 t="shared" si="1224"/>
        <v>08/29/2020 06:20:44.360</v>
      </c>
      <c r="C3043" t="str">
        <f t="shared" si="1205"/>
        <v>FFDFD3C0</v>
      </c>
      <c r="D3043" t="s">
        <v>121</v>
      </c>
      <c r="E3043">
        <v>10</v>
      </c>
      <c r="F3043">
        <v>1010</v>
      </c>
      <c r="G3043" t="s">
        <v>114</v>
      </c>
      <c r="J3043" t="s">
        <v>123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225"/>
        <v>06:20:47.563</v>
      </c>
      <c r="T3043" t="str">
        <f t="shared" si="1226"/>
        <v>06:20:47.162</v>
      </c>
      <c r="U3043" t="str">
        <f t="shared" si="1206"/>
        <v>A7E2E0</v>
      </c>
      <c r="V3043">
        <v>0</v>
      </c>
      <c r="W3043">
        <v>0</v>
      </c>
      <c r="X3043">
        <v>1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0</v>
      </c>
      <c r="AI3043" t="s">
        <v>1487</v>
      </c>
      <c r="AJ3043">
        <v>38.860466000000002</v>
      </c>
      <c r="AK3043" t="s">
        <v>1488</v>
      </c>
      <c r="AL3043">
        <v>-87.608971999999994</v>
      </c>
      <c r="AM3043">
        <v>100</v>
      </c>
      <c r="AN3043">
        <v>2300</v>
      </c>
      <c r="AO3043" t="s">
        <v>118</v>
      </c>
      <c r="AP3043">
        <v>11</v>
      </c>
      <c r="AQ3043">
        <v>-115</v>
      </c>
      <c r="AR3043">
        <v>640</v>
      </c>
      <c r="AZ3043">
        <v>4552</v>
      </c>
      <c r="BA3043">
        <v>1</v>
      </c>
      <c r="BB3043" t="str">
        <f t="shared" si="1207"/>
        <v xml:space="preserve">N607SR  </v>
      </c>
      <c r="BC3043">
        <v>1</v>
      </c>
      <c r="BE3043">
        <v>0</v>
      </c>
      <c r="BF3043">
        <v>0</v>
      </c>
      <c r="BG3043">
        <v>0</v>
      </c>
      <c r="BH3043">
        <v>2125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 t="shared" si="1227"/>
        <v>06:20:47.565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465</v>
      </c>
      <c r="CR3043">
        <v>0</v>
      </c>
      <c r="CW3043">
        <v>4729002</v>
      </c>
      <c r="CY3043">
        <v>1</v>
      </c>
      <c r="CZ3043">
        <v>0</v>
      </c>
      <c r="DA3043">
        <v>1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 t="shared" si="1224"/>
        <v>08/29/2020 06:20:44.360</v>
      </c>
      <c r="C3044" t="str">
        <f t="shared" si="1205"/>
        <v>FFDFD3C0</v>
      </c>
      <c r="D3044" t="s">
        <v>121</v>
      </c>
      <c r="E3044">
        <v>13</v>
      </c>
      <c r="F3044">
        <v>1013</v>
      </c>
      <c r="G3044" t="s">
        <v>122</v>
      </c>
      <c r="J3044" t="s">
        <v>123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225"/>
        <v>06:20:47.563</v>
      </c>
      <c r="T3044" t="str">
        <f t="shared" si="1226"/>
        <v>06:20:47.162</v>
      </c>
      <c r="U3044" t="str">
        <f t="shared" si="1206"/>
        <v>A7E2E0</v>
      </c>
      <c r="V3044">
        <v>0</v>
      </c>
      <c r="W3044">
        <v>0</v>
      </c>
      <c r="X3044">
        <v>1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0</v>
      </c>
      <c r="AI3044" t="s">
        <v>1487</v>
      </c>
      <c r="AJ3044">
        <v>38.860466000000002</v>
      </c>
      <c r="AK3044" t="s">
        <v>1488</v>
      </c>
      <c r="AL3044">
        <v>-87.608971999999994</v>
      </c>
      <c r="AM3044">
        <v>100</v>
      </c>
      <c r="AN3044">
        <v>2300</v>
      </c>
      <c r="AO3044" t="s">
        <v>118</v>
      </c>
      <c r="AP3044">
        <v>11</v>
      </c>
      <c r="AQ3044">
        <v>-115</v>
      </c>
      <c r="AR3044">
        <v>640</v>
      </c>
      <c r="AZ3044">
        <v>4552</v>
      </c>
      <c r="BA3044">
        <v>1</v>
      </c>
      <c r="BB3044" t="str">
        <f t="shared" si="1207"/>
        <v xml:space="preserve">N607SR  </v>
      </c>
      <c r="BC3044">
        <v>1</v>
      </c>
      <c r="BE3044">
        <v>0</v>
      </c>
      <c r="BF3044">
        <v>0</v>
      </c>
      <c r="BG3044">
        <v>0</v>
      </c>
      <c r="BH3044">
        <v>2125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 t="shared" si="1227"/>
        <v>06:20:47.565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465</v>
      </c>
      <c r="CR3044">
        <v>0</v>
      </c>
      <c r="CW3044">
        <v>4729002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 t="shared" ref="A3045:A3050" si="1228">"08/29/2020 06:20:45.273"</f>
        <v>08/29/2020 06:20:45.273</v>
      </c>
      <c r="C3045" t="str">
        <f t="shared" si="1205"/>
        <v>FFDFD3C0</v>
      </c>
      <c r="D3045" t="s">
        <v>113</v>
      </c>
      <c r="E3045">
        <v>5</v>
      </c>
      <c r="H3045">
        <v>163</v>
      </c>
      <c r="I3045" t="s">
        <v>114</v>
      </c>
      <c r="J3045" t="s">
        <v>115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ref="S3045:S3050" si="1229">"06:20:48.492"</f>
        <v>06:20:48.492</v>
      </c>
      <c r="T3045" t="str">
        <f t="shared" ref="T3045:T3050" si="1230">"06:20:48.092"</f>
        <v>06:20:48.092</v>
      </c>
      <c r="U3045" t="str">
        <f t="shared" si="1206"/>
        <v>A7E2E0</v>
      </c>
      <c r="V3045">
        <v>0</v>
      </c>
      <c r="W3045">
        <v>0</v>
      </c>
      <c r="X3045">
        <v>1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0</v>
      </c>
      <c r="AI3045" t="s">
        <v>1489</v>
      </c>
      <c r="AJ3045">
        <v>38.860036999999998</v>
      </c>
      <c r="AK3045" t="s">
        <v>1240</v>
      </c>
      <c r="AL3045">
        <v>-87.608949999999993</v>
      </c>
      <c r="AM3045">
        <v>100</v>
      </c>
      <c r="AN3045">
        <v>2300</v>
      </c>
      <c r="AO3045" t="s">
        <v>118</v>
      </c>
      <c r="AP3045">
        <v>10</v>
      </c>
      <c r="AQ3045">
        <v>-113</v>
      </c>
      <c r="AR3045">
        <v>640</v>
      </c>
      <c r="AZ3045">
        <v>4552</v>
      </c>
      <c r="BA3045">
        <v>1</v>
      </c>
      <c r="BB3045" t="str">
        <f t="shared" si="1207"/>
        <v xml:space="preserve">N607SR  </v>
      </c>
      <c r="BC3045">
        <v>1</v>
      </c>
      <c r="BE3045">
        <v>0</v>
      </c>
      <c r="BF3045">
        <v>0</v>
      </c>
      <c r="BG3045">
        <v>0</v>
      </c>
      <c r="BH3045">
        <v>2125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 t="shared" ref="BW3045:BW3050" si="1231">"06:20:48.495"</f>
        <v>06:20:48.495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465</v>
      </c>
      <c r="CR3045">
        <v>0</v>
      </c>
      <c r="CW3045">
        <v>4729032</v>
      </c>
      <c r="CY3045">
        <v>1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 t="shared" si="1228"/>
        <v>08/29/2020 06:20:45.273</v>
      </c>
      <c r="C3046" t="str">
        <f t="shared" si="1205"/>
        <v>FFDFD3C0</v>
      </c>
      <c r="D3046" t="s">
        <v>939</v>
      </c>
      <c r="E3046">
        <v>10</v>
      </c>
      <c r="H3046">
        <v>79</v>
      </c>
      <c r="I3046" t="s">
        <v>940</v>
      </c>
      <c r="J3046" t="s">
        <v>130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229"/>
        <v>06:20:48.492</v>
      </c>
      <c r="T3046" t="str">
        <f t="shared" si="1230"/>
        <v>06:20:48.092</v>
      </c>
      <c r="U3046" t="str">
        <f t="shared" si="1206"/>
        <v>A7E2E0</v>
      </c>
      <c r="V3046">
        <v>0</v>
      </c>
      <c r="W3046">
        <v>0</v>
      </c>
      <c r="X3046">
        <v>1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0</v>
      </c>
      <c r="AI3046" t="s">
        <v>1489</v>
      </c>
      <c r="AJ3046">
        <v>38.860036999999998</v>
      </c>
      <c r="AK3046" t="s">
        <v>1240</v>
      </c>
      <c r="AL3046">
        <v>-87.608949999999993</v>
      </c>
      <c r="AM3046">
        <v>100</v>
      </c>
      <c r="AN3046">
        <v>2300</v>
      </c>
      <c r="AO3046" t="s">
        <v>118</v>
      </c>
      <c r="AP3046">
        <v>10</v>
      </c>
      <c r="AQ3046">
        <v>-113</v>
      </c>
      <c r="AR3046">
        <v>640</v>
      </c>
      <c r="AZ3046">
        <v>4552</v>
      </c>
      <c r="BA3046">
        <v>1</v>
      </c>
      <c r="BB3046" t="str">
        <f t="shared" si="1207"/>
        <v xml:space="preserve">N607SR  </v>
      </c>
      <c r="BC3046">
        <v>1</v>
      </c>
      <c r="BE3046">
        <v>0</v>
      </c>
      <c r="BF3046">
        <v>0</v>
      </c>
      <c r="BG3046">
        <v>0</v>
      </c>
      <c r="BH3046">
        <v>2125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 t="shared" si="1231"/>
        <v>06:20:48.495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119</v>
      </c>
      <c r="CQ3046">
        <v>465</v>
      </c>
      <c r="CR3046">
        <v>0</v>
      </c>
      <c r="CW3046">
        <v>4729032</v>
      </c>
      <c r="CY3046">
        <v>1</v>
      </c>
      <c r="CZ3046">
        <v>0</v>
      </c>
      <c r="DA3046">
        <v>1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 t="shared" si="1228"/>
        <v>08/29/2020 06:20:45.273</v>
      </c>
      <c r="C3047" t="str">
        <f t="shared" si="1205"/>
        <v>FFDFD3C0</v>
      </c>
      <c r="D3047" t="s">
        <v>128</v>
      </c>
      <c r="E3047">
        <v>5</v>
      </c>
      <c r="H3047">
        <v>241</v>
      </c>
      <c r="I3047" t="s">
        <v>129</v>
      </c>
      <c r="J3047" t="s">
        <v>130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1229"/>
        <v>06:20:48.492</v>
      </c>
      <c r="T3047" t="str">
        <f t="shared" si="1230"/>
        <v>06:20:48.092</v>
      </c>
      <c r="U3047" t="str">
        <f t="shared" si="1206"/>
        <v>A7E2E0</v>
      </c>
      <c r="V3047">
        <v>0</v>
      </c>
      <c r="W3047">
        <v>0</v>
      </c>
      <c r="X3047">
        <v>1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0</v>
      </c>
      <c r="AI3047" t="s">
        <v>1489</v>
      </c>
      <c r="AJ3047">
        <v>38.860036999999998</v>
      </c>
      <c r="AK3047" t="s">
        <v>1240</v>
      </c>
      <c r="AL3047">
        <v>-87.608949999999993</v>
      </c>
      <c r="AM3047">
        <v>100</v>
      </c>
      <c r="AN3047">
        <v>2300</v>
      </c>
      <c r="AO3047" t="s">
        <v>118</v>
      </c>
      <c r="AP3047">
        <v>10</v>
      </c>
      <c r="AQ3047">
        <v>-113</v>
      </c>
      <c r="AR3047">
        <v>640</v>
      </c>
      <c r="AZ3047">
        <v>4552</v>
      </c>
      <c r="BA3047">
        <v>1</v>
      </c>
      <c r="BB3047" t="str">
        <f t="shared" si="1207"/>
        <v xml:space="preserve">N607SR  </v>
      </c>
      <c r="BC3047">
        <v>1</v>
      </c>
      <c r="BE3047">
        <v>0</v>
      </c>
      <c r="BF3047">
        <v>0</v>
      </c>
      <c r="BG3047">
        <v>0</v>
      </c>
      <c r="BH3047">
        <v>2125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 t="shared" si="1231"/>
        <v>06:20:48.495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465</v>
      </c>
      <c r="CR3047">
        <v>0</v>
      </c>
      <c r="CW3047">
        <v>4729032</v>
      </c>
      <c r="CY3047">
        <v>1</v>
      </c>
      <c r="CZ3047">
        <v>0</v>
      </c>
      <c r="DA3047">
        <v>1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 t="shared" si="1228"/>
        <v>08/29/2020 06:20:45.273</v>
      </c>
      <c r="C3048" t="str">
        <f t="shared" si="1205"/>
        <v>FFDFD3C0</v>
      </c>
      <c r="D3048" t="s">
        <v>121</v>
      </c>
      <c r="E3048">
        <v>10</v>
      </c>
      <c r="F3048">
        <v>1010</v>
      </c>
      <c r="G3048" t="s">
        <v>114</v>
      </c>
      <c r="J3048" t="s">
        <v>123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229"/>
        <v>06:20:48.492</v>
      </c>
      <c r="T3048" t="str">
        <f t="shared" si="1230"/>
        <v>06:20:48.092</v>
      </c>
      <c r="U3048" t="str">
        <f t="shared" si="1206"/>
        <v>A7E2E0</v>
      </c>
      <c r="V3048">
        <v>0</v>
      </c>
      <c r="W3048">
        <v>0</v>
      </c>
      <c r="X3048">
        <v>1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0</v>
      </c>
      <c r="AI3048" t="s">
        <v>1489</v>
      </c>
      <c r="AJ3048">
        <v>38.860036999999998</v>
      </c>
      <c r="AK3048" t="s">
        <v>1240</v>
      </c>
      <c r="AL3048">
        <v>-87.608949999999993</v>
      </c>
      <c r="AM3048">
        <v>100</v>
      </c>
      <c r="AN3048">
        <v>2300</v>
      </c>
      <c r="AO3048" t="s">
        <v>118</v>
      </c>
      <c r="AP3048">
        <v>10</v>
      </c>
      <c r="AQ3048">
        <v>-113</v>
      </c>
      <c r="AR3048">
        <v>640</v>
      </c>
      <c r="AZ3048">
        <v>4552</v>
      </c>
      <c r="BA3048">
        <v>1</v>
      </c>
      <c r="BB3048" t="str">
        <f t="shared" si="1207"/>
        <v xml:space="preserve">N607SR  </v>
      </c>
      <c r="BC3048">
        <v>1</v>
      </c>
      <c r="BE3048">
        <v>0</v>
      </c>
      <c r="BF3048">
        <v>0</v>
      </c>
      <c r="BG3048">
        <v>0</v>
      </c>
      <c r="BH3048">
        <v>2125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 t="shared" si="1231"/>
        <v>06:20:48.495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119</v>
      </c>
      <c r="CQ3048">
        <v>465</v>
      </c>
      <c r="CR3048">
        <v>0</v>
      </c>
      <c r="CW3048">
        <v>4729032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 t="shared" si="1228"/>
        <v>08/29/2020 06:20:45.273</v>
      </c>
      <c r="C3049" t="str">
        <f t="shared" si="1205"/>
        <v>FFDFD3C0</v>
      </c>
      <c r="D3049" t="s">
        <v>121</v>
      </c>
      <c r="E3049">
        <v>13</v>
      </c>
      <c r="F3049">
        <v>1013</v>
      </c>
      <c r="G3049" t="s">
        <v>122</v>
      </c>
      <c r="J3049" t="s">
        <v>123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229"/>
        <v>06:20:48.492</v>
      </c>
      <c r="T3049" t="str">
        <f t="shared" si="1230"/>
        <v>06:20:48.092</v>
      </c>
      <c r="U3049" t="str">
        <f t="shared" si="1206"/>
        <v>A7E2E0</v>
      </c>
      <c r="V3049">
        <v>0</v>
      </c>
      <c r="W3049">
        <v>0</v>
      </c>
      <c r="X3049">
        <v>1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0</v>
      </c>
      <c r="AI3049" t="s">
        <v>1489</v>
      </c>
      <c r="AJ3049">
        <v>38.860036999999998</v>
      </c>
      <c r="AK3049" t="s">
        <v>1240</v>
      </c>
      <c r="AL3049">
        <v>-87.608949999999993</v>
      </c>
      <c r="AM3049">
        <v>100</v>
      </c>
      <c r="AN3049">
        <v>2300</v>
      </c>
      <c r="AO3049" t="s">
        <v>118</v>
      </c>
      <c r="AP3049">
        <v>10</v>
      </c>
      <c r="AQ3049">
        <v>-113</v>
      </c>
      <c r="AR3049">
        <v>640</v>
      </c>
      <c r="AZ3049">
        <v>4552</v>
      </c>
      <c r="BA3049">
        <v>1</v>
      </c>
      <c r="BB3049" t="str">
        <f t="shared" si="1207"/>
        <v xml:space="preserve">N607SR  </v>
      </c>
      <c r="BC3049">
        <v>1</v>
      </c>
      <c r="BE3049">
        <v>0</v>
      </c>
      <c r="BF3049">
        <v>0</v>
      </c>
      <c r="BG3049">
        <v>0</v>
      </c>
      <c r="BH3049">
        <v>2125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 t="shared" si="1231"/>
        <v>06:20:48.495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119</v>
      </c>
      <c r="CQ3049">
        <v>465</v>
      </c>
      <c r="CR3049">
        <v>0</v>
      </c>
      <c r="CW3049">
        <v>4729032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 t="shared" si="1228"/>
        <v>08/29/2020 06:20:45.273</v>
      </c>
      <c r="C3050" t="str">
        <f t="shared" si="1205"/>
        <v>FFDFD3C0</v>
      </c>
      <c r="D3050" t="s">
        <v>121</v>
      </c>
      <c r="E3050">
        <v>11</v>
      </c>
      <c r="F3050">
        <v>1011</v>
      </c>
      <c r="G3050" t="s">
        <v>125</v>
      </c>
      <c r="J3050" t="s">
        <v>123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229"/>
        <v>06:20:48.492</v>
      </c>
      <c r="T3050" t="str">
        <f t="shared" si="1230"/>
        <v>06:20:48.092</v>
      </c>
      <c r="U3050" t="str">
        <f t="shared" si="1206"/>
        <v>A7E2E0</v>
      </c>
      <c r="V3050">
        <v>0</v>
      </c>
      <c r="W3050">
        <v>0</v>
      </c>
      <c r="X3050">
        <v>1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0</v>
      </c>
      <c r="AI3050" t="s">
        <v>1489</v>
      </c>
      <c r="AJ3050">
        <v>38.860036999999998</v>
      </c>
      <c r="AK3050" t="s">
        <v>1240</v>
      </c>
      <c r="AL3050">
        <v>-87.608949999999993</v>
      </c>
      <c r="AM3050">
        <v>100</v>
      </c>
      <c r="AN3050">
        <v>2300</v>
      </c>
      <c r="AO3050" t="s">
        <v>118</v>
      </c>
      <c r="AP3050">
        <v>10</v>
      </c>
      <c r="AQ3050">
        <v>-113</v>
      </c>
      <c r="AR3050">
        <v>640</v>
      </c>
      <c r="AZ3050">
        <v>4552</v>
      </c>
      <c r="BA3050">
        <v>1</v>
      </c>
      <c r="BB3050" t="str">
        <f t="shared" si="1207"/>
        <v xml:space="preserve">N607SR  </v>
      </c>
      <c r="BC3050">
        <v>1</v>
      </c>
      <c r="BE3050">
        <v>0</v>
      </c>
      <c r="BF3050">
        <v>0</v>
      </c>
      <c r="BG3050">
        <v>0</v>
      </c>
      <c r="BH3050">
        <v>2125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 t="shared" si="1231"/>
        <v>06:20:48.495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5</v>
      </c>
      <c r="CP3050" t="s">
        <v>119</v>
      </c>
      <c r="CQ3050">
        <v>177</v>
      </c>
      <c r="CR3050">
        <v>2</v>
      </c>
      <c r="CW3050">
        <v>1688887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 t="shared" ref="A3051:A3056" si="1232">"08/29/2020 06:20:46.284"</f>
        <v>08/29/2020 06:20:46.284</v>
      </c>
      <c r="C3051" t="str">
        <f t="shared" si="1205"/>
        <v>FFDFD3C0</v>
      </c>
      <c r="D3051" t="s">
        <v>939</v>
      </c>
      <c r="E3051">
        <v>10</v>
      </c>
      <c r="H3051">
        <v>79</v>
      </c>
      <c r="I3051" t="s">
        <v>940</v>
      </c>
      <c r="J3051" t="s">
        <v>130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ref="S3051:S3056" si="1233">"06:20:49.484"</f>
        <v>06:20:49.484</v>
      </c>
      <c r="T3051" t="str">
        <f t="shared" ref="T3051:T3056" si="1234">"06:20:48.984"</f>
        <v>06:20:48.984</v>
      </c>
      <c r="U3051" t="str">
        <f t="shared" si="1206"/>
        <v>A7E2E0</v>
      </c>
      <c r="V3051">
        <v>0</v>
      </c>
      <c r="W3051">
        <v>0</v>
      </c>
      <c r="X3051">
        <v>1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0</v>
      </c>
      <c r="AI3051" t="s">
        <v>1490</v>
      </c>
      <c r="AJ3051">
        <v>38.859521999999998</v>
      </c>
      <c r="AK3051" t="s">
        <v>1491</v>
      </c>
      <c r="AL3051">
        <v>-87.608885999999998</v>
      </c>
      <c r="AM3051">
        <v>100</v>
      </c>
      <c r="AN3051">
        <v>2300</v>
      </c>
      <c r="AO3051" t="s">
        <v>118</v>
      </c>
      <c r="AP3051">
        <v>10</v>
      </c>
      <c r="AQ3051">
        <v>-112</v>
      </c>
      <c r="AR3051">
        <v>576</v>
      </c>
      <c r="AZ3051">
        <v>4552</v>
      </c>
      <c r="BA3051">
        <v>1</v>
      </c>
      <c r="BB3051" t="str">
        <f t="shared" si="1207"/>
        <v xml:space="preserve">N607SR  </v>
      </c>
      <c r="BC3051">
        <v>1</v>
      </c>
      <c r="BE3051">
        <v>0</v>
      </c>
      <c r="BF3051">
        <v>0</v>
      </c>
      <c r="BG3051">
        <v>0</v>
      </c>
      <c r="BH3051">
        <v>2150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 t="shared" ref="BW3051:BW3056" si="1235">"06:20:49.487"</f>
        <v>06:20:49.487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119</v>
      </c>
      <c r="CQ3051">
        <v>465</v>
      </c>
      <c r="CR3051">
        <v>0</v>
      </c>
      <c r="CW3051">
        <v>4729056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 t="shared" si="1232"/>
        <v>08/29/2020 06:20:46.284</v>
      </c>
      <c r="C3052" t="str">
        <f t="shared" si="1205"/>
        <v>FFDFD3C0</v>
      </c>
      <c r="D3052" t="s">
        <v>121</v>
      </c>
      <c r="E3052">
        <v>11</v>
      </c>
      <c r="F3052">
        <v>1011</v>
      </c>
      <c r="G3052" t="s">
        <v>125</v>
      </c>
      <c r="J3052" t="s">
        <v>123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233"/>
        <v>06:20:49.484</v>
      </c>
      <c r="T3052" t="str">
        <f t="shared" si="1234"/>
        <v>06:20:48.984</v>
      </c>
      <c r="U3052" t="str">
        <f t="shared" si="1206"/>
        <v>A7E2E0</v>
      </c>
      <c r="V3052">
        <v>0</v>
      </c>
      <c r="W3052">
        <v>0</v>
      </c>
      <c r="X3052">
        <v>1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0</v>
      </c>
      <c r="AI3052" t="s">
        <v>1490</v>
      </c>
      <c r="AJ3052">
        <v>38.859521999999998</v>
      </c>
      <c r="AK3052" t="s">
        <v>1491</v>
      </c>
      <c r="AL3052">
        <v>-87.608885999999998</v>
      </c>
      <c r="AM3052">
        <v>100</v>
      </c>
      <c r="AN3052">
        <v>2300</v>
      </c>
      <c r="AO3052" t="s">
        <v>118</v>
      </c>
      <c r="AP3052">
        <v>10</v>
      </c>
      <c r="AQ3052">
        <v>-112</v>
      </c>
      <c r="AR3052">
        <v>576</v>
      </c>
      <c r="AZ3052">
        <v>4552</v>
      </c>
      <c r="BA3052">
        <v>1</v>
      </c>
      <c r="BB3052" t="str">
        <f t="shared" si="1207"/>
        <v xml:space="preserve">N607SR  </v>
      </c>
      <c r="BC3052">
        <v>1</v>
      </c>
      <c r="BE3052">
        <v>0</v>
      </c>
      <c r="BF3052">
        <v>0</v>
      </c>
      <c r="BG3052">
        <v>0</v>
      </c>
      <c r="BH3052">
        <v>2150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 t="shared" si="1235"/>
        <v>06:20:49.487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5</v>
      </c>
      <c r="CP3052" t="s">
        <v>119</v>
      </c>
      <c r="CQ3052">
        <v>177</v>
      </c>
      <c r="CR3052">
        <v>2</v>
      </c>
      <c r="CW3052">
        <v>1689058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 t="shared" si="1232"/>
        <v>08/29/2020 06:20:46.284</v>
      </c>
      <c r="C3053" t="str">
        <f t="shared" si="1205"/>
        <v>FFDFD3C0</v>
      </c>
      <c r="D3053" t="s">
        <v>113</v>
      </c>
      <c r="E3053">
        <v>5</v>
      </c>
      <c r="H3053">
        <v>163</v>
      </c>
      <c r="I3053" t="s">
        <v>114</v>
      </c>
      <c r="J3053" t="s">
        <v>115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233"/>
        <v>06:20:49.484</v>
      </c>
      <c r="T3053" t="str">
        <f t="shared" si="1234"/>
        <v>06:20:48.984</v>
      </c>
      <c r="U3053" t="str">
        <f t="shared" si="1206"/>
        <v>A7E2E0</v>
      </c>
      <c r="V3053">
        <v>0</v>
      </c>
      <c r="W3053">
        <v>0</v>
      </c>
      <c r="X3053">
        <v>1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0</v>
      </c>
      <c r="AI3053" t="s">
        <v>1490</v>
      </c>
      <c r="AJ3053">
        <v>38.859521999999998</v>
      </c>
      <c r="AK3053" t="s">
        <v>1491</v>
      </c>
      <c r="AL3053">
        <v>-87.608885999999998</v>
      </c>
      <c r="AM3053">
        <v>100</v>
      </c>
      <c r="AN3053">
        <v>2300</v>
      </c>
      <c r="AO3053" t="s">
        <v>118</v>
      </c>
      <c r="AP3053">
        <v>10</v>
      </c>
      <c r="AQ3053">
        <v>-112</v>
      </c>
      <c r="AR3053">
        <v>576</v>
      </c>
      <c r="AZ3053">
        <v>4552</v>
      </c>
      <c r="BA3053">
        <v>1</v>
      </c>
      <c r="BB3053" t="str">
        <f t="shared" si="1207"/>
        <v xml:space="preserve">N607SR  </v>
      </c>
      <c r="BC3053">
        <v>1</v>
      </c>
      <c r="BE3053">
        <v>0</v>
      </c>
      <c r="BF3053">
        <v>0</v>
      </c>
      <c r="BG3053">
        <v>0</v>
      </c>
      <c r="BH3053">
        <v>2150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 t="shared" si="1235"/>
        <v>06:20:49.487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7</v>
      </c>
      <c r="CP3053" t="s">
        <v>119</v>
      </c>
      <c r="CQ3053">
        <v>465</v>
      </c>
      <c r="CR3053">
        <v>0</v>
      </c>
      <c r="CW3053">
        <v>4729056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 t="shared" si="1232"/>
        <v>08/29/2020 06:20:46.284</v>
      </c>
      <c r="C3054" t="str">
        <f t="shared" si="1205"/>
        <v>FFDFD3C0</v>
      </c>
      <c r="D3054" t="s">
        <v>128</v>
      </c>
      <c r="E3054">
        <v>5</v>
      </c>
      <c r="H3054">
        <v>241</v>
      </c>
      <c r="I3054" t="s">
        <v>129</v>
      </c>
      <c r="J3054" t="s">
        <v>130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233"/>
        <v>06:20:49.484</v>
      </c>
      <c r="T3054" t="str">
        <f t="shared" si="1234"/>
        <v>06:20:48.984</v>
      </c>
      <c r="U3054" t="str">
        <f t="shared" si="1206"/>
        <v>A7E2E0</v>
      </c>
      <c r="V3054">
        <v>0</v>
      </c>
      <c r="W3054">
        <v>0</v>
      </c>
      <c r="X3054">
        <v>1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0</v>
      </c>
      <c r="AI3054" t="s">
        <v>1490</v>
      </c>
      <c r="AJ3054">
        <v>38.859521999999998</v>
      </c>
      <c r="AK3054" t="s">
        <v>1491</v>
      </c>
      <c r="AL3054">
        <v>-87.608885999999998</v>
      </c>
      <c r="AM3054">
        <v>100</v>
      </c>
      <c r="AN3054">
        <v>2300</v>
      </c>
      <c r="AO3054" t="s">
        <v>118</v>
      </c>
      <c r="AP3054">
        <v>10</v>
      </c>
      <c r="AQ3054">
        <v>-112</v>
      </c>
      <c r="AR3054">
        <v>576</v>
      </c>
      <c r="AZ3054">
        <v>4552</v>
      </c>
      <c r="BA3054">
        <v>1</v>
      </c>
      <c r="BB3054" t="str">
        <f t="shared" si="1207"/>
        <v xml:space="preserve">N607SR  </v>
      </c>
      <c r="BC3054">
        <v>1</v>
      </c>
      <c r="BE3054">
        <v>0</v>
      </c>
      <c r="BF3054">
        <v>0</v>
      </c>
      <c r="BG3054">
        <v>0</v>
      </c>
      <c r="BH3054">
        <v>2150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 t="shared" si="1235"/>
        <v>06:20:49.487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119</v>
      </c>
      <c r="CQ3054">
        <v>465</v>
      </c>
      <c r="CR3054">
        <v>0</v>
      </c>
      <c r="CW3054">
        <v>4729056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 t="shared" si="1232"/>
        <v>08/29/2020 06:20:46.284</v>
      </c>
      <c r="C3055" t="str">
        <f t="shared" si="1205"/>
        <v>FFDFD3C0</v>
      </c>
      <c r="D3055" t="s">
        <v>121</v>
      </c>
      <c r="E3055">
        <v>10</v>
      </c>
      <c r="F3055">
        <v>1010</v>
      </c>
      <c r="G3055" t="s">
        <v>114</v>
      </c>
      <c r="J3055" t="s">
        <v>123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si="1233"/>
        <v>06:20:49.484</v>
      </c>
      <c r="T3055" t="str">
        <f t="shared" si="1234"/>
        <v>06:20:48.984</v>
      </c>
      <c r="U3055" t="str">
        <f t="shared" si="1206"/>
        <v>A7E2E0</v>
      </c>
      <c r="V3055">
        <v>0</v>
      </c>
      <c r="W3055">
        <v>0</v>
      </c>
      <c r="X3055">
        <v>1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0</v>
      </c>
      <c r="AI3055" t="s">
        <v>1490</v>
      </c>
      <c r="AJ3055">
        <v>38.859521999999998</v>
      </c>
      <c r="AK3055" t="s">
        <v>1491</v>
      </c>
      <c r="AL3055">
        <v>-87.608885999999998</v>
      </c>
      <c r="AM3055">
        <v>100</v>
      </c>
      <c r="AN3055">
        <v>2300</v>
      </c>
      <c r="AO3055" t="s">
        <v>118</v>
      </c>
      <c r="AP3055">
        <v>10</v>
      </c>
      <c r="AQ3055">
        <v>-112</v>
      </c>
      <c r="AR3055">
        <v>576</v>
      </c>
      <c r="AZ3055">
        <v>4552</v>
      </c>
      <c r="BA3055">
        <v>1</v>
      </c>
      <c r="BB3055" t="str">
        <f t="shared" si="1207"/>
        <v xml:space="preserve">N607SR  </v>
      </c>
      <c r="BC3055">
        <v>1</v>
      </c>
      <c r="BE3055">
        <v>0</v>
      </c>
      <c r="BF3055">
        <v>0</v>
      </c>
      <c r="BG3055">
        <v>0</v>
      </c>
      <c r="BH3055">
        <v>2150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 t="shared" si="1235"/>
        <v>06:20:49.487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465</v>
      </c>
      <c r="CR3055">
        <v>0</v>
      </c>
      <c r="CW3055">
        <v>4729056</v>
      </c>
      <c r="CY3055">
        <v>1</v>
      </c>
      <c r="CZ3055">
        <v>0</v>
      </c>
      <c r="DA3055">
        <v>1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 t="shared" si="1232"/>
        <v>08/29/2020 06:20:46.284</v>
      </c>
      <c r="C3056" t="str">
        <f t="shared" si="1205"/>
        <v>FFDFD3C0</v>
      </c>
      <c r="D3056" t="s">
        <v>121</v>
      </c>
      <c r="E3056">
        <v>13</v>
      </c>
      <c r="F3056">
        <v>1013</v>
      </c>
      <c r="G3056" t="s">
        <v>122</v>
      </c>
      <c r="J3056" t="s">
        <v>123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233"/>
        <v>06:20:49.484</v>
      </c>
      <c r="T3056" t="str">
        <f t="shared" si="1234"/>
        <v>06:20:48.984</v>
      </c>
      <c r="U3056" t="str">
        <f t="shared" si="1206"/>
        <v>A7E2E0</v>
      </c>
      <c r="V3056">
        <v>0</v>
      </c>
      <c r="W3056">
        <v>0</v>
      </c>
      <c r="X3056">
        <v>1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0</v>
      </c>
      <c r="AI3056" t="s">
        <v>1490</v>
      </c>
      <c r="AJ3056">
        <v>38.859521999999998</v>
      </c>
      <c r="AK3056" t="s">
        <v>1491</v>
      </c>
      <c r="AL3056">
        <v>-87.608885999999998</v>
      </c>
      <c r="AM3056">
        <v>100</v>
      </c>
      <c r="AN3056">
        <v>2300</v>
      </c>
      <c r="AO3056" t="s">
        <v>118</v>
      </c>
      <c r="AP3056">
        <v>10</v>
      </c>
      <c r="AQ3056">
        <v>-112</v>
      </c>
      <c r="AR3056">
        <v>576</v>
      </c>
      <c r="AZ3056">
        <v>4552</v>
      </c>
      <c r="BA3056">
        <v>1</v>
      </c>
      <c r="BB3056" t="str">
        <f t="shared" si="1207"/>
        <v xml:space="preserve">N607SR  </v>
      </c>
      <c r="BC3056">
        <v>1</v>
      </c>
      <c r="BE3056">
        <v>0</v>
      </c>
      <c r="BF3056">
        <v>0</v>
      </c>
      <c r="BG3056">
        <v>0</v>
      </c>
      <c r="BH3056">
        <v>2150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 t="shared" si="1235"/>
        <v>06:20:49.487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119</v>
      </c>
      <c r="CQ3056">
        <v>465</v>
      </c>
      <c r="CR3056">
        <v>0</v>
      </c>
      <c r="CW3056">
        <v>4729056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 t="shared" ref="A3057:A3062" si="1236">"08/29/2020 06:20:47.342"</f>
        <v>08/29/2020 06:20:47.342</v>
      </c>
      <c r="C3057" t="str">
        <f t="shared" si="1205"/>
        <v>FFDFD3C0</v>
      </c>
      <c r="D3057" t="s">
        <v>939</v>
      </c>
      <c r="E3057">
        <v>10</v>
      </c>
      <c r="H3057">
        <v>79</v>
      </c>
      <c r="I3057" t="s">
        <v>940</v>
      </c>
      <c r="J3057" t="s">
        <v>130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ref="S3057:S3062" si="1237">"06:20:50.555"</f>
        <v>06:20:50.555</v>
      </c>
      <c r="T3057" t="str">
        <f t="shared" ref="T3057:T3062" si="1238">"06:20:50.055"</f>
        <v>06:20:50.055</v>
      </c>
      <c r="U3057" t="str">
        <f t="shared" si="1206"/>
        <v>A7E2E0</v>
      </c>
      <c r="V3057">
        <v>0</v>
      </c>
      <c r="W3057">
        <v>0</v>
      </c>
      <c r="X3057">
        <v>1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0</v>
      </c>
      <c r="AI3057" t="s">
        <v>1492</v>
      </c>
      <c r="AJ3057">
        <v>38.858964</v>
      </c>
      <c r="AK3057" t="s">
        <v>1493</v>
      </c>
      <c r="AL3057">
        <v>-87.608800000000002</v>
      </c>
      <c r="AM3057">
        <v>100</v>
      </c>
      <c r="AN3057">
        <v>2400</v>
      </c>
      <c r="AO3057" t="s">
        <v>118</v>
      </c>
      <c r="AP3057">
        <v>10</v>
      </c>
      <c r="AQ3057">
        <v>-111</v>
      </c>
      <c r="AR3057">
        <v>448</v>
      </c>
      <c r="AZ3057">
        <v>4552</v>
      </c>
      <c r="BA3057">
        <v>1</v>
      </c>
      <c r="BB3057" t="str">
        <f t="shared" si="1207"/>
        <v xml:space="preserve">N607SR  </v>
      </c>
      <c r="BC3057">
        <v>1</v>
      </c>
      <c r="BE3057">
        <v>0</v>
      </c>
      <c r="BF3057">
        <v>0</v>
      </c>
      <c r="BG3057">
        <v>0</v>
      </c>
      <c r="BH3057">
        <v>2250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 t="shared" ref="BW3057:BW3062" si="1239">"06:20:50.560"</f>
        <v>06:20:50.560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6</v>
      </c>
      <c r="CP3057" t="s">
        <v>119</v>
      </c>
      <c r="CQ3057">
        <v>465</v>
      </c>
      <c r="CR3057">
        <v>0</v>
      </c>
      <c r="CW3057">
        <v>4729089</v>
      </c>
      <c r="CY3057">
        <v>1</v>
      </c>
      <c r="CZ3057">
        <v>0</v>
      </c>
      <c r="DA3057">
        <v>0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 t="shared" si="1236"/>
        <v>08/29/2020 06:20:47.342</v>
      </c>
      <c r="C3058" t="str">
        <f t="shared" si="1205"/>
        <v>FFDFD3C0</v>
      </c>
      <c r="D3058" t="s">
        <v>121</v>
      </c>
      <c r="E3058">
        <v>11</v>
      </c>
      <c r="F3058">
        <v>1011</v>
      </c>
      <c r="G3058" t="s">
        <v>125</v>
      </c>
      <c r="J3058" t="s">
        <v>123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237"/>
        <v>06:20:50.555</v>
      </c>
      <c r="T3058" t="str">
        <f t="shared" si="1238"/>
        <v>06:20:50.055</v>
      </c>
      <c r="U3058" t="str">
        <f t="shared" si="1206"/>
        <v>A7E2E0</v>
      </c>
      <c r="V3058">
        <v>0</v>
      </c>
      <c r="W3058">
        <v>0</v>
      </c>
      <c r="X3058">
        <v>1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0</v>
      </c>
      <c r="AI3058" t="s">
        <v>1492</v>
      </c>
      <c r="AJ3058">
        <v>38.858964</v>
      </c>
      <c r="AK3058" t="s">
        <v>1493</v>
      </c>
      <c r="AL3058">
        <v>-87.608800000000002</v>
      </c>
      <c r="AM3058">
        <v>100</v>
      </c>
      <c r="AN3058">
        <v>2400</v>
      </c>
      <c r="AO3058" t="s">
        <v>118</v>
      </c>
      <c r="AP3058">
        <v>10</v>
      </c>
      <c r="AQ3058">
        <v>-111</v>
      </c>
      <c r="AR3058">
        <v>448</v>
      </c>
      <c r="AZ3058">
        <v>4552</v>
      </c>
      <c r="BA3058">
        <v>1</v>
      </c>
      <c r="BB3058" t="str">
        <f t="shared" si="1207"/>
        <v xml:space="preserve">N607SR  </v>
      </c>
      <c r="BC3058">
        <v>1</v>
      </c>
      <c r="BE3058">
        <v>0</v>
      </c>
      <c r="BF3058">
        <v>0</v>
      </c>
      <c r="BG3058">
        <v>0</v>
      </c>
      <c r="BH3058">
        <v>2150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 t="shared" si="1239"/>
        <v>06:20:50.560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5</v>
      </c>
      <c r="CP3058" t="s">
        <v>119</v>
      </c>
      <c r="CQ3058">
        <v>177</v>
      </c>
      <c r="CR3058">
        <v>2</v>
      </c>
      <c r="CW3058">
        <v>1689242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 t="shared" si="1236"/>
        <v>08/29/2020 06:20:47.342</v>
      </c>
      <c r="C3059" t="str">
        <f t="shared" si="1205"/>
        <v>FFDFD3C0</v>
      </c>
      <c r="D3059" t="s">
        <v>113</v>
      </c>
      <c r="E3059">
        <v>5</v>
      </c>
      <c r="H3059">
        <v>163</v>
      </c>
      <c r="I3059" t="s">
        <v>114</v>
      </c>
      <c r="J3059" t="s">
        <v>115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237"/>
        <v>06:20:50.555</v>
      </c>
      <c r="T3059" t="str">
        <f t="shared" si="1238"/>
        <v>06:20:50.055</v>
      </c>
      <c r="U3059" t="str">
        <f t="shared" si="1206"/>
        <v>A7E2E0</v>
      </c>
      <c r="V3059">
        <v>0</v>
      </c>
      <c r="W3059">
        <v>0</v>
      </c>
      <c r="X3059">
        <v>1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0</v>
      </c>
      <c r="AI3059" t="s">
        <v>1492</v>
      </c>
      <c r="AJ3059">
        <v>38.858964</v>
      </c>
      <c r="AK3059" t="s">
        <v>1493</v>
      </c>
      <c r="AL3059">
        <v>-87.608800000000002</v>
      </c>
      <c r="AM3059">
        <v>100</v>
      </c>
      <c r="AN3059">
        <v>2400</v>
      </c>
      <c r="AO3059" t="s">
        <v>118</v>
      </c>
      <c r="AP3059">
        <v>10</v>
      </c>
      <c r="AQ3059">
        <v>-111</v>
      </c>
      <c r="AR3059">
        <v>448</v>
      </c>
      <c r="AZ3059">
        <v>4552</v>
      </c>
      <c r="BA3059">
        <v>1</v>
      </c>
      <c r="BB3059" t="str">
        <f t="shared" si="1207"/>
        <v xml:space="preserve">N607SR  </v>
      </c>
      <c r="BC3059">
        <v>1</v>
      </c>
      <c r="BE3059">
        <v>0</v>
      </c>
      <c r="BF3059">
        <v>0</v>
      </c>
      <c r="BG3059">
        <v>0</v>
      </c>
      <c r="BH3059">
        <v>2250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 t="shared" si="1239"/>
        <v>06:20:50.560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6</v>
      </c>
      <c r="CP3059" t="s">
        <v>119</v>
      </c>
      <c r="CQ3059">
        <v>465</v>
      </c>
      <c r="CR3059">
        <v>0</v>
      </c>
      <c r="CW3059">
        <v>4729089</v>
      </c>
      <c r="CY3059">
        <v>1</v>
      </c>
      <c r="CZ3059">
        <v>0</v>
      </c>
      <c r="DA3059">
        <v>1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 t="shared" si="1236"/>
        <v>08/29/2020 06:20:47.342</v>
      </c>
      <c r="C3060" t="str">
        <f t="shared" si="1205"/>
        <v>FFDFD3C0</v>
      </c>
      <c r="D3060" t="s">
        <v>121</v>
      </c>
      <c r="E3060">
        <v>10</v>
      </c>
      <c r="F3060">
        <v>1010</v>
      </c>
      <c r="G3060" t="s">
        <v>114</v>
      </c>
      <c r="J3060" t="s">
        <v>123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237"/>
        <v>06:20:50.555</v>
      </c>
      <c r="T3060" t="str">
        <f t="shared" si="1238"/>
        <v>06:20:50.055</v>
      </c>
      <c r="U3060" t="str">
        <f t="shared" si="1206"/>
        <v>A7E2E0</v>
      </c>
      <c r="V3060">
        <v>0</v>
      </c>
      <c r="W3060">
        <v>0</v>
      </c>
      <c r="X3060">
        <v>1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0</v>
      </c>
      <c r="AI3060" t="s">
        <v>1492</v>
      </c>
      <c r="AJ3060">
        <v>38.858964</v>
      </c>
      <c r="AK3060" t="s">
        <v>1493</v>
      </c>
      <c r="AL3060">
        <v>-87.608800000000002</v>
      </c>
      <c r="AM3060">
        <v>100</v>
      </c>
      <c r="AN3060">
        <v>2400</v>
      </c>
      <c r="AO3060" t="s">
        <v>118</v>
      </c>
      <c r="AP3060">
        <v>10</v>
      </c>
      <c r="AQ3060">
        <v>-111</v>
      </c>
      <c r="AR3060">
        <v>448</v>
      </c>
      <c r="AZ3060">
        <v>4552</v>
      </c>
      <c r="BA3060">
        <v>1</v>
      </c>
      <c r="BB3060" t="str">
        <f t="shared" si="1207"/>
        <v xml:space="preserve">N607SR  </v>
      </c>
      <c r="BC3060">
        <v>1</v>
      </c>
      <c r="BE3060">
        <v>0</v>
      </c>
      <c r="BF3060">
        <v>0</v>
      </c>
      <c r="BG3060">
        <v>0</v>
      </c>
      <c r="BH3060">
        <v>2250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 t="shared" si="1239"/>
        <v>06:20:50.560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6</v>
      </c>
      <c r="CP3060" t="s">
        <v>119</v>
      </c>
      <c r="CQ3060">
        <v>465</v>
      </c>
      <c r="CR3060">
        <v>0</v>
      </c>
      <c r="CW3060">
        <v>4729089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 t="shared" si="1236"/>
        <v>08/29/2020 06:20:47.342</v>
      </c>
      <c r="C3061" t="str">
        <f t="shared" si="1205"/>
        <v>FFDFD3C0</v>
      </c>
      <c r="D3061" t="s">
        <v>128</v>
      </c>
      <c r="E3061">
        <v>5</v>
      </c>
      <c r="H3061">
        <v>241</v>
      </c>
      <c r="I3061" t="s">
        <v>129</v>
      </c>
      <c r="J3061" t="s">
        <v>130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237"/>
        <v>06:20:50.555</v>
      </c>
      <c r="T3061" t="str">
        <f t="shared" si="1238"/>
        <v>06:20:50.055</v>
      </c>
      <c r="U3061" t="str">
        <f t="shared" si="1206"/>
        <v>A7E2E0</v>
      </c>
      <c r="V3061">
        <v>0</v>
      </c>
      <c r="W3061">
        <v>0</v>
      </c>
      <c r="X3061">
        <v>1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0</v>
      </c>
      <c r="AI3061" t="s">
        <v>1492</v>
      </c>
      <c r="AJ3061">
        <v>38.858964</v>
      </c>
      <c r="AK3061" t="s">
        <v>1493</v>
      </c>
      <c r="AL3061">
        <v>-87.608800000000002</v>
      </c>
      <c r="AM3061">
        <v>100</v>
      </c>
      <c r="AN3061">
        <v>2400</v>
      </c>
      <c r="AO3061" t="s">
        <v>118</v>
      </c>
      <c r="AP3061">
        <v>10</v>
      </c>
      <c r="AQ3061">
        <v>-111</v>
      </c>
      <c r="AR3061">
        <v>448</v>
      </c>
      <c r="AZ3061">
        <v>4552</v>
      </c>
      <c r="BA3061">
        <v>1</v>
      </c>
      <c r="BB3061" t="str">
        <f t="shared" si="1207"/>
        <v xml:space="preserve">N607SR  </v>
      </c>
      <c r="BC3061">
        <v>1</v>
      </c>
      <c r="BE3061">
        <v>0</v>
      </c>
      <c r="BF3061">
        <v>0</v>
      </c>
      <c r="BG3061">
        <v>0</v>
      </c>
      <c r="BH3061">
        <v>2250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 t="shared" si="1239"/>
        <v>06:20:50.560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6</v>
      </c>
      <c r="CP3061" t="s">
        <v>119</v>
      </c>
      <c r="CQ3061">
        <v>465</v>
      </c>
      <c r="CR3061">
        <v>0</v>
      </c>
      <c r="CW3061">
        <v>4729089</v>
      </c>
      <c r="CY3061">
        <v>1</v>
      </c>
      <c r="CZ3061">
        <v>0</v>
      </c>
      <c r="DA3061">
        <v>1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 t="shared" si="1236"/>
        <v>08/29/2020 06:20:47.342</v>
      </c>
      <c r="C3062" t="str">
        <f t="shared" si="1205"/>
        <v>FFDFD3C0</v>
      </c>
      <c r="D3062" t="s">
        <v>121</v>
      </c>
      <c r="E3062">
        <v>13</v>
      </c>
      <c r="F3062">
        <v>1013</v>
      </c>
      <c r="G3062" t="s">
        <v>122</v>
      </c>
      <c r="J3062" t="s">
        <v>123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237"/>
        <v>06:20:50.555</v>
      </c>
      <c r="T3062" t="str">
        <f t="shared" si="1238"/>
        <v>06:20:50.055</v>
      </c>
      <c r="U3062" t="str">
        <f t="shared" si="1206"/>
        <v>A7E2E0</v>
      </c>
      <c r="V3062">
        <v>0</v>
      </c>
      <c r="W3062">
        <v>0</v>
      </c>
      <c r="X3062">
        <v>1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0</v>
      </c>
      <c r="AI3062" t="s">
        <v>1492</v>
      </c>
      <c r="AJ3062">
        <v>38.858964</v>
      </c>
      <c r="AK3062" t="s">
        <v>1493</v>
      </c>
      <c r="AL3062">
        <v>-87.608800000000002</v>
      </c>
      <c r="AM3062">
        <v>100</v>
      </c>
      <c r="AN3062">
        <v>2400</v>
      </c>
      <c r="AO3062" t="s">
        <v>118</v>
      </c>
      <c r="AP3062">
        <v>10</v>
      </c>
      <c r="AQ3062">
        <v>-111</v>
      </c>
      <c r="AR3062">
        <v>448</v>
      </c>
      <c r="AZ3062">
        <v>4552</v>
      </c>
      <c r="BA3062">
        <v>1</v>
      </c>
      <c r="BB3062" t="str">
        <f t="shared" si="1207"/>
        <v xml:space="preserve">N607SR  </v>
      </c>
      <c r="BC3062">
        <v>1</v>
      </c>
      <c r="BE3062">
        <v>0</v>
      </c>
      <c r="BF3062">
        <v>0</v>
      </c>
      <c r="BG3062">
        <v>0</v>
      </c>
      <c r="BH3062">
        <v>2250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 t="shared" si="1239"/>
        <v>06:20:50.560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6</v>
      </c>
      <c r="CP3062" t="s">
        <v>119</v>
      </c>
      <c r="CQ3062">
        <v>465</v>
      </c>
      <c r="CR3062">
        <v>0</v>
      </c>
      <c r="CW3062">
        <v>4729089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 t="shared" ref="A3063:A3068" si="1240">"08/29/2020 06:20:48.283"</f>
        <v>08/29/2020 06:20:48.283</v>
      </c>
      <c r="C3063" t="str">
        <f t="shared" si="1205"/>
        <v>FFDFD3C0</v>
      </c>
      <c r="D3063" t="s">
        <v>121</v>
      </c>
      <c r="E3063">
        <v>13</v>
      </c>
      <c r="F3063">
        <v>1013</v>
      </c>
      <c r="G3063" t="s">
        <v>122</v>
      </c>
      <c r="J3063" t="s">
        <v>123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ref="S3063:S3068" si="1241">"06:20:51.500"</f>
        <v>06:20:51.500</v>
      </c>
      <c r="T3063" t="str">
        <f t="shared" ref="T3063:T3068" si="1242">"06:20:51.000"</f>
        <v>06:20:51.000</v>
      </c>
      <c r="U3063" t="str">
        <f t="shared" si="1206"/>
        <v>A7E2E0</v>
      </c>
      <c r="V3063">
        <v>0</v>
      </c>
      <c r="W3063">
        <v>0</v>
      </c>
      <c r="X3063">
        <v>1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0</v>
      </c>
      <c r="AI3063" t="s">
        <v>1494</v>
      </c>
      <c r="AJ3063">
        <v>38.858491999999998</v>
      </c>
      <c r="AK3063" t="s">
        <v>1495</v>
      </c>
      <c r="AL3063">
        <v>-87.608756999999997</v>
      </c>
      <c r="AM3063">
        <v>100</v>
      </c>
      <c r="AN3063">
        <v>2400</v>
      </c>
      <c r="AO3063" t="s">
        <v>118</v>
      </c>
      <c r="AP3063">
        <v>10</v>
      </c>
      <c r="AQ3063">
        <v>-110</v>
      </c>
      <c r="AR3063">
        <v>384</v>
      </c>
      <c r="AZ3063">
        <v>4552</v>
      </c>
      <c r="BA3063">
        <v>1</v>
      </c>
      <c r="BB3063" t="str">
        <f t="shared" si="1207"/>
        <v xml:space="preserve">N607SR  </v>
      </c>
      <c r="BC3063">
        <v>1</v>
      </c>
      <c r="BE3063">
        <v>0</v>
      </c>
      <c r="BF3063">
        <v>0</v>
      </c>
      <c r="BG3063">
        <v>0</v>
      </c>
      <c r="BH3063">
        <v>2150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 t="shared" ref="BW3063:BW3068" si="1243">"06:20:51.507"</f>
        <v>06:20:51.507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119</v>
      </c>
      <c r="CQ3063">
        <v>465</v>
      </c>
      <c r="CR3063">
        <v>0</v>
      </c>
      <c r="CW3063">
        <v>4729114</v>
      </c>
      <c r="CY3063">
        <v>1</v>
      </c>
      <c r="CZ3063">
        <v>0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 t="shared" si="1240"/>
        <v>08/29/2020 06:20:48.283</v>
      </c>
      <c r="C3064" t="str">
        <f t="shared" si="1205"/>
        <v>FFDFD3C0</v>
      </c>
      <c r="D3064" t="s">
        <v>939</v>
      </c>
      <c r="E3064">
        <v>10</v>
      </c>
      <c r="H3064">
        <v>79</v>
      </c>
      <c r="I3064" t="s">
        <v>940</v>
      </c>
      <c r="J3064" t="s">
        <v>130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241"/>
        <v>06:20:51.500</v>
      </c>
      <c r="T3064" t="str">
        <f t="shared" si="1242"/>
        <v>06:20:51.000</v>
      </c>
      <c r="U3064" t="str">
        <f t="shared" si="1206"/>
        <v>A7E2E0</v>
      </c>
      <c r="V3064">
        <v>0</v>
      </c>
      <c r="W3064">
        <v>0</v>
      </c>
      <c r="X3064">
        <v>1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0</v>
      </c>
      <c r="AI3064" t="s">
        <v>1494</v>
      </c>
      <c r="AJ3064">
        <v>38.858491999999998</v>
      </c>
      <c r="AK3064" t="s">
        <v>1495</v>
      </c>
      <c r="AL3064">
        <v>-87.608756999999997</v>
      </c>
      <c r="AM3064">
        <v>100</v>
      </c>
      <c r="AN3064">
        <v>2400</v>
      </c>
      <c r="AO3064" t="s">
        <v>118</v>
      </c>
      <c r="AP3064">
        <v>10</v>
      </c>
      <c r="AQ3064">
        <v>-110</v>
      </c>
      <c r="AR3064">
        <v>384</v>
      </c>
      <c r="AZ3064">
        <v>4552</v>
      </c>
      <c r="BA3064">
        <v>1</v>
      </c>
      <c r="BB3064" t="str">
        <f t="shared" si="1207"/>
        <v xml:space="preserve">N607SR  </v>
      </c>
      <c r="BC3064">
        <v>1</v>
      </c>
      <c r="BE3064">
        <v>0</v>
      </c>
      <c r="BF3064">
        <v>0</v>
      </c>
      <c r="BG3064">
        <v>0</v>
      </c>
      <c r="BH3064">
        <v>2150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 t="shared" si="1243"/>
        <v>06:20:51.507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119</v>
      </c>
      <c r="CQ3064">
        <v>465</v>
      </c>
      <c r="CR3064">
        <v>0</v>
      </c>
      <c r="CW3064">
        <v>4729114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 t="shared" si="1240"/>
        <v>08/29/2020 06:20:48.283</v>
      </c>
      <c r="C3065" t="str">
        <f t="shared" si="1205"/>
        <v>FFDFD3C0</v>
      </c>
      <c r="D3065" t="s">
        <v>121</v>
      </c>
      <c r="E3065">
        <v>11</v>
      </c>
      <c r="F3065">
        <v>1011</v>
      </c>
      <c r="G3065" t="s">
        <v>125</v>
      </c>
      <c r="J3065" t="s">
        <v>123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241"/>
        <v>06:20:51.500</v>
      </c>
      <c r="T3065" t="str">
        <f t="shared" si="1242"/>
        <v>06:20:51.000</v>
      </c>
      <c r="U3065" t="str">
        <f t="shared" si="1206"/>
        <v>A7E2E0</v>
      </c>
      <c r="V3065">
        <v>0</v>
      </c>
      <c r="W3065">
        <v>0</v>
      </c>
      <c r="X3065">
        <v>1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0</v>
      </c>
      <c r="AI3065" t="s">
        <v>1494</v>
      </c>
      <c r="AJ3065">
        <v>38.858491999999998</v>
      </c>
      <c r="AK3065" t="s">
        <v>1495</v>
      </c>
      <c r="AL3065">
        <v>-87.608756999999997</v>
      </c>
      <c r="AM3065">
        <v>100</v>
      </c>
      <c r="AN3065">
        <v>2400</v>
      </c>
      <c r="AO3065" t="s">
        <v>118</v>
      </c>
      <c r="AP3065">
        <v>10</v>
      </c>
      <c r="AQ3065">
        <v>-110</v>
      </c>
      <c r="AR3065">
        <v>384</v>
      </c>
      <c r="AZ3065">
        <v>4552</v>
      </c>
      <c r="BA3065">
        <v>1</v>
      </c>
      <c r="BB3065" t="str">
        <f t="shared" si="1207"/>
        <v xml:space="preserve">N607SR  </v>
      </c>
      <c r="BC3065">
        <v>1</v>
      </c>
      <c r="BE3065">
        <v>0</v>
      </c>
      <c r="BF3065">
        <v>0</v>
      </c>
      <c r="BG3065">
        <v>0</v>
      </c>
      <c r="BH3065">
        <v>2150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 t="shared" si="1243"/>
        <v>06:20:51.507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5</v>
      </c>
      <c r="CP3065" t="s">
        <v>119</v>
      </c>
      <c r="CQ3065">
        <v>177</v>
      </c>
      <c r="CR3065">
        <v>2</v>
      </c>
      <c r="CW3065">
        <v>1689381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 t="shared" si="1240"/>
        <v>08/29/2020 06:20:48.283</v>
      </c>
      <c r="C3066" t="str">
        <f t="shared" si="1205"/>
        <v>FFDFD3C0</v>
      </c>
      <c r="D3066" t="s">
        <v>113</v>
      </c>
      <c r="E3066">
        <v>5</v>
      </c>
      <c r="H3066">
        <v>163</v>
      </c>
      <c r="I3066" t="s">
        <v>114</v>
      </c>
      <c r="J3066" t="s">
        <v>115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241"/>
        <v>06:20:51.500</v>
      </c>
      <c r="T3066" t="str">
        <f t="shared" si="1242"/>
        <v>06:20:51.000</v>
      </c>
      <c r="U3066" t="str">
        <f t="shared" si="1206"/>
        <v>A7E2E0</v>
      </c>
      <c r="V3066">
        <v>0</v>
      </c>
      <c r="W3066">
        <v>0</v>
      </c>
      <c r="X3066">
        <v>1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0</v>
      </c>
      <c r="AI3066" t="s">
        <v>1494</v>
      </c>
      <c r="AJ3066">
        <v>38.858491999999998</v>
      </c>
      <c r="AK3066" t="s">
        <v>1495</v>
      </c>
      <c r="AL3066">
        <v>-87.608756999999997</v>
      </c>
      <c r="AM3066">
        <v>100</v>
      </c>
      <c r="AN3066">
        <v>2400</v>
      </c>
      <c r="AO3066" t="s">
        <v>118</v>
      </c>
      <c r="AP3066">
        <v>10</v>
      </c>
      <c r="AQ3066">
        <v>-110</v>
      </c>
      <c r="AR3066">
        <v>384</v>
      </c>
      <c r="AZ3066">
        <v>4552</v>
      </c>
      <c r="BA3066">
        <v>1</v>
      </c>
      <c r="BB3066" t="str">
        <f t="shared" si="1207"/>
        <v xml:space="preserve">N607SR  </v>
      </c>
      <c r="BC3066">
        <v>1</v>
      </c>
      <c r="BE3066">
        <v>0</v>
      </c>
      <c r="BF3066">
        <v>0</v>
      </c>
      <c r="BG3066">
        <v>0</v>
      </c>
      <c r="BH3066">
        <v>2150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 t="shared" si="1243"/>
        <v>06:20:51.507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119</v>
      </c>
      <c r="CQ3066">
        <v>465</v>
      </c>
      <c r="CR3066">
        <v>0</v>
      </c>
      <c r="CW3066">
        <v>4729114</v>
      </c>
      <c r="CY3066">
        <v>1</v>
      </c>
      <c r="CZ3066">
        <v>0</v>
      </c>
      <c r="DA3066">
        <v>1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 t="shared" si="1240"/>
        <v>08/29/2020 06:20:48.283</v>
      </c>
      <c r="C3067" t="str">
        <f t="shared" si="1205"/>
        <v>FFDFD3C0</v>
      </c>
      <c r="D3067" t="s">
        <v>121</v>
      </c>
      <c r="E3067">
        <v>10</v>
      </c>
      <c r="F3067">
        <v>1010</v>
      </c>
      <c r="G3067" t="s">
        <v>114</v>
      </c>
      <c r="J3067" t="s">
        <v>123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si="1241"/>
        <v>06:20:51.500</v>
      </c>
      <c r="T3067" t="str">
        <f t="shared" si="1242"/>
        <v>06:20:51.000</v>
      </c>
      <c r="U3067" t="str">
        <f t="shared" si="1206"/>
        <v>A7E2E0</v>
      </c>
      <c r="V3067">
        <v>0</v>
      </c>
      <c r="W3067">
        <v>0</v>
      </c>
      <c r="X3067">
        <v>1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0</v>
      </c>
      <c r="AI3067" t="s">
        <v>1494</v>
      </c>
      <c r="AJ3067">
        <v>38.858491999999998</v>
      </c>
      <c r="AK3067" t="s">
        <v>1495</v>
      </c>
      <c r="AL3067">
        <v>-87.608756999999997</v>
      </c>
      <c r="AM3067">
        <v>100</v>
      </c>
      <c r="AN3067">
        <v>2400</v>
      </c>
      <c r="AO3067" t="s">
        <v>118</v>
      </c>
      <c r="AP3067">
        <v>10</v>
      </c>
      <c r="AQ3067">
        <v>-110</v>
      </c>
      <c r="AR3067">
        <v>384</v>
      </c>
      <c r="AZ3067">
        <v>4552</v>
      </c>
      <c r="BA3067">
        <v>1</v>
      </c>
      <c r="BB3067" t="str">
        <f t="shared" si="1207"/>
        <v xml:space="preserve">N607SR  </v>
      </c>
      <c r="BC3067">
        <v>1</v>
      </c>
      <c r="BE3067">
        <v>0</v>
      </c>
      <c r="BF3067">
        <v>0</v>
      </c>
      <c r="BG3067">
        <v>0</v>
      </c>
      <c r="BH3067">
        <v>2150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 t="shared" si="1243"/>
        <v>06:20:51.507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7</v>
      </c>
      <c r="CP3067" t="s">
        <v>119</v>
      </c>
      <c r="CQ3067">
        <v>465</v>
      </c>
      <c r="CR3067">
        <v>0</v>
      </c>
      <c r="CW3067">
        <v>4729114</v>
      </c>
      <c r="CY3067">
        <v>1</v>
      </c>
      <c r="CZ3067">
        <v>0</v>
      </c>
      <c r="DA3067">
        <v>1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 t="shared" si="1240"/>
        <v>08/29/2020 06:20:48.283</v>
      </c>
      <c r="C3068" t="str">
        <f t="shared" si="1205"/>
        <v>FFDFD3C0</v>
      </c>
      <c r="D3068" t="s">
        <v>128</v>
      </c>
      <c r="E3068">
        <v>5</v>
      </c>
      <c r="H3068">
        <v>241</v>
      </c>
      <c r="I3068" t="s">
        <v>129</v>
      </c>
      <c r="J3068" t="s">
        <v>130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241"/>
        <v>06:20:51.500</v>
      </c>
      <c r="T3068" t="str">
        <f t="shared" si="1242"/>
        <v>06:20:51.000</v>
      </c>
      <c r="U3068" t="str">
        <f t="shared" si="1206"/>
        <v>A7E2E0</v>
      </c>
      <c r="V3068">
        <v>0</v>
      </c>
      <c r="W3068">
        <v>0</v>
      </c>
      <c r="X3068">
        <v>1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0</v>
      </c>
      <c r="AI3068" t="s">
        <v>1494</v>
      </c>
      <c r="AJ3068">
        <v>38.858491999999998</v>
      </c>
      <c r="AK3068" t="s">
        <v>1495</v>
      </c>
      <c r="AL3068">
        <v>-87.608756999999997</v>
      </c>
      <c r="AM3068">
        <v>100</v>
      </c>
      <c r="AN3068">
        <v>2400</v>
      </c>
      <c r="AO3068" t="s">
        <v>118</v>
      </c>
      <c r="AP3068">
        <v>10</v>
      </c>
      <c r="AQ3068">
        <v>-110</v>
      </c>
      <c r="AR3068">
        <v>384</v>
      </c>
      <c r="AZ3068">
        <v>4552</v>
      </c>
      <c r="BA3068">
        <v>1</v>
      </c>
      <c r="BB3068" t="str">
        <f t="shared" si="1207"/>
        <v xml:space="preserve">N607SR  </v>
      </c>
      <c r="BC3068">
        <v>1</v>
      </c>
      <c r="BE3068">
        <v>0</v>
      </c>
      <c r="BF3068">
        <v>0</v>
      </c>
      <c r="BG3068">
        <v>0</v>
      </c>
      <c r="BH3068">
        <v>2150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 t="shared" si="1243"/>
        <v>06:20:51.507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119</v>
      </c>
      <c r="CQ3068">
        <v>465</v>
      </c>
      <c r="CR3068">
        <v>0</v>
      </c>
      <c r="CW3068">
        <v>4729114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 t="shared" ref="A3069:A3074" si="1244">"08/29/2020 06:20:49.284"</f>
        <v>08/29/2020 06:20:49.284</v>
      </c>
      <c r="C3069" t="str">
        <f t="shared" si="1205"/>
        <v>FFDFD3C0</v>
      </c>
      <c r="D3069" t="s">
        <v>113</v>
      </c>
      <c r="E3069">
        <v>5</v>
      </c>
      <c r="H3069">
        <v>163</v>
      </c>
      <c r="I3069" t="s">
        <v>114</v>
      </c>
      <c r="J3069" t="s">
        <v>115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ref="S3069:S3074" si="1245">"06:20:52.500"</f>
        <v>06:20:52.500</v>
      </c>
      <c r="T3069" t="str">
        <f t="shared" ref="T3069:T3074" si="1246">"06:20:52.000"</f>
        <v>06:20:52.000</v>
      </c>
      <c r="U3069" t="str">
        <f t="shared" si="1206"/>
        <v>A7E2E0</v>
      </c>
      <c r="V3069">
        <v>0</v>
      </c>
      <c r="W3069">
        <v>0</v>
      </c>
      <c r="X3069">
        <v>1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0</v>
      </c>
      <c r="AI3069" t="s">
        <v>1496</v>
      </c>
      <c r="AJ3069">
        <v>38.857999</v>
      </c>
      <c r="AK3069" t="s">
        <v>1497</v>
      </c>
      <c r="AL3069">
        <v>-87.608714000000006</v>
      </c>
      <c r="AM3069">
        <v>100</v>
      </c>
      <c r="AN3069">
        <v>2400</v>
      </c>
      <c r="AO3069" t="s">
        <v>118</v>
      </c>
      <c r="AP3069">
        <v>10</v>
      </c>
      <c r="AQ3069">
        <v>-109</v>
      </c>
      <c r="AR3069">
        <v>320</v>
      </c>
      <c r="AZ3069">
        <v>4552</v>
      </c>
      <c r="BA3069">
        <v>1</v>
      </c>
      <c r="BB3069" t="str">
        <f t="shared" si="1207"/>
        <v xml:space="preserve">N607SR  </v>
      </c>
      <c r="BC3069">
        <v>1</v>
      </c>
      <c r="BE3069">
        <v>0</v>
      </c>
      <c r="BF3069">
        <v>0</v>
      </c>
      <c r="BG3069">
        <v>0</v>
      </c>
      <c r="BH3069">
        <v>2175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 t="shared" ref="BW3069:BW3074" si="1247">"06:20:52.505"</f>
        <v>06:20:52.505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6</v>
      </c>
      <c r="CP3069" t="s">
        <v>119</v>
      </c>
      <c r="CQ3069">
        <v>465</v>
      </c>
      <c r="CR3069">
        <v>0</v>
      </c>
      <c r="CW3069">
        <v>4729146</v>
      </c>
      <c r="CY3069">
        <v>1</v>
      </c>
      <c r="CZ3069">
        <v>0</v>
      </c>
      <c r="DA3069">
        <v>0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 t="shared" si="1244"/>
        <v>08/29/2020 06:20:49.284</v>
      </c>
      <c r="C3070" t="str">
        <f t="shared" si="1205"/>
        <v>FFDFD3C0</v>
      </c>
      <c r="D3070" t="s">
        <v>121</v>
      </c>
      <c r="E3070">
        <v>10</v>
      </c>
      <c r="F3070">
        <v>1010</v>
      </c>
      <c r="G3070" t="s">
        <v>114</v>
      </c>
      <c r="J3070" t="s">
        <v>123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245"/>
        <v>06:20:52.500</v>
      </c>
      <c r="T3070" t="str">
        <f t="shared" si="1246"/>
        <v>06:20:52.000</v>
      </c>
      <c r="U3070" t="str">
        <f t="shared" si="1206"/>
        <v>A7E2E0</v>
      </c>
      <c r="V3070">
        <v>0</v>
      </c>
      <c r="W3070">
        <v>0</v>
      </c>
      <c r="X3070">
        <v>1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0</v>
      </c>
      <c r="AI3070" t="s">
        <v>1496</v>
      </c>
      <c r="AJ3070">
        <v>38.857999</v>
      </c>
      <c r="AK3070" t="s">
        <v>1497</v>
      </c>
      <c r="AL3070">
        <v>-87.608714000000006</v>
      </c>
      <c r="AM3070">
        <v>100</v>
      </c>
      <c r="AN3070">
        <v>2400</v>
      </c>
      <c r="AO3070" t="s">
        <v>118</v>
      </c>
      <c r="AP3070">
        <v>10</v>
      </c>
      <c r="AQ3070">
        <v>-109</v>
      </c>
      <c r="AR3070">
        <v>320</v>
      </c>
      <c r="AZ3070">
        <v>4552</v>
      </c>
      <c r="BA3070">
        <v>1</v>
      </c>
      <c r="BB3070" t="str">
        <f t="shared" si="1207"/>
        <v xml:space="preserve">N607SR  </v>
      </c>
      <c r="BC3070">
        <v>1</v>
      </c>
      <c r="BE3070">
        <v>0</v>
      </c>
      <c r="BF3070">
        <v>0</v>
      </c>
      <c r="BG3070">
        <v>0</v>
      </c>
      <c r="BH3070">
        <v>2175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 t="shared" si="1247"/>
        <v>06:20:52.505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6</v>
      </c>
      <c r="CP3070" t="s">
        <v>119</v>
      </c>
      <c r="CQ3070">
        <v>465</v>
      </c>
      <c r="CR3070">
        <v>0</v>
      </c>
      <c r="CW3070">
        <v>4729146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 t="shared" si="1244"/>
        <v>08/29/2020 06:20:49.284</v>
      </c>
      <c r="C3071" t="str">
        <f t="shared" si="1205"/>
        <v>FFDFD3C0</v>
      </c>
      <c r="D3071" t="s">
        <v>128</v>
      </c>
      <c r="E3071">
        <v>5</v>
      </c>
      <c r="H3071">
        <v>241</v>
      </c>
      <c r="I3071" t="s">
        <v>129</v>
      </c>
      <c r="J3071" t="s">
        <v>130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245"/>
        <v>06:20:52.500</v>
      </c>
      <c r="T3071" t="str">
        <f t="shared" si="1246"/>
        <v>06:20:52.000</v>
      </c>
      <c r="U3071" t="str">
        <f t="shared" si="1206"/>
        <v>A7E2E0</v>
      </c>
      <c r="V3071">
        <v>0</v>
      </c>
      <c r="W3071">
        <v>0</v>
      </c>
      <c r="X3071">
        <v>1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0</v>
      </c>
      <c r="AI3071" t="s">
        <v>1496</v>
      </c>
      <c r="AJ3071">
        <v>38.857999</v>
      </c>
      <c r="AK3071" t="s">
        <v>1497</v>
      </c>
      <c r="AL3071">
        <v>-87.608714000000006</v>
      </c>
      <c r="AM3071">
        <v>100</v>
      </c>
      <c r="AN3071">
        <v>2400</v>
      </c>
      <c r="AO3071" t="s">
        <v>118</v>
      </c>
      <c r="AP3071">
        <v>10</v>
      </c>
      <c r="AQ3071">
        <v>-109</v>
      </c>
      <c r="AR3071">
        <v>320</v>
      </c>
      <c r="AZ3071">
        <v>4552</v>
      </c>
      <c r="BA3071">
        <v>1</v>
      </c>
      <c r="BB3071" t="str">
        <f t="shared" si="1207"/>
        <v xml:space="preserve">N607SR  </v>
      </c>
      <c r="BC3071">
        <v>1</v>
      </c>
      <c r="BE3071">
        <v>0</v>
      </c>
      <c r="BF3071">
        <v>0</v>
      </c>
      <c r="BG3071">
        <v>0</v>
      </c>
      <c r="BH3071">
        <v>2175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 t="shared" si="1247"/>
        <v>06:20:52.505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6</v>
      </c>
      <c r="CP3071" t="s">
        <v>119</v>
      </c>
      <c r="CQ3071">
        <v>465</v>
      </c>
      <c r="CR3071">
        <v>0</v>
      </c>
      <c r="CW3071">
        <v>4729146</v>
      </c>
      <c r="CY3071">
        <v>1</v>
      </c>
      <c r="CZ3071">
        <v>0</v>
      </c>
      <c r="DA3071">
        <v>1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 t="shared" si="1244"/>
        <v>08/29/2020 06:20:49.284</v>
      </c>
      <c r="C3072" t="str">
        <f t="shared" si="1205"/>
        <v>FFDFD3C0</v>
      </c>
      <c r="D3072" t="s">
        <v>121</v>
      </c>
      <c r="E3072">
        <v>13</v>
      </c>
      <c r="F3072">
        <v>1013</v>
      </c>
      <c r="G3072" t="s">
        <v>122</v>
      </c>
      <c r="J3072" t="s">
        <v>123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245"/>
        <v>06:20:52.500</v>
      </c>
      <c r="T3072" t="str">
        <f t="shared" si="1246"/>
        <v>06:20:52.000</v>
      </c>
      <c r="U3072" t="str">
        <f t="shared" si="1206"/>
        <v>A7E2E0</v>
      </c>
      <c r="V3072">
        <v>0</v>
      </c>
      <c r="W3072">
        <v>0</v>
      </c>
      <c r="X3072">
        <v>1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0</v>
      </c>
      <c r="AI3072" t="s">
        <v>1496</v>
      </c>
      <c r="AJ3072">
        <v>38.857999</v>
      </c>
      <c r="AK3072" t="s">
        <v>1497</v>
      </c>
      <c r="AL3072">
        <v>-87.608714000000006</v>
      </c>
      <c r="AM3072">
        <v>100</v>
      </c>
      <c r="AN3072">
        <v>2400</v>
      </c>
      <c r="AO3072" t="s">
        <v>118</v>
      </c>
      <c r="AP3072">
        <v>10</v>
      </c>
      <c r="AQ3072">
        <v>-109</v>
      </c>
      <c r="AR3072">
        <v>320</v>
      </c>
      <c r="AZ3072">
        <v>4552</v>
      </c>
      <c r="BA3072">
        <v>1</v>
      </c>
      <c r="BB3072" t="str">
        <f t="shared" si="1207"/>
        <v xml:space="preserve">N607SR  </v>
      </c>
      <c r="BC3072">
        <v>1</v>
      </c>
      <c r="BE3072">
        <v>0</v>
      </c>
      <c r="BF3072">
        <v>0</v>
      </c>
      <c r="BG3072">
        <v>0</v>
      </c>
      <c r="BH3072">
        <v>2175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 t="shared" si="1247"/>
        <v>06:20:52.505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6</v>
      </c>
      <c r="CP3072" t="s">
        <v>119</v>
      </c>
      <c r="CQ3072">
        <v>465</v>
      </c>
      <c r="CR3072">
        <v>0</v>
      </c>
      <c r="CW3072">
        <v>4729146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 t="shared" si="1244"/>
        <v>08/29/2020 06:20:49.284</v>
      </c>
      <c r="C3073" t="str">
        <f t="shared" si="1205"/>
        <v>FFDFD3C0</v>
      </c>
      <c r="D3073" t="s">
        <v>939</v>
      </c>
      <c r="E3073">
        <v>10</v>
      </c>
      <c r="H3073">
        <v>79</v>
      </c>
      <c r="I3073" t="s">
        <v>940</v>
      </c>
      <c r="J3073" t="s">
        <v>130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245"/>
        <v>06:20:52.500</v>
      </c>
      <c r="T3073" t="str">
        <f t="shared" si="1246"/>
        <v>06:20:52.000</v>
      </c>
      <c r="U3073" t="str">
        <f t="shared" si="1206"/>
        <v>A7E2E0</v>
      </c>
      <c r="V3073">
        <v>0</v>
      </c>
      <c r="W3073">
        <v>0</v>
      </c>
      <c r="X3073">
        <v>1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0</v>
      </c>
      <c r="AI3073" t="s">
        <v>1496</v>
      </c>
      <c r="AJ3073">
        <v>38.857999</v>
      </c>
      <c r="AK3073" t="s">
        <v>1497</v>
      </c>
      <c r="AL3073">
        <v>-87.608714000000006</v>
      </c>
      <c r="AM3073">
        <v>100</v>
      </c>
      <c r="AN3073">
        <v>2400</v>
      </c>
      <c r="AO3073" t="s">
        <v>118</v>
      </c>
      <c r="AP3073">
        <v>10</v>
      </c>
      <c r="AQ3073">
        <v>-109</v>
      </c>
      <c r="AR3073">
        <v>320</v>
      </c>
      <c r="AZ3073">
        <v>4552</v>
      </c>
      <c r="BA3073">
        <v>1</v>
      </c>
      <c r="BB3073" t="str">
        <f t="shared" si="1207"/>
        <v xml:space="preserve">N607SR  </v>
      </c>
      <c r="BC3073">
        <v>1</v>
      </c>
      <c r="BE3073">
        <v>0</v>
      </c>
      <c r="BF3073">
        <v>0</v>
      </c>
      <c r="BG3073">
        <v>0</v>
      </c>
      <c r="BH3073">
        <v>2175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 t="shared" si="1247"/>
        <v>06:20:52.505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6</v>
      </c>
      <c r="CP3073" t="s">
        <v>119</v>
      </c>
      <c r="CQ3073">
        <v>465</v>
      </c>
      <c r="CR3073">
        <v>0</v>
      </c>
      <c r="CW3073">
        <v>4729146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 t="shared" si="1244"/>
        <v>08/29/2020 06:20:49.284</v>
      </c>
      <c r="C3074" t="str">
        <f t="shared" ref="C3074:C3137" si="1248">"FFDFD3C0"</f>
        <v>FFDFD3C0</v>
      </c>
      <c r="D3074" t="s">
        <v>121</v>
      </c>
      <c r="E3074">
        <v>11</v>
      </c>
      <c r="F3074">
        <v>1011</v>
      </c>
      <c r="G3074" t="s">
        <v>125</v>
      </c>
      <c r="J3074" t="s">
        <v>123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245"/>
        <v>06:20:52.500</v>
      </c>
      <c r="T3074" t="str">
        <f t="shared" si="1246"/>
        <v>06:20:52.000</v>
      </c>
      <c r="U3074" t="str">
        <f t="shared" ref="U3074:U3137" si="1249">"A7E2E0"</f>
        <v>A7E2E0</v>
      </c>
      <c r="V3074">
        <v>0</v>
      </c>
      <c r="W3074">
        <v>0</v>
      </c>
      <c r="X3074">
        <v>1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0</v>
      </c>
      <c r="AI3074" t="s">
        <v>1496</v>
      </c>
      <c r="AJ3074">
        <v>38.857999</v>
      </c>
      <c r="AK3074" t="s">
        <v>1497</v>
      </c>
      <c r="AL3074">
        <v>-87.608714000000006</v>
      </c>
      <c r="AM3074">
        <v>100</v>
      </c>
      <c r="AN3074">
        <v>2400</v>
      </c>
      <c r="AO3074" t="s">
        <v>118</v>
      </c>
      <c r="AP3074">
        <v>10</v>
      </c>
      <c r="AQ3074">
        <v>-109</v>
      </c>
      <c r="AR3074">
        <v>320</v>
      </c>
      <c r="AZ3074">
        <v>4552</v>
      </c>
      <c r="BA3074">
        <v>1</v>
      </c>
      <c r="BB3074" t="str">
        <f t="shared" ref="BB3074:BB3137" si="1250">"N607SR  "</f>
        <v xml:space="preserve">N607SR  </v>
      </c>
      <c r="BC3074">
        <v>1</v>
      </c>
      <c r="BE3074">
        <v>0</v>
      </c>
      <c r="BF3074">
        <v>0</v>
      </c>
      <c r="BG3074">
        <v>0</v>
      </c>
      <c r="BH3074">
        <v>2175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 t="shared" si="1247"/>
        <v>06:20:52.505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5</v>
      </c>
      <c r="CP3074" t="s">
        <v>119</v>
      </c>
      <c r="CQ3074">
        <v>177</v>
      </c>
      <c r="CR3074">
        <v>2</v>
      </c>
      <c r="CW3074">
        <v>1689541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 t="shared" ref="A3075:A3080" si="1251">"08/29/2020 06:20:50.144"</f>
        <v>08/29/2020 06:20:50.144</v>
      </c>
      <c r="C3075" t="str">
        <f t="shared" si="1248"/>
        <v>FFDFD3C0</v>
      </c>
      <c r="D3075" t="s">
        <v>121</v>
      </c>
      <c r="E3075">
        <v>10</v>
      </c>
      <c r="F3075">
        <v>1010</v>
      </c>
      <c r="G3075" t="s">
        <v>114</v>
      </c>
      <c r="J3075" t="s">
        <v>123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ref="S3075:S3080" si="1252">"06:20:53.344"</f>
        <v>06:20:53.344</v>
      </c>
      <c r="T3075" t="str">
        <f t="shared" ref="T3075:T3080" si="1253">"06:20:52.944"</f>
        <v>06:20:52.944</v>
      </c>
      <c r="U3075" t="str">
        <f t="shared" si="1249"/>
        <v>A7E2E0</v>
      </c>
      <c r="V3075">
        <v>0</v>
      </c>
      <c r="W3075">
        <v>0</v>
      </c>
      <c r="X3075">
        <v>1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0</v>
      </c>
      <c r="AI3075" t="s">
        <v>1498</v>
      </c>
      <c r="AJ3075">
        <v>38.857548000000001</v>
      </c>
      <c r="AK3075" t="s">
        <v>1499</v>
      </c>
      <c r="AL3075">
        <v>-87.608627999999996</v>
      </c>
      <c r="AM3075">
        <v>100</v>
      </c>
      <c r="AN3075">
        <v>2400</v>
      </c>
      <c r="AO3075" t="s">
        <v>118</v>
      </c>
      <c r="AP3075">
        <v>11</v>
      </c>
      <c r="AQ3075">
        <v>-108</v>
      </c>
      <c r="AR3075">
        <v>256</v>
      </c>
      <c r="AZ3075">
        <v>4552</v>
      </c>
      <c r="BA3075">
        <v>1</v>
      </c>
      <c r="BB3075" t="str">
        <f t="shared" si="1250"/>
        <v xml:space="preserve">N607SR  </v>
      </c>
      <c r="BC3075">
        <v>1</v>
      </c>
      <c r="BE3075">
        <v>0</v>
      </c>
      <c r="BF3075">
        <v>0</v>
      </c>
      <c r="BG3075">
        <v>0</v>
      </c>
      <c r="BH3075">
        <v>2175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 t="shared" ref="BW3075:BW3080" si="1254">"06:20:53.345"</f>
        <v>06:20:53.345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465</v>
      </c>
      <c r="CR3075">
        <v>0</v>
      </c>
      <c r="CW3075">
        <v>4729168</v>
      </c>
      <c r="CY3075">
        <v>1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 t="shared" si="1251"/>
        <v>08/29/2020 06:20:50.144</v>
      </c>
      <c r="C3076" t="str">
        <f t="shared" si="1248"/>
        <v>FFDFD3C0</v>
      </c>
      <c r="D3076" t="s">
        <v>121</v>
      </c>
      <c r="E3076">
        <v>11</v>
      </c>
      <c r="F3076">
        <v>1011</v>
      </c>
      <c r="G3076" t="s">
        <v>125</v>
      </c>
      <c r="J3076" t="s">
        <v>123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252"/>
        <v>06:20:53.344</v>
      </c>
      <c r="T3076" t="str">
        <f t="shared" si="1253"/>
        <v>06:20:52.944</v>
      </c>
      <c r="U3076" t="str">
        <f t="shared" si="1249"/>
        <v>A7E2E0</v>
      </c>
      <c r="V3076">
        <v>0</v>
      </c>
      <c r="W3076">
        <v>0</v>
      </c>
      <c r="X3076">
        <v>1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0</v>
      </c>
      <c r="AI3076" t="s">
        <v>1498</v>
      </c>
      <c r="AJ3076">
        <v>38.857548000000001</v>
      </c>
      <c r="AK3076" t="s">
        <v>1499</v>
      </c>
      <c r="AL3076">
        <v>-87.608627999999996</v>
      </c>
      <c r="AM3076">
        <v>100</v>
      </c>
      <c r="AN3076">
        <v>2400</v>
      </c>
      <c r="AO3076" t="s">
        <v>118</v>
      </c>
      <c r="AP3076">
        <v>11</v>
      </c>
      <c r="AQ3076">
        <v>-108</v>
      </c>
      <c r="AR3076">
        <v>256</v>
      </c>
      <c r="AZ3076">
        <v>4552</v>
      </c>
      <c r="BA3076">
        <v>1</v>
      </c>
      <c r="BB3076" t="str">
        <f t="shared" si="1250"/>
        <v xml:space="preserve">N607SR  </v>
      </c>
      <c r="BC3076">
        <v>1</v>
      </c>
      <c r="BE3076">
        <v>0</v>
      </c>
      <c r="BF3076">
        <v>0</v>
      </c>
      <c r="BG3076">
        <v>0</v>
      </c>
      <c r="BH3076">
        <v>2175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 t="shared" si="1254"/>
        <v>06:20:53.345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5</v>
      </c>
      <c r="CP3076" t="s">
        <v>119</v>
      </c>
      <c r="CQ3076">
        <v>177</v>
      </c>
      <c r="CR3076">
        <v>2</v>
      </c>
      <c r="CW3076">
        <v>1689700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 t="shared" si="1251"/>
        <v>08/29/2020 06:20:50.144</v>
      </c>
      <c r="C3077" t="str">
        <f t="shared" si="1248"/>
        <v>FFDFD3C0</v>
      </c>
      <c r="D3077" t="s">
        <v>113</v>
      </c>
      <c r="E3077">
        <v>5</v>
      </c>
      <c r="H3077">
        <v>163</v>
      </c>
      <c r="I3077" t="s">
        <v>114</v>
      </c>
      <c r="J3077" t="s">
        <v>115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252"/>
        <v>06:20:53.344</v>
      </c>
      <c r="T3077" t="str">
        <f t="shared" si="1253"/>
        <v>06:20:52.944</v>
      </c>
      <c r="U3077" t="str">
        <f t="shared" si="1249"/>
        <v>A7E2E0</v>
      </c>
      <c r="V3077">
        <v>0</v>
      </c>
      <c r="W3077">
        <v>0</v>
      </c>
      <c r="X3077">
        <v>1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0</v>
      </c>
      <c r="AI3077" t="s">
        <v>1498</v>
      </c>
      <c r="AJ3077">
        <v>38.857548000000001</v>
      </c>
      <c r="AK3077" t="s">
        <v>1499</v>
      </c>
      <c r="AL3077">
        <v>-87.608627999999996</v>
      </c>
      <c r="AM3077">
        <v>100</v>
      </c>
      <c r="AN3077">
        <v>2400</v>
      </c>
      <c r="AO3077" t="s">
        <v>118</v>
      </c>
      <c r="AP3077">
        <v>11</v>
      </c>
      <c r="AQ3077">
        <v>-108</v>
      </c>
      <c r="AR3077">
        <v>256</v>
      </c>
      <c r="AZ3077">
        <v>4552</v>
      </c>
      <c r="BA3077">
        <v>1</v>
      </c>
      <c r="BB3077" t="str">
        <f t="shared" si="1250"/>
        <v xml:space="preserve">N607SR  </v>
      </c>
      <c r="BC3077">
        <v>1</v>
      </c>
      <c r="BE3077">
        <v>0</v>
      </c>
      <c r="BF3077">
        <v>0</v>
      </c>
      <c r="BG3077">
        <v>0</v>
      </c>
      <c r="BH3077">
        <v>2175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 t="shared" si="1254"/>
        <v>06:20:53.345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465</v>
      </c>
      <c r="CR3077">
        <v>0</v>
      </c>
      <c r="CW3077">
        <v>4729168</v>
      </c>
      <c r="CY3077">
        <v>1</v>
      </c>
      <c r="CZ3077">
        <v>0</v>
      </c>
      <c r="DA3077">
        <v>1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 t="shared" si="1251"/>
        <v>08/29/2020 06:20:50.144</v>
      </c>
      <c r="C3078" t="str">
        <f t="shared" si="1248"/>
        <v>FFDFD3C0</v>
      </c>
      <c r="D3078" t="s">
        <v>128</v>
      </c>
      <c r="E3078">
        <v>5</v>
      </c>
      <c r="H3078">
        <v>241</v>
      </c>
      <c r="I3078" t="s">
        <v>129</v>
      </c>
      <c r="J3078" t="s">
        <v>130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252"/>
        <v>06:20:53.344</v>
      </c>
      <c r="T3078" t="str">
        <f t="shared" si="1253"/>
        <v>06:20:52.944</v>
      </c>
      <c r="U3078" t="str">
        <f t="shared" si="1249"/>
        <v>A7E2E0</v>
      </c>
      <c r="V3078">
        <v>0</v>
      </c>
      <c r="W3078">
        <v>0</v>
      </c>
      <c r="X3078">
        <v>1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0</v>
      </c>
      <c r="AI3078" t="s">
        <v>1498</v>
      </c>
      <c r="AJ3078">
        <v>38.857548000000001</v>
      </c>
      <c r="AK3078" t="s">
        <v>1499</v>
      </c>
      <c r="AL3078">
        <v>-87.608627999999996</v>
      </c>
      <c r="AM3078">
        <v>100</v>
      </c>
      <c r="AN3078">
        <v>2400</v>
      </c>
      <c r="AO3078" t="s">
        <v>118</v>
      </c>
      <c r="AP3078">
        <v>11</v>
      </c>
      <c r="AQ3078">
        <v>-108</v>
      </c>
      <c r="AR3078">
        <v>256</v>
      </c>
      <c r="AZ3078">
        <v>4552</v>
      </c>
      <c r="BA3078">
        <v>1</v>
      </c>
      <c r="BB3078" t="str">
        <f t="shared" si="1250"/>
        <v xml:space="preserve">N607SR  </v>
      </c>
      <c r="BC3078">
        <v>1</v>
      </c>
      <c r="BE3078">
        <v>0</v>
      </c>
      <c r="BF3078">
        <v>0</v>
      </c>
      <c r="BG3078">
        <v>0</v>
      </c>
      <c r="BH3078">
        <v>2175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 t="shared" si="1254"/>
        <v>06:20:53.345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465</v>
      </c>
      <c r="CR3078">
        <v>0</v>
      </c>
      <c r="CW3078">
        <v>4729168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 t="shared" si="1251"/>
        <v>08/29/2020 06:20:50.144</v>
      </c>
      <c r="C3079" t="str">
        <f t="shared" si="1248"/>
        <v>FFDFD3C0</v>
      </c>
      <c r="D3079" t="s">
        <v>121</v>
      </c>
      <c r="E3079">
        <v>13</v>
      </c>
      <c r="F3079">
        <v>1013</v>
      </c>
      <c r="G3079" t="s">
        <v>122</v>
      </c>
      <c r="J3079" t="s">
        <v>123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252"/>
        <v>06:20:53.344</v>
      </c>
      <c r="T3079" t="str">
        <f t="shared" si="1253"/>
        <v>06:20:52.944</v>
      </c>
      <c r="U3079" t="str">
        <f t="shared" si="1249"/>
        <v>A7E2E0</v>
      </c>
      <c r="V3079">
        <v>0</v>
      </c>
      <c r="W3079">
        <v>0</v>
      </c>
      <c r="X3079">
        <v>1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0</v>
      </c>
      <c r="AI3079" t="s">
        <v>1498</v>
      </c>
      <c r="AJ3079">
        <v>38.857548000000001</v>
      </c>
      <c r="AK3079" t="s">
        <v>1499</v>
      </c>
      <c r="AL3079">
        <v>-87.608627999999996</v>
      </c>
      <c r="AM3079">
        <v>100</v>
      </c>
      <c r="AN3079">
        <v>2400</v>
      </c>
      <c r="AO3079" t="s">
        <v>118</v>
      </c>
      <c r="AP3079">
        <v>11</v>
      </c>
      <c r="AQ3079">
        <v>-108</v>
      </c>
      <c r="AR3079">
        <v>256</v>
      </c>
      <c r="AZ3079">
        <v>4552</v>
      </c>
      <c r="BA3079">
        <v>1</v>
      </c>
      <c r="BB3079" t="str">
        <f t="shared" si="1250"/>
        <v xml:space="preserve">N607SR  </v>
      </c>
      <c r="BC3079">
        <v>1</v>
      </c>
      <c r="BE3079">
        <v>0</v>
      </c>
      <c r="BF3079">
        <v>0</v>
      </c>
      <c r="BG3079">
        <v>0</v>
      </c>
      <c r="BH3079">
        <v>2175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 t="shared" si="1254"/>
        <v>06:20:53.345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465</v>
      </c>
      <c r="CR3079">
        <v>0</v>
      </c>
      <c r="CW3079">
        <v>4729168</v>
      </c>
      <c r="CY3079">
        <v>1</v>
      </c>
      <c r="CZ3079">
        <v>0</v>
      </c>
      <c r="DA3079">
        <v>1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 t="shared" si="1251"/>
        <v>08/29/2020 06:20:50.144</v>
      </c>
      <c r="C3080" t="str">
        <f t="shared" si="1248"/>
        <v>FFDFD3C0</v>
      </c>
      <c r="D3080" t="s">
        <v>939</v>
      </c>
      <c r="E3080">
        <v>10</v>
      </c>
      <c r="H3080">
        <v>79</v>
      </c>
      <c r="I3080" t="s">
        <v>940</v>
      </c>
      <c r="J3080" t="s">
        <v>130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252"/>
        <v>06:20:53.344</v>
      </c>
      <c r="T3080" t="str">
        <f t="shared" si="1253"/>
        <v>06:20:52.944</v>
      </c>
      <c r="U3080" t="str">
        <f t="shared" si="1249"/>
        <v>A7E2E0</v>
      </c>
      <c r="V3080">
        <v>0</v>
      </c>
      <c r="W3080">
        <v>0</v>
      </c>
      <c r="X3080">
        <v>1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0</v>
      </c>
      <c r="AI3080" t="s">
        <v>1498</v>
      </c>
      <c r="AJ3080">
        <v>38.857548000000001</v>
      </c>
      <c r="AK3080" t="s">
        <v>1499</v>
      </c>
      <c r="AL3080">
        <v>-87.608627999999996</v>
      </c>
      <c r="AM3080">
        <v>100</v>
      </c>
      <c r="AN3080">
        <v>2400</v>
      </c>
      <c r="AO3080" t="s">
        <v>118</v>
      </c>
      <c r="AP3080">
        <v>11</v>
      </c>
      <c r="AQ3080">
        <v>-108</v>
      </c>
      <c r="AR3080">
        <v>256</v>
      </c>
      <c r="AZ3080">
        <v>4552</v>
      </c>
      <c r="BA3080">
        <v>1</v>
      </c>
      <c r="BB3080" t="str">
        <f t="shared" si="1250"/>
        <v xml:space="preserve">N607SR  </v>
      </c>
      <c r="BC3080">
        <v>1</v>
      </c>
      <c r="BE3080">
        <v>0</v>
      </c>
      <c r="BF3080">
        <v>0</v>
      </c>
      <c r="BG3080">
        <v>0</v>
      </c>
      <c r="BH3080">
        <v>2175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 t="shared" si="1254"/>
        <v>06:20:53.345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465</v>
      </c>
      <c r="CR3080">
        <v>0</v>
      </c>
      <c r="CW3080">
        <v>4729168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 t="shared" ref="A3081:A3086" si="1255">"08/29/2020 06:20:50.965"</f>
        <v>08/29/2020 06:20:50.965</v>
      </c>
      <c r="C3081" t="str">
        <f t="shared" si="1248"/>
        <v>FFDFD3C0</v>
      </c>
      <c r="D3081" t="s">
        <v>128</v>
      </c>
      <c r="E3081">
        <v>5</v>
      </c>
      <c r="H3081">
        <v>241</v>
      </c>
      <c r="I3081" t="s">
        <v>129</v>
      </c>
      <c r="J3081" t="s">
        <v>130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ref="S3081:S3086" si="1256">"06:20:54.195"</f>
        <v>06:20:54.195</v>
      </c>
      <c r="T3081" t="str">
        <f t="shared" ref="T3081:T3086" si="1257">"06:20:53.795"</f>
        <v>06:20:53.795</v>
      </c>
      <c r="U3081" t="str">
        <f t="shared" si="1249"/>
        <v>A7E2E0</v>
      </c>
      <c r="V3081">
        <v>0</v>
      </c>
      <c r="W3081">
        <v>0</v>
      </c>
      <c r="X3081">
        <v>1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0</v>
      </c>
      <c r="AI3081" t="s">
        <v>1500</v>
      </c>
      <c r="AJ3081">
        <v>38.857182999999999</v>
      </c>
      <c r="AK3081" t="s">
        <v>1501</v>
      </c>
      <c r="AL3081">
        <v>-87.608564000000001</v>
      </c>
      <c r="AM3081">
        <v>100</v>
      </c>
      <c r="AN3081">
        <v>2400</v>
      </c>
      <c r="AO3081" t="s">
        <v>118</v>
      </c>
      <c r="AP3081">
        <v>11</v>
      </c>
      <c r="AQ3081">
        <v>-107</v>
      </c>
      <c r="AR3081">
        <v>256</v>
      </c>
      <c r="AZ3081">
        <v>4552</v>
      </c>
      <c r="BA3081">
        <v>1</v>
      </c>
      <c r="BB3081" t="str">
        <f t="shared" si="1250"/>
        <v xml:space="preserve">N607SR  </v>
      </c>
      <c r="BC3081">
        <v>1</v>
      </c>
      <c r="BE3081">
        <v>0</v>
      </c>
      <c r="BF3081">
        <v>0</v>
      </c>
      <c r="BG3081">
        <v>0</v>
      </c>
      <c r="BH3081">
        <v>2175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 t="shared" ref="BW3081:BW3086" si="1258">"06:20:54.202"</f>
        <v>06:20:54.202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6</v>
      </c>
      <c r="CP3081" t="s">
        <v>119</v>
      </c>
      <c r="CQ3081">
        <v>465</v>
      </c>
      <c r="CR3081">
        <v>0</v>
      </c>
      <c r="CW3081">
        <v>4729193</v>
      </c>
      <c r="CY3081">
        <v>1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 t="shared" si="1255"/>
        <v>08/29/2020 06:20:50.965</v>
      </c>
      <c r="C3082" t="str">
        <f t="shared" si="1248"/>
        <v>FFDFD3C0</v>
      </c>
      <c r="D3082" t="s">
        <v>939</v>
      </c>
      <c r="E3082">
        <v>10</v>
      </c>
      <c r="H3082">
        <v>79</v>
      </c>
      <c r="I3082" t="s">
        <v>940</v>
      </c>
      <c r="J3082" t="s">
        <v>130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256"/>
        <v>06:20:54.195</v>
      </c>
      <c r="T3082" t="str">
        <f t="shared" si="1257"/>
        <v>06:20:53.795</v>
      </c>
      <c r="U3082" t="str">
        <f t="shared" si="1249"/>
        <v>A7E2E0</v>
      </c>
      <c r="V3082">
        <v>0</v>
      </c>
      <c r="W3082">
        <v>0</v>
      </c>
      <c r="X3082">
        <v>1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0</v>
      </c>
      <c r="AI3082" t="s">
        <v>1500</v>
      </c>
      <c r="AJ3082">
        <v>38.857182999999999</v>
      </c>
      <c r="AK3082" t="s">
        <v>1501</v>
      </c>
      <c r="AL3082">
        <v>-87.608564000000001</v>
      </c>
      <c r="AM3082">
        <v>100</v>
      </c>
      <c r="AN3082">
        <v>2400</v>
      </c>
      <c r="AO3082" t="s">
        <v>118</v>
      </c>
      <c r="AP3082">
        <v>11</v>
      </c>
      <c r="AQ3082">
        <v>-107</v>
      </c>
      <c r="AR3082">
        <v>256</v>
      </c>
      <c r="AZ3082">
        <v>4552</v>
      </c>
      <c r="BA3082">
        <v>1</v>
      </c>
      <c r="BB3082" t="str">
        <f t="shared" si="1250"/>
        <v xml:space="preserve">N607SR  </v>
      </c>
      <c r="BC3082">
        <v>1</v>
      </c>
      <c r="BE3082">
        <v>0</v>
      </c>
      <c r="BF3082">
        <v>0</v>
      </c>
      <c r="BG3082">
        <v>0</v>
      </c>
      <c r="BH3082">
        <v>2175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 t="shared" si="1258"/>
        <v>06:20:54.202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6</v>
      </c>
      <c r="CP3082" t="s">
        <v>119</v>
      </c>
      <c r="CQ3082">
        <v>465</v>
      </c>
      <c r="CR3082">
        <v>0</v>
      </c>
      <c r="CW3082">
        <v>4729193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 t="shared" si="1255"/>
        <v>08/29/2020 06:20:50.965</v>
      </c>
      <c r="C3083" t="str">
        <f t="shared" si="1248"/>
        <v>FFDFD3C0</v>
      </c>
      <c r="D3083" t="s">
        <v>121</v>
      </c>
      <c r="E3083">
        <v>13</v>
      </c>
      <c r="F3083">
        <v>1013</v>
      </c>
      <c r="G3083" t="s">
        <v>122</v>
      </c>
      <c r="J3083" t="s">
        <v>123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256"/>
        <v>06:20:54.195</v>
      </c>
      <c r="T3083" t="str">
        <f t="shared" si="1257"/>
        <v>06:20:53.795</v>
      </c>
      <c r="U3083" t="str">
        <f t="shared" si="1249"/>
        <v>A7E2E0</v>
      </c>
      <c r="V3083">
        <v>0</v>
      </c>
      <c r="W3083">
        <v>0</v>
      </c>
      <c r="X3083">
        <v>1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0</v>
      </c>
      <c r="AI3083" t="s">
        <v>1500</v>
      </c>
      <c r="AJ3083">
        <v>38.857182999999999</v>
      </c>
      <c r="AK3083" t="s">
        <v>1501</v>
      </c>
      <c r="AL3083">
        <v>-87.608564000000001</v>
      </c>
      <c r="AM3083">
        <v>100</v>
      </c>
      <c r="AN3083">
        <v>2400</v>
      </c>
      <c r="AO3083" t="s">
        <v>118</v>
      </c>
      <c r="AP3083">
        <v>11</v>
      </c>
      <c r="AQ3083">
        <v>-107</v>
      </c>
      <c r="AR3083">
        <v>256</v>
      </c>
      <c r="AZ3083">
        <v>4552</v>
      </c>
      <c r="BA3083">
        <v>1</v>
      </c>
      <c r="BB3083" t="str">
        <f t="shared" si="1250"/>
        <v xml:space="preserve">N607SR  </v>
      </c>
      <c r="BC3083">
        <v>1</v>
      </c>
      <c r="BE3083">
        <v>0</v>
      </c>
      <c r="BF3083">
        <v>0</v>
      </c>
      <c r="BG3083">
        <v>0</v>
      </c>
      <c r="BH3083">
        <v>2175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 t="shared" si="1258"/>
        <v>06:20:54.202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6</v>
      </c>
      <c r="CP3083" t="s">
        <v>119</v>
      </c>
      <c r="CQ3083">
        <v>465</v>
      </c>
      <c r="CR3083">
        <v>0</v>
      </c>
      <c r="CW3083">
        <v>4729193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 t="shared" si="1255"/>
        <v>08/29/2020 06:20:50.965</v>
      </c>
      <c r="C3084" t="str">
        <f t="shared" si="1248"/>
        <v>FFDFD3C0</v>
      </c>
      <c r="D3084" t="s">
        <v>121</v>
      </c>
      <c r="E3084">
        <v>11</v>
      </c>
      <c r="F3084">
        <v>1011</v>
      </c>
      <c r="G3084" t="s">
        <v>125</v>
      </c>
      <c r="J3084" t="s">
        <v>123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256"/>
        <v>06:20:54.195</v>
      </c>
      <c r="T3084" t="str">
        <f t="shared" si="1257"/>
        <v>06:20:53.795</v>
      </c>
      <c r="U3084" t="str">
        <f t="shared" si="1249"/>
        <v>A7E2E0</v>
      </c>
      <c r="V3084">
        <v>0</v>
      </c>
      <c r="W3084">
        <v>0</v>
      </c>
      <c r="X3084">
        <v>1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0</v>
      </c>
      <c r="AI3084" t="s">
        <v>1500</v>
      </c>
      <c r="AJ3084">
        <v>38.857182999999999</v>
      </c>
      <c r="AK3084" t="s">
        <v>1501</v>
      </c>
      <c r="AL3084">
        <v>-87.608564000000001</v>
      </c>
      <c r="AM3084">
        <v>100</v>
      </c>
      <c r="AN3084">
        <v>2400</v>
      </c>
      <c r="AO3084" t="s">
        <v>118</v>
      </c>
      <c r="AP3084">
        <v>11</v>
      </c>
      <c r="AQ3084">
        <v>-107</v>
      </c>
      <c r="AR3084">
        <v>256</v>
      </c>
      <c r="AZ3084">
        <v>4552</v>
      </c>
      <c r="BA3084">
        <v>1</v>
      </c>
      <c r="BB3084" t="str">
        <f t="shared" si="1250"/>
        <v xml:space="preserve">N607SR  </v>
      </c>
      <c r="BC3084">
        <v>1</v>
      </c>
      <c r="BE3084">
        <v>0</v>
      </c>
      <c r="BF3084">
        <v>0</v>
      </c>
      <c r="BG3084">
        <v>0</v>
      </c>
      <c r="BH3084">
        <v>2175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 t="shared" si="1258"/>
        <v>06:20:54.202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4</v>
      </c>
      <c r="CP3084" t="s">
        <v>119</v>
      </c>
      <c r="CQ3084">
        <v>177</v>
      </c>
      <c r="CR3084">
        <v>2</v>
      </c>
      <c r="CW3084">
        <v>1689852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 t="shared" si="1255"/>
        <v>08/29/2020 06:20:50.965</v>
      </c>
      <c r="C3085" t="str">
        <f t="shared" si="1248"/>
        <v>FFDFD3C0</v>
      </c>
      <c r="D3085" t="s">
        <v>121</v>
      </c>
      <c r="E3085">
        <v>10</v>
      </c>
      <c r="F3085">
        <v>1010</v>
      </c>
      <c r="G3085" t="s">
        <v>114</v>
      </c>
      <c r="J3085" t="s">
        <v>123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256"/>
        <v>06:20:54.195</v>
      </c>
      <c r="T3085" t="str">
        <f t="shared" si="1257"/>
        <v>06:20:53.795</v>
      </c>
      <c r="U3085" t="str">
        <f t="shared" si="1249"/>
        <v>A7E2E0</v>
      </c>
      <c r="V3085">
        <v>0</v>
      </c>
      <c r="W3085">
        <v>0</v>
      </c>
      <c r="X3085">
        <v>1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0</v>
      </c>
      <c r="AI3085" t="s">
        <v>1500</v>
      </c>
      <c r="AJ3085">
        <v>38.857182999999999</v>
      </c>
      <c r="AK3085" t="s">
        <v>1501</v>
      </c>
      <c r="AL3085">
        <v>-87.608564000000001</v>
      </c>
      <c r="AM3085">
        <v>100</v>
      </c>
      <c r="AN3085">
        <v>2400</v>
      </c>
      <c r="AO3085" t="s">
        <v>118</v>
      </c>
      <c r="AP3085">
        <v>11</v>
      </c>
      <c r="AQ3085">
        <v>-107</v>
      </c>
      <c r="AR3085">
        <v>256</v>
      </c>
      <c r="AZ3085">
        <v>4552</v>
      </c>
      <c r="BA3085">
        <v>1</v>
      </c>
      <c r="BB3085" t="str">
        <f t="shared" si="1250"/>
        <v xml:space="preserve">N607SR  </v>
      </c>
      <c r="BC3085">
        <v>1</v>
      </c>
      <c r="BE3085">
        <v>0</v>
      </c>
      <c r="BF3085">
        <v>0</v>
      </c>
      <c r="BG3085">
        <v>0</v>
      </c>
      <c r="BH3085">
        <v>2175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 t="shared" si="1258"/>
        <v>06:20:54.202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6</v>
      </c>
      <c r="CP3085" t="s">
        <v>119</v>
      </c>
      <c r="CQ3085">
        <v>465</v>
      </c>
      <c r="CR3085">
        <v>0</v>
      </c>
      <c r="CW3085">
        <v>4729193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 t="shared" si="1255"/>
        <v>08/29/2020 06:20:50.965</v>
      </c>
      <c r="C3086" t="str">
        <f t="shared" si="1248"/>
        <v>FFDFD3C0</v>
      </c>
      <c r="D3086" t="s">
        <v>113</v>
      </c>
      <c r="E3086">
        <v>5</v>
      </c>
      <c r="H3086">
        <v>163</v>
      </c>
      <c r="I3086" t="s">
        <v>114</v>
      </c>
      <c r="J3086" t="s">
        <v>115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256"/>
        <v>06:20:54.195</v>
      </c>
      <c r="T3086" t="str">
        <f t="shared" si="1257"/>
        <v>06:20:53.795</v>
      </c>
      <c r="U3086" t="str">
        <f t="shared" si="1249"/>
        <v>A7E2E0</v>
      </c>
      <c r="V3086">
        <v>0</v>
      </c>
      <c r="W3086">
        <v>0</v>
      </c>
      <c r="X3086">
        <v>1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0</v>
      </c>
      <c r="AI3086" t="s">
        <v>1500</v>
      </c>
      <c r="AJ3086">
        <v>38.857182999999999</v>
      </c>
      <c r="AK3086" t="s">
        <v>1501</v>
      </c>
      <c r="AL3086">
        <v>-87.608564000000001</v>
      </c>
      <c r="AM3086">
        <v>100</v>
      </c>
      <c r="AN3086">
        <v>2400</v>
      </c>
      <c r="AO3086" t="s">
        <v>118</v>
      </c>
      <c r="AP3086">
        <v>11</v>
      </c>
      <c r="AQ3086">
        <v>-107</v>
      </c>
      <c r="AR3086">
        <v>256</v>
      </c>
      <c r="AZ3086">
        <v>4552</v>
      </c>
      <c r="BA3086">
        <v>1</v>
      </c>
      <c r="BB3086" t="str">
        <f t="shared" si="1250"/>
        <v xml:space="preserve">N607SR  </v>
      </c>
      <c r="BC3086">
        <v>1</v>
      </c>
      <c r="BE3086">
        <v>0</v>
      </c>
      <c r="BF3086">
        <v>0</v>
      </c>
      <c r="BG3086">
        <v>0</v>
      </c>
      <c r="BH3086">
        <v>2175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 t="shared" si="1258"/>
        <v>06:20:54.202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6</v>
      </c>
      <c r="CP3086" t="s">
        <v>119</v>
      </c>
      <c r="CQ3086">
        <v>465</v>
      </c>
      <c r="CR3086">
        <v>0</v>
      </c>
      <c r="CW3086">
        <v>4729193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 t="shared" ref="A3087:A3092" si="1259">"08/29/2020 06:20:51.912"</f>
        <v>08/29/2020 06:20:51.912</v>
      </c>
      <c r="C3087" t="str">
        <f t="shared" si="1248"/>
        <v>FFDFD3C0</v>
      </c>
      <c r="D3087" t="s">
        <v>121</v>
      </c>
      <c r="E3087">
        <v>10</v>
      </c>
      <c r="F3087">
        <v>1010</v>
      </c>
      <c r="G3087" t="s">
        <v>114</v>
      </c>
      <c r="J3087" t="s">
        <v>123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ref="S3087:S3092" si="1260">"06:20:55.125"</f>
        <v>06:20:55.125</v>
      </c>
      <c r="T3087" t="str">
        <f t="shared" ref="T3087:T3092" si="1261">"06:20:54.725"</f>
        <v>06:20:54.725</v>
      </c>
      <c r="U3087" t="str">
        <f t="shared" si="1249"/>
        <v>A7E2E0</v>
      </c>
      <c r="V3087">
        <v>0</v>
      </c>
      <c r="W3087">
        <v>0</v>
      </c>
      <c r="X3087">
        <v>1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0</v>
      </c>
      <c r="AI3087" t="s">
        <v>1502</v>
      </c>
      <c r="AJ3087">
        <v>38.856625999999999</v>
      </c>
      <c r="AK3087" t="s">
        <v>1503</v>
      </c>
      <c r="AL3087">
        <v>-87.608500000000006</v>
      </c>
      <c r="AM3087">
        <v>100</v>
      </c>
      <c r="AN3087">
        <v>2400</v>
      </c>
      <c r="AO3087" t="s">
        <v>118</v>
      </c>
      <c r="AP3087">
        <v>12</v>
      </c>
      <c r="AQ3087">
        <v>-107</v>
      </c>
      <c r="AR3087">
        <v>256</v>
      </c>
      <c r="AZ3087">
        <v>4552</v>
      </c>
      <c r="BA3087">
        <v>1</v>
      </c>
      <c r="BB3087" t="str">
        <f t="shared" si="1250"/>
        <v xml:space="preserve">N607SR  </v>
      </c>
      <c r="BC3087">
        <v>1</v>
      </c>
      <c r="BE3087">
        <v>0</v>
      </c>
      <c r="BF3087">
        <v>0</v>
      </c>
      <c r="BG3087">
        <v>0</v>
      </c>
      <c r="BH3087">
        <v>2175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 t="shared" ref="BW3087:BW3092" si="1262">"06:20:55.126"</f>
        <v>06:20:55.126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6</v>
      </c>
      <c r="CP3087" t="s">
        <v>119</v>
      </c>
      <c r="CQ3087">
        <v>465</v>
      </c>
      <c r="CR3087">
        <v>0</v>
      </c>
      <c r="CW3087">
        <v>4729225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 t="shared" si="1259"/>
        <v>08/29/2020 06:20:51.912</v>
      </c>
      <c r="C3088" t="str">
        <f t="shared" si="1248"/>
        <v>FFDFD3C0</v>
      </c>
      <c r="D3088" t="s">
        <v>121</v>
      </c>
      <c r="E3088">
        <v>11</v>
      </c>
      <c r="F3088">
        <v>1011</v>
      </c>
      <c r="G3088" t="s">
        <v>125</v>
      </c>
      <c r="J3088" t="s">
        <v>123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260"/>
        <v>06:20:55.125</v>
      </c>
      <c r="T3088" t="str">
        <f t="shared" si="1261"/>
        <v>06:20:54.725</v>
      </c>
      <c r="U3088" t="str">
        <f t="shared" si="1249"/>
        <v>A7E2E0</v>
      </c>
      <c r="V3088">
        <v>0</v>
      </c>
      <c r="W3088">
        <v>0</v>
      </c>
      <c r="X3088">
        <v>1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0</v>
      </c>
      <c r="AI3088" t="s">
        <v>1502</v>
      </c>
      <c r="AJ3088">
        <v>38.856625999999999</v>
      </c>
      <c r="AK3088" t="s">
        <v>1503</v>
      </c>
      <c r="AL3088">
        <v>-87.608500000000006</v>
      </c>
      <c r="AM3088">
        <v>100</v>
      </c>
      <c r="AN3088">
        <v>2400</v>
      </c>
      <c r="AO3088" t="s">
        <v>118</v>
      </c>
      <c r="AP3088">
        <v>12</v>
      </c>
      <c r="AQ3088">
        <v>-107</v>
      </c>
      <c r="AR3088">
        <v>256</v>
      </c>
      <c r="AZ3088">
        <v>4552</v>
      </c>
      <c r="BA3088">
        <v>1</v>
      </c>
      <c r="BB3088" t="str">
        <f t="shared" si="1250"/>
        <v xml:space="preserve">N607SR  </v>
      </c>
      <c r="BC3088">
        <v>1</v>
      </c>
      <c r="BE3088">
        <v>0</v>
      </c>
      <c r="BF3088">
        <v>0</v>
      </c>
      <c r="BG3088">
        <v>0</v>
      </c>
      <c r="BH3088">
        <v>2175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 t="shared" si="1262"/>
        <v>06:20:55.126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4</v>
      </c>
      <c r="CP3088" t="s">
        <v>119</v>
      </c>
      <c r="CQ3088">
        <v>177</v>
      </c>
      <c r="CR3088">
        <v>2</v>
      </c>
      <c r="CW3088">
        <v>1690013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 t="shared" si="1259"/>
        <v>08/29/2020 06:20:51.912</v>
      </c>
      <c r="C3089" t="str">
        <f t="shared" si="1248"/>
        <v>FFDFD3C0</v>
      </c>
      <c r="D3089" t="s">
        <v>113</v>
      </c>
      <c r="E3089">
        <v>5</v>
      </c>
      <c r="H3089">
        <v>163</v>
      </c>
      <c r="I3089" t="s">
        <v>114</v>
      </c>
      <c r="J3089" t="s">
        <v>115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260"/>
        <v>06:20:55.125</v>
      </c>
      <c r="T3089" t="str">
        <f t="shared" si="1261"/>
        <v>06:20:54.725</v>
      </c>
      <c r="U3089" t="str">
        <f t="shared" si="1249"/>
        <v>A7E2E0</v>
      </c>
      <c r="V3089">
        <v>0</v>
      </c>
      <c r="W3089">
        <v>0</v>
      </c>
      <c r="X3089">
        <v>1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0</v>
      </c>
      <c r="AI3089" t="s">
        <v>1502</v>
      </c>
      <c r="AJ3089">
        <v>38.856625999999999</v>
      </c>
      <c r="AK3089" t="s">
        <v>1503</v>
      </c>
      <c r="AL3089">
        <v>-87.608500000000006</v>
      </c>
      <c r="AM3089">
        <v>100</v>
      </c>
      <c r="AN3089">
        <v>2400</v>
      </c>
      <c r="AO3089" t="s">
        <v>118</v>
      </c>
      <c r="AP3089">
        <v>12</v>
      </c>
      <c r="AQ3089">
        <v>-107</v>
      </c>
      <c r="AR3089">
        <v>256</v>
      </c>
      <c r="AZ3089">
        <v>4552</v>
      </c>
      <c r="BA3089">
        <v>1</v>
      </c>
      <c r="BB3089" t="str">
        <f t="shared" si="1250"/>
        <v xml:space="preserve">N607SR  </v>
      </c>
      <c r="BC3089">
        <v>1</v>
      </c>
      <c r="BE3089">
        <v>0</v>
      </c>
      <c r="BF3089">
        <v>0</v>
      </c>
      <c r="BG3089">
        <v>0</v>
      </c>
      <c r="BH3089">
        <v>2175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 t="shared" si="1262"/>
        <v>06:20:55.126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6</v>
      </c>
      <c r="CP3089" t="s">
        <v>119</v>
      </c>
      <c r="CQ3089">
        <v>465</v>
      </c>
      <c r="CR3089">
        <v>0</v>
      </c>
      <c r="CW3089">
        <v>4729225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 t="shared" si="1259"/>
        <v>08/29/2020 06:20:51.912</v>
      </c>
      <c r="C3090" t="str">
        <f t="shared" si="1248"/>
        <v>FFDFD3C0</v>
      </c>
      <c r="D3090" t="s">
        <v>939</v>
      </c>
      <c r="E3090">
        <v>10</v>
      </c>
      <c r="H3090">
        <v>79</v>
      </c>
      <c r="I3090" t="s">
        <v>940</v>
      </c>
      <c r="J3090" t="s">
        <v>130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260"/>
        <v>06:20:55.125</v>
      </c>
      <c r="T3090" t="str">
        <f t="shared" si="1261"/>
        <v>06:20:54.725</v>
      </c>
      <c r="U3090" t="str">
        <f t="shared" si="1249"/>
        <v>A7E2E0</v>
      </c>
      <c r="V3090">
        <v>0</v>
      </c>
      <c r="W3090">
        <v>0</v>
      </c>
      <c r="X3090">
        <v>1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0</v>
      </c>
      <c r="AI3090" t="s">
        <v>1502</v>
      </c>
      <c r="AJ3090">
        <v>38.856625999999999</v>
      </c>
      <c r="AK3090" t="s">
        <v>1503</v>
      </c>
      <c r="AL3090">
        <v>-87.608500000000006</v>
      </c>
      <c r="AM3090">
        <v>100</v>
      </c>
      <c r="AN3090">
        <v>2400</v>
      </c>
      <c r="AO3090" t="s">
        <v>118</v>
      </c>
      <c r="AP3090">
        <v>12</v>
      </c>
      <c r="AQ3090">
        <v>-107</v>
      </c>
      <c r="AR3090">
        <v>256</v>
      </c>
      <c r="AZ3090">
        <v>4552</v>
      </c>
      <c r="BA3090">
        <v>1</v>
      </c>
      <c r="BB3090" t="str">
        <f t="shared" si="1250"/>
        <v xml:space="preserve">N607SR  </v>
      </c>
      <c r="BC3090">
        <v>1</v>
      </c>
      <c r="BE3090">
        <v>0</v>
      </c>
      <c r="BF3090">
        <v>0</v>
      </c>
      <c r="BG3090">
        <v>0</v>
      </c>
      <c r="BH3090">
        <v>2175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 t="shared" si="1262"/>
        <v>06:20:55.126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6</v>
      </c>
      <c r="CP3090" t="s">
        <v>119</v>
      </c>
      <c r="CQ3090">
        <v>465</v>
      </c>
      <c r="CR3090">
        <v>0</v>
      </c>
      <c r="CW3090">
        <v>4729225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 t="shared" si="1259"/>
        <v>08/29/2020 06:20:51.912</v>
      </c>
      <c r="C3091" t="str">
        <f t="shared" si="1248"/>
        <v>FFDFD3C0</v>
      </c>
      <c r="D3091" t="s">
        <v>128</v>
      </c>
      <c r="E3091">
        <v>5</v>
      </c>
      <c r="H3091">
        <v>241</v>
      </c>
      <c r="I3091" t="s">
        <v>129</v>
      </c>
      <c r="J3091" t="s">
        <v>130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260"/>
        <v>06:20:55.125</v>
      </c>
      <c r="T3091" t="str">
        <f t="shared" si="1261"/>
        <v>06:20:54.725</v>
      </c>
      <c r="U3091" t="str">
        <f t="shared" si="1249"/>
        <v>A7E2E0</v>
      </c>
      <c r="V3091">
        <v>0</v>
      </c>
      <c r="W3091">
        <v>0</v>
      </c>
      <c r="X3091">
        <v>1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0</v>
      </c>
      <c r="AI3091" t="s">
        <v>1502</v>
      </c>
      <c r="AJ3091">
        <v>38.856625999999999</v>
      </c>
      <c r="AK3091" t="s">
        <v>1503</v>
      </c>
      <c r="AL3091">
        <v>-87.608500000000006</v>
      </c>
      <c r="AM3091">
        <v>100</v>
      </c>
      <c r="AN3091">
        <v>2400</v>
      </c>
      <c r="AO3091" t="s">
        <v>118</v>
      </c>
      <c r="AP3091">
        <v>12</v>
      </c>
      <c r="AQ3091">
        <v>-107</v>
      </c>
      <c r="AR3091">
        <v>256</v>
      </c>
      <c r="AZ3091">
        <v>4552</v>
      </c>
      <c r="BA3091">
        <v>1</v>
      </c>
      <c r="BB3091" t="str">
        <f t="shared" si="1250"/>
        <v xml:space="preserve">N607SR  </v>
      </c>
      <c r="BC3091">
        <v>1</v>
      </c>
      <c r="BE3091">
        <v>0</v>
      </c>
      <c r="BF3091">
        <v>0</v>
      </c>
      <c r="BG3091">
        <v>0</v>
      </c>
      <c r="BH3091">
        <v>2175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 t="shared" si="1262"/>
        <v>06:20:55.126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6</v>
      </c>
      <c r="CP3091" t="s">
        <v>119</v>
      </c>
      <c r="CQ3091">
        <v>465</v>
      </c>
      <c r="CR3091">
        <v>0</v>
      </c>
      <c r="CW3091">
        <v>4729225</v>
      </c>
      <c r="CY3091">
        <v>1</v>
      </c>
      <c r="CZ3091">
        <v>0</v>
      </c>
      <c r="DA3091">
        <v>1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 t="shared" si="1259"/>
        <v>08/29/2020 06:20:51.912</v>
      </c>
      <c r="C3092" t="str">
        <f t="shared" si="1248"/>
        <v>FFDFD3C0</v>
      </c>
      <c r="D3092" t="s">
        <v>121</v>
      </c>
      <c r="E3092">
        <v>13</v>
      </c>
      <c r="F3092">
        <v>1013</v>
      </c>
      <c r="G3092" t="s">
        <v>122</v>
      </c>
      <c r="J3092" t="s">
        <v>123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260"/>
        <v>06:20:55.125</v>
      </c>
      <c r="T3092" t="str">
        <f t="shared" si="1261"/>
        <v>06:20:54.725</v>
      </c>
      <c r="U3092" t="str">
        <f t="shared" si="1249"/>
        <v>A7E2E0</v>
      </c>
      <c r="V3092">
        <v>0</v>
      </c>
      <c r="W3092">
        <v>0</v>
      </c>
      <c r="X3092">
        <v>1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0</v>
      </c>
      <c r="AI3092" t="s">
        <v>1502</v>
      </c>
      <c r="AJ3092">
        <v>38.856625999999999</v>
      </c>
      <c r="AK3092" t="s">
        <v>1503</v>
      </c>
      <c r="AL3092">
        <v>-87.608500000000006</v>
      </c>
      <c r="AM3092">
        <v>100</v>
      </c>
      <c r="AN3092">
        <v>2400</v>
      </c>
      <c r="AO3092" t="s">
        <v>118</v>
      </c>
      <c r="AP3092">
        <v>12</v>
      </c>
      <c r="AQ3092">
        <v>-107</v>
      </c>
      <c r="AR3092">
        <v>256</v>
      </c>
      <c r="AZ3092">
        <v>4552</v>
      </c>
      <c r="BA3092">
        <v>1</v>
      </c>
      <c r="BB3092" t="str">
        <f t="shared" si="1250"/>
        <v xml:space="preserve">N607SR  </v>
      </c>
      <c r="BC3092">
        <v>1</v>
      </c>
      <c r="BE3092">
        <v>0</v>
      </c>
      <c r="BF3092">
        <v>0</v>
      </c>
      <c r="BG3092">
        <v>0</v>
      </c>
      <c r="BH3092">
        <v>2175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 t="shared" si="1262"/>
        <v>06:20:55.126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6</v>
      </c>
      <c r="CP3092" t="s">
        <v>119</v>
      </c>
      <c r="CQ3092">
        <v>465</v>
      </c>
      <c r="CR3092">
        <v>0</v>
      </c>
      <c r="CW3092">
        <v>4729225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 t="shared" ref="A3093:A3098" si="1263">"08/29/2020 06:20:52.782"</f>
        <v>08/29/2020 06:20:52.782</v>
      </c>
      <c r="C3093" t="str">
        <f t="shared" si="1248"/>
        <v>FFDFD3C0</v>
      </c>
      <c r="D3093" t="s">
        <v>113</v>
      </c>
      <c r="E3093">
        <v>5</v>
      </c>
      <c r="H3093">
        <v>163</v>
      </c>
      <c r="I3093" t="s">
        <v>114</v>
      </c>
      <c r="J3093" t="s">
        <v>115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ref="S3093:S3098" si="1264">"06:20:56.031"</f>
        <v>06:20:56.031</v>
      </c>
      <c r="T3093" t="str">
        <f t="shared" ref="T3093:T3098" si="1265">"06:20:55.631"</f>
        <v>06:20:55.631</v>
      </c>
      <c r="U3093" t="str">
        <f t="shared" si="1249"/>
        <v>A7E2E0</v>
      </c>
      <c r="V3093">
        <v>0</v>
      </c>
      <c r="W3093">
        <v>0</v>
      </c>
      <c r="X3093">
        <v>1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0</v>
      </c>
      <c r="AI3093" t="s">
        <v>1504</v>
      </c>
      <c r="AJ3093">
        <v>38.856217999999998</v>
      </c>
      <c r="AK3093" t="s">
        <v>1505</v>
      </c>
      <c r="AL3093">
        <v>-87.608457000000001</v>
      </c>
      <c r="AM3093">
        <v>100</v>
      </c>
      <c r="AN3093">
        <v>2400</v>
      </c>
      <c r="AO3093" t="s">
        <v>118</v>
      </c>
      <c r="AP3093">
        <v>12</v>
      </c>
      <c r="AQ3093">
        <v>-106</v>
      </c>
      <c r="AR3093">
        <v>256</v>
      </c>
      <c r="AZ3093">
        <v>4552</v>
      </c>
      <c r="BA3093">
        <v>1</v>
      </c>
      <c r="BB3093" t="str">
        <f t="shared" si="1250"/>
        <v xml:space="preserve">N607SR  </v>
      </c>
      <c r="BC3093">
        <v>1</v>
      </c>
      <c r="BE3093">
        <v>0</v>
      </c>
      <c r="BF3093">
        <v>0</v>
      </c>
      <c r="BG3093">
        <v>0</v>
      </c>
      <c r="BH3093">
        <v>2175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>"06:20:56.035"</f>
        <v>06:20:56.035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6</v>
      </c>
      <c r="CP3093" t="s">
        <v>119</v>
      </c>
      <c r="CQ3093">
        <v>465</v>
      </c>
      <c r="CR3093">
        <v>0</v>
      </c>
      <c r="CW3093">
        <v>4729249</v>
      </c>
      <c r="CY3093">
        <v>1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 t="shared" si="1263"/>
        <v>08/29/2020 06:20:52.782</v>
      </c>
      <c r="C3094" t="str">
        <f t="shared" si="1248"/>
        <v>FFDFD3C0</v>
      </c>
      <c r="D3094" t="s">
        <v>128</v>
      </c>
      <c r="E3094">
        <v>5</v>
      </c>
      <c r="H3094">
        <v>241</v>
      </c>
      <c r="I3094" t="s">
        <v>129</v>
      </c>
      <c r="J3094" t="s">
        <v>130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si="1264"/>
        <v>06:20:56.031</v>
      </c>
      <c r="T3094" t="str">
        <f t="shared" si="1265"/>
        <v>06:20:55.631</v>
      </c>
      <c r="U3094" t="str">
        <f t="shared" si="1249"/>
        <v>A7E2E0</v>
      </c>
      <c r="V3094">
        <v>0</v>
      </c>
      <c r="W3094">
        <v>0</v>
      </c>
      <c r="X3094">
        <v>1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0</v>
      </c>
      <c r="AI3094" t="s">
        <v>1504</v>
      </c>
      <c r="AJ3094">
        <v>38.856217999999998</v>
      </c>
      <c r="AK3094" t="s">
        <v>1505</v>
      </c>
      <c r="AL3094">
        <v>-87.608457000000001</v>
      </c>
      <c r="AM3094">
        <v>100</v>
      </c>
      <c r="AN3094">
        <v>2400</v>
      </c>
      <c r="AO3094" t="s">
        <v>118</v>
      </c>
      <c r="AP3094">
        <v>12</v>
      </c>
      <c r="AQ3094">
        <v>-106</v>
      </c>
      <c r="AR3094">
        <v>256</v>
      </c>
      <c r="AZ3094">
        <v>4552</v>
      </c>
      <c r="BA3094">
        <v>1</v>
      </c>
      <c r="BB3094" t="str">
        <f t="shared" si="1250"/>
        <v xml:space="preserve">N607SR  </v>
      </c>
      <c r="BC3094">
        <v>1</v>
      </c>
      <c r="BE3094">
        <v>0</v>
      </c>
      <c r="BF3094">
        <v>0</v>
      </c>
      <c r="BG3094">
        <v>0</v>
      </c>
      <c r="BH3094">
        <v>2175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>"06:20:56.035"</f>
        <v>06:20:56.035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6</v>
      </c>
      <c r="CP3094" t="s">
        <v>119</v>
      </c>
      <c r="CQ3094">
        <v>465</v>
      </c>
      <c r="CR3094">
        <v>0</v>
      </c>
      <c r="CW3094">
        <v>4729249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 t="shared" si="1263"/>
        <v>08/29/2020 06:20:52.782</v>
      </c>
      <c r="C3095" t="str">
        <f t="shared" si="1248"/>
        <v>FFDFD3C0</v>
      </c>
      <c r="D3095" t="s">
        <v>121</v>
      </c>
      <c r="E3095">
        <v>13</v>
      </c>
      <c r="F3095">
        <v>1013</v>
      </c>
      <c r="G3095" t="s">
        <v>122</v>
      </c>
      <c r="J3095" t="s">
        <v>123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si="1264"/>
        <v>06:20:56.031</v>
      </c>
      <c r="T3095" t="str">
        <f t="shared" si="1265"/>
        <v>06:20:55.631</v>
      </c>
      <c r="U3095" t="str">
        <f t="shared" si="1249"/>
        <v>A7E2E0</v>
      </c>
      <c r="V3095">
        <v>0</v>
      </c>
      <c r="W3095">
        <v>0</v>
      </c>
      <c r="X3095">
        <v>1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0</v>
      </c>
      <c r="AI3095" t="s">
        <v>1504</v>
      </c>
      <c r="AJ3095">
        <v>38.856217999999998</v>
      </c>
      <c r="AK3095" t="s">
        <v>1505</v>
      </c>
      <c r="AL3095">
        <v>-87.608457000000001</v>
      </c>
      <c r="AM3095">
        <v>100</v>
      </c>
      <c r="AN3095">
        <v>2400</v>
      </c>
      <c r="AO3095" t="s">
        <v>118</v>
      </c>
      <c r="AP3095">
        <v>12</v>
      </c>
      <c r="AQ3095">
        <v>-106</v>
      </c>
      <c r="AR3095">
        <v>256</v>
      </c>
      <c r="AZ3095">
        <v>4552</v>
      </c>
      <c r="BA3095">
        <v>1</v>
      </c>
      <c r="BB3095" t="str">
        <f t="shared" si="1250"/>
        <v xml:space="preserve">N607SR  </v>
      </c>
      <c r="BC3095">
        <v>1</v>
      </c>
      <c r="BE3095">
        <v>0</v>
      </c>
      <c r="BF3095">
        <v>0</v>
      </c>
      <c r="BG3095">
        <v>0</v>
      </c>
      <c r="BH3095">
        <v>2175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>"06:20:56.035"</f>
        <v>06:20:56.035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6</v>
      </c>
      <c r="CP3095" t="s">
        <v>119</v>
      </c>
      <c r="CQ3095">
        <v>465</v>
      </c>
      <c r="CR3095">
        <v>0</v>
      </c>
      <c r="CW3095">
        <v>4729249</v>
      </c>
      <c r="CY3095">
        <v>1</v>
      </c>
      <c r="CZ3095">
        <v>0</v>
      </c>
      <c r="DA3095">
        <v>1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 t="shared" si="1263"/>
        <v>08/29/2020 06:20:52.782</v>
      </c>
      <c r="C3096" t="str">
        <f t="shared" si="1248"/>
        <v>FFDFD3C0</v>
      </c>
      <c r="D3096" t="s">
        <v>121</v>
      </c>
      <c r="E3096">
        <v>11</v>
      </c>
      <c r="F3096">
        <v>1011</v>
      </c>
      <c r="G3096" t="s">
        <v>125</v>
      </c>
      <c r="J3096" t="s">
        <v>123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264"/>
        <v>06:20:56.031</v>
      </c>
      <c r="T3096" t="str">
        <f t="shared" si="1265"/>
        <v>06:20:55.631</v>
      </c>
      <c r="U3096" t="str">
        <f t="shared" si="1249"/>
        <v>A7E2E0</v>
      </c>
      <c r="V3096">
        <v>0</v>
      </c>
      <c r="W3096">
        <v>0</v>
      </c>
      <c r="X3096">
        <v>1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0</v>
      </c>
      <c r="AI3096" t="s">
        <v>1504</v>
      </c>
      <c r="AJ3096">
        <v>38.856217999999998</v>
      </c>
      <c r="AK3096" t="s">
        <v>1505</v>
      </c>
      <c r="AL3096">
        <v>-87.608457000000001</v>
      </c>
      <c r="AM3096">
        <v>100</v>
      </c>
      <c r="AN3096">
        <v>2400</v>
      </c>
      <c r="AO3096" t="s">
        <v>118</v>
      </c>
      <c r="AP3096">
        <v>12</v>
      </c>
      <c r="AQ3096">
        <v>-106</v>
      </c>
      <c r="AR3096">
        <v>256</v>
      </c>
      <c r="AZ3096">
        <v>4552</v>
      </c>
      <c r="BA3096">
        <v>1</v>
      </c>
      <c r="BB3096" t="str">
        <f t="shared" si="1250"/>
        <v xml:space="preserve">N607SR  </v>
      </c>
      <c r="BC3096">
        <v>1</v>
      </c>
      <c r="BE3096">
        <v>0</v>
      </c>
      <c r="BF3096">
        <v>0</v>
      </c>
      <c r="BG3096">
        <v>0</v>
      </c>
      <c r="BH3096">
        <v>2175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>"06:20:56.036"</f>
        <v>06:20:56.036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4</v>
      </c>
      <c r="CP3096" t="s">
        <v>119</v>
      </c>
      <c r="CQ3096">
        <v>177</v>
      </c>
      <c r="CR3096">
        <v>2</v>
      </c>
      <c r="CW3096">
        <v>1690134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 t="shared" si="1263"/>
        <v>08/29/2020 06:20:52.782</v>
      </c>
      <c r="C3097" t="str">
        <f t="shared" si="1248"/>
        <v>FFDFD3C0</v>
      </c>
      <c r="D3097" t="s">
        <v>121</v>
      </c>
      <c r="E3097">
        <v>10</v>
      </c>
      <c r="F3097">
        <v>1010</v>
      </c>
      <c r="G3097" t="s">
        <v>114</v>
      </c>
      <c r="J3097" t="s">
        <v>123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264"/>
        <v>06:20:56.031</v>
      </c>
      <c r="T3097" t="str">
        <f t="shared" si="1265"/>
        <v>06:20:55.631</v>
      </c>
      <c r="U3097" t="str">
        <f t="shared" si="1249"/>
        <v>A7E2E0</v>
      </c>
      <c r="V3097">
        <v>0</v>
      </c>
      <c r="W3097">
        <v>0</v>
      </c>
      <c r="X3097">
        <v>1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0</v>
      </c>
      <c r="AI3097" t="s">
        <v>1504</v>
      </c>
      <c r="AJ3097">
        <v>38.856217999999998</v>
      </c>
      <c r="AK3097" t="s">
        <v>1505</v>
      </c>
      <c r="AL3097">
        <v>-87.608457000000001</v>
      </c>
      <c r="AM3097">
        <v>100</v>
      </c>
      <c r="AN3097">
        <v>2400</v>
      </c>
      <c r="AO3097" t="s">
        <v>118</v>
      </c>
      <c r="AP3097">
        <v>12</v>
      </c>
      <c r="AQ3097">
        <v>-106</v>
      </c>
      <c r="AR3097">
        <v>256</v>
      </c>
      <c r="AZ3097">
        <v>4552</v>
      </c>
      <c r="BA3097">
        <v>1</v>
      </c>
      <c r="BB3097" t="str">
        <f t="shared" si="1250"/>
        <v xml:space="preserve">N607SR  </v>
      </c>
      <c r="BC3097">
        <v>1</v>
      </c>
      <c r="BE3097">
        <v>0</v>
      </c>
      <c r="BF3097">
        <v>0</v>
      </c>
      <c r="BG3097">
        <v>0</v>
      </c>
      <c r="BH3097">
        <v>2175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>"06:20:56.035"</f>
        <v>06:20:56.035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6</v>
      </c>
      <c r="CP3097" t="s">
        <v>119</v>
      </c>
      <c r="CQ3097">
        <v>465</v>
      </c>
      <c r="CR3097">
        <v>0</v>
      </c>
      <c r="CW3097">
        <v>4729249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 t="shared" si="1263"/>
        <v>08/29/2020 06:20:52.782</v>
      </c>
      <c r="C3098" t="str">
        <f t="shared" si="1248"/>
        <v>FFDFD3C0</v>
      </c>
      <c r="D3098" t="s">
        <v>939</v>
      </c>
      <c r="E3098">
        <v>10</v>
      </c>
      <c r="H3098">
        <v>79</v>
      </c>
      <c r="I3098" t="s">
        <v>940</v>
      </c>
      <c r="J3098" t="s">
        <v>130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264"/>
        <v>06:20:56.031</v>
      </c>
      <c r="T3098" t="str">
        <f t="shared" si="1265"/>
        <v>06:20:55.631</v>
      </c>
      <c r="U3098" t="str">
        <f t="shared" si="1249"/>
        <v>A7E2E0</v>
      </c>
      <c r="V3098">
        <v>0</v>
      </c>
      <c r="W3098">
        <v>0</v>
      </c>
      <c r="X3098">
        <v>1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0</v>
      </c>
      <c r="AI3098" t="s">
        <v>1504</v>
      </c>
      <c r="AJ3098">
        <v>38.856217999999998</v>
      </c>
      <c r="AK3098" t="s">
        <v>1505</v>
      </c>
      <c r="AL3098">
        <v>-87.608457000000001</v>
      </c>
      <c r="AM3098">
        <v>100</v>
      </c>
      <c r="AN3098">
        <v>2400</v>
      </c>
      <c r="AO3098" t="s">
        <v>118</v>
      </c>
      <c r="AP3098">
        <v>12</v>
      </c>
      <c r="AQ3098">
        <v>-106</v>
      </c>
      <c r="AR3098">
        <v>256</v>
      </c>
      <c r="AZ3098">
        <v>4552</v>
      </c>
      <c r="BA3098">
        <v>1</v>
      </c>
      <c r="BB3098" t="str">
        <f t="shared" si="1250"/>
        <v xml:space="preserve">N607SR  </v>
      </c>
      <c r="BC3098">
        <v>1</v>
      </c>
      <c r="BE3098">
        <v>0</v>
      </c>
      <c r="BF3098">
        <v>0</v>
      </c>
      <c r="BG3098">
        <v>0</v>
      </c>
      <c r="BH3098">
        <v>2175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>"06:20:56.035"</f>
        <v>06:20:56.035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6</v>
      </c>
      <c r="CP3098" t="s">
        <v>119</v>
      </c>
      <c r="CQ3098">
        <v>465</v>
      </c>
      <c r="CR3098">
        <v>0</v>
      </c>
      <c r="CW3098">
        <v>4729249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 t="shared" ref="A3099:A3104" si="1266">"08/29/2020 06:20:53.828"</f>
        <v>08/29/2020 06:20:53.828</v>
      </c>
      <c r="C3099" t="str">
        <f t="shared" si="1248"/>
        <v>FFDFD3C0</v>
      </c>
      <c r="D3099" t="s">
        <v>939</v>
      </c>
      <c r="E3099">
        <v>10</v>
      </c>
      <c r="H3099">
        <v>79</v>
      </c>
      <c r="I3099" t="s">
        <v>940</v>
      </c>
      <c r="J3099" t="s">
        <v>130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ref="S3099:S3104" si="1267">"06:20:57.055"</f>
        <v>06:20:57.055</v>
      </c>
      <c r="T3099" t="str">
        <f t="shared" ref="T3099:T3104" si="1268">"06:20:56.655"</f>
        <v>06:20:56.655</v>
      </c>
      <c r="U3099" t="str">
        <f t="shared" si="1249"/>
        <v>A7E2E0</v>
      </c>
      <c r="V3099">
        <v>0</v>
      </c>
      <c r="W3099">
        <v>0</v>
      </c>
      <c r="X3099">
        <v>1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0</v>
      </c>
      <c r="AI3099" t="s">
        <v>1506</v>
      </c>
      <c r="AJ3099">
        <v>38.855702999999998</v>
      </c>
      <c r="AK3099" t="s">
        <v>1507</v>
      </c>
      <c r="AL3099">
        <v>-87.608328</v>
      </c>
      <c r="AM3099">
        <v>100</v>
      </c>
      <c r="AN3099">
        <v>2400</v>
      </c>
      <c r="AO3099" t="s">
        <v>118</v>
      </c>
      <c r="AP3099">
        <v>13</v>
      </c>
      <c r="AQ3099">
        <v>-105</v>
      </c>
      <c r="AR3099">
        <v>192</v>
      </c>
      <c r="AZ3099">
        <v>4552</v>
      </c>
      <c r="BA3099">
        <v>1</v>
      </c>
      <c r="BB3099" t="str">
        <f t="shared" si="1250"/>
        <v xml:space="preserve">N607SR  </v>
      </c>
      <c r="BC3099">
        <v>1</v>
      </c>
      <c r="BE3099">
        <v>0</v>
      </c>
      <c r="BF3099">
        <v>0</v>
      </c>
      <c r="BG3099">
        <v>0</v>
      </c>
      <c r="BH3099">
        <v>2175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 t="shared" ref="BW3099:BW3104" si="1269">"06:20:57.060"</f>
        <v>06:20:57.060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6</v>
      </c>
      <c r="CP3099" t="s">
        <v>119</v>
      </c>
      <c r="CQ3099">
        <v>465</v>
      </c>
      <c r="CR3099">
        <v>0</v>
      </c>
      <c r="CW3099">
        <v>4729279</v>
      </c>
      <c r="CY3099">
        <v>1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 t="shared" si="1266"/>
        <v>08/29/2020 06:20:53.828</v>
      </c>
      <c r="C3100" t="str">
        <f t="shared" si="1248"/>
        <v>FFDFD3C0</v>
      </c>
      <c r="D3100" t="s">
        <v>121</v>
      </c>
      <c r="E3100">
        <v>10</v>
      </c>
      <c r="F3100">
        <v>1010</v>
      </c>
      <c r="G3100" t="s">
        <v>114</v>
      </c>
      <c r="J3100" t="s">
        <v>123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267"/>
        <v>06:20:57.055</v>
      </c>
      <c r="T3100" t="str">
        <f t="shared" si="1268"/>
        <v>06:20:56.655</v>
      </c>
      <c r="U3100" t="str">
        <f t="shared" si="1249"/>
        <v>A7E2E0</v>
      </c>
      <c r="V3100">
        <v>0</v>
      </c>
      <c r="W3100">
        <v>0</v>
      </c>
      <c r="X3100">
        <v>1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0</v>
      </c>
      <c r="AI3100" t="s">
        <v>1506</v>
      </c>
      <c r="AJ3100">
        <v>38.855702999999998</v>
      </c>
      <c r="AK3100" t="s">
        <v>1507</v>
      </c>
      <c r="AL3100">
        <v>-87.608328</v>
      </c>
      <c r="AM3100">
        <v>100</v>
      </c>
      <c r="AN3100">
        <v>2400</v>
      </c>
      <c r="AO3100" t="s">
        <v>118</v>
      </c>
      <c r="AP3100">
        <v>13</v>
      </c>
      <c r="AQ3100">
        <v>-105</v>
      </c>
      <c r="AR3100">
        <v>192</v>
      </c>
      <c r="AZ3100">
        <v>4552</v>
      </c>
      <c r="BA3100">
        <v>1</v>
      </c>
      <c r="BB3100" t="str">
        <f t="shared" si="1250"/>
        <v xml:space="preserve">N607SR  </v>
      </c>
      <c r="BC3100">
        <v>1</v>
      </c>
      <c r="BE3100">
        <v>0</v>
      </c>
      <c r="BF3100">
        <v>0</v>
      </c>
      <c r="BG3100">
        <v>0</v>
      </c>
      <c r="BH3100">
        <v>2175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 t="shared" si="1269"/>
        <v>06:20:57.060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6</v>
      </c>
      <c r="CP3100" t="s">
        <v>119</v>
      </c>
      <c r="CQ3100">
        <v>465</v>
      </c>
      <c r="CR3100">
        <v>0</v>
      </c>
      <c r="CW3100">
        <v>4729279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 t="shared" si="1266"/>
        <v>08/29/2020 06:20:53.828</v>
      </c>
      <c r="C3101" t="str">
        <f t="shared" si="1248"/>
        <v>FFDFD3C0</v>
      </c>
      <c r="D3101" t="s">
        <v>121</v>
      </c>
      <c r="E3101">
        <v>11</v>
      </c>
      <c r="F3101">
        <v>1011</v>
      </c>
      <c r="G3101" t="s">
        <v>125</v>
      </c>
      <c r="J3101" t="s">
        <v>123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267"/>
        <v>06:20:57.055</v>
      </c>
      <c r="T3101" t="str">
        <f t="shared" si="1268"/>
        <v>06:20:56.655</v>
      </c>
      <c r="U3101" t="str">
        <f t="shared" si="1249"/>
        <v>A7E2E0</v>
      </c>
      <c r="V3101">
        <v>0</v>
      </c>
      <c r="W3101">
        <v>0</v>
      </c>
      <c r="X3101">
        <v>1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0</v>
      </c>
      <c r="AI3101" t="s">
        <v>1506</v>
      </c>
      <c r="AJ3101">
        <v>38.855702999999998</v>
      </c>
      <c r="AK3101" t="s">
        <v>1507</v>
      </c>
      <c r="AL3101">
        <v>-87.608328</v>
      </c>
      <c r="AM3101">
        <v>100</v>
      </c>
      <c r="AN3101">
        <v>2400</v>
      </c>
      <c r="AO3101" t="s">
        <v>118</v>
      </c>
      <c r="AP3101">
        <v>13</v>
      </c>
      <c r="AQ3101">
        <v>-105</v>
      </c>
      <c r="AR3101">
        <v>192</v>
      </c>
      <c r="AZ3101">
        <v>4552</v>
      </c>
      <c r="BA3101">
        <v>1</v>
      </c>
      <c r="BB3101" t="str">
        <f t="shared" si="1250"/>
        <v xml:space="preserve">N607SR  </v>
      </c>
      <c r="BC3101">
        <v>1</v>
      </c>
      <c r="BE3101">
        <v>0</v>
      </c>
      <c r="BF3101">
        <v>0</v>
      </c>
      <c r="BG3101">
        <v>0</v>
      </c>
      <c r="BH3101">
        <v>2175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 t="shared" si="1269"/>
        <v>06:20:57.060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5</v>
      </c>
      <c r="CP3101" t="s">
        <v>119</v>
      </c>
      <c r="CQ3101">
        <v>177</v>
      </c>
      <c r="CR3101">
        <v>2</v>
      </c>
      <c r="CW3101">
        <v>1690301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 t="shared" si="1266"/>
        <v>08/29/2020 06:20:53.828</v>
      </c>
      <c r="C3102" t="str">
        <f t="shared" si="1248"/>
        <v>FFDFD3C0</v>
      </c>
      <c r="D3102" t="s">
        <v>113</v>
      </c>
      <c r="E3102">
        <v>5</v>
      </c>
      <c r="H3102">
        <v>163</v>
      </c>
      <c r="I3102" t="s">
        <v>114</v>
      </c>
      <c r="J3102" t="s">
        <v>115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267"/>
        <v>06:20:57.055</v>
      </c>
      <c r="T3102" t="str">
        <f t="shared" si="1268"/>
        <v>06:20:56.655</v>
      </c>
      <c r="U3102" t="str">
        <f t="shared" si="1249"/>
        <v>A7E2E0</v>
      </c>
      <c r="V3102">
        <v>0</v>
      </c>
      <c r="W3102">
        <v>0</v>
      </c>
      <c r="X3102">
        <v>1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0</v>
      </c>
      <c r="AI3102" t="s">
        <v>1506</v>
      </c>
      <c r="AJ3102">
        <v>38.855702999999998</v>
      </c>
      <c r="AK3102" t="s">
        <v>1507</v>
      </c>
      <c r="AL3102">
        <v>-87.608328</v>
      </c>
      <c r="AM3102">
        <v>100</v>
      </c>
      <c r="AN3102">
        <v>2400</v>
      </c>
      <c r="AO3102" t="s">
        <v>118</v>
      </c>
      <c r="AP3102">
        <v>13</v>
      </c>
      <c r="AQ3102">
        <v>-105</v>
      </c>
      <c r="AR3102">
        <v>192</v>
      </c>
      <c r="AZ3102">
        <v>4552</v>
      </c>
      <c r="BA3102">
        <v>1</v>
      </c>
      <c r="BB3102" t="str">
        <f t="shared" si="1250"/>
        <v xml:space="preserve">N607SR  </v>
      </c>
      <c r="BC3102">
        <v>1</v>
      </c>
      <c r="BE3102">
        <v>0</v>
      </c>
      <c r="BF3102">
        <v>0</v>
      </c>
      <c r="BG3102">
        <v>0</v>
      </c>
      <c r="BH3102">
        <v>2175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 t="shared" si="1269"/>
        <v>06:20:57.060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6</v>
      </c>
      <c r="CP3102" t="s">
        <v>119</v>
      </c>
      <c r="CQ3102">
        <v>465</v>
      </c>
      <c r="CR3102">
        <v>0</v>
      </c>
      <c r="CW3102">
        <v>4729279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 t="shared" si="1266"/>
        <v>08/29/2020 06:20:53.828</v>
      </c>
      <c r="C3103" t="str">
        <f t="shared" si="1248"/>
        <v>FFDFD3C0</v>
      </c>
      <c r="D3103" t="s">
        <v>128</v>
      </c>
      <c r="E3103">
        <v>5</v>
      </c>
      <c r="H3103">
        <v>241</v>
      </c>
      <c r="I3103" t="s">
        <v>129</v>
      </c>
      <c r="J3103" t="s">
        <v>130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si="1267"/>
        <v>06:20:57.055</v>
      </c>
      <c r="T3103" t="str">
        <f t="shared" si="1268"/>
        <v>06:20:56.655</v>
      </c>
      <c r="U3103" t="str">
        <f t="shared" si="1249"/>
        <v>A7E2E0</v>
      </c>
      <c r="V3103">
        <v>0</v>
      </c>
      <c r="W3103">
        <v>0</v>
      </c>
      <c r="X3103">
        <v>1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0</v>
      </c>
      <c r="AI3103" t="s">
        <v>1506</v>
      </c>
      <c r="AJ3103">
        <v>38.855702999999998</v>
      </c>
      <c r="AK3103" t="s">
        <v>1507</v>
      </c>
      <c r="AL3103">
        <v>-87.608328</v>
      </c>
      <c r="AM3103">
        <v>100</v>
      </c>
      <c r="AN3103">
        <v>2400</v>
      </c>
      <c r="AO3103" t="s">
        <v>118</v>
      </c>
      <c r="AP3103">
        <v>13</v>
      </c>
      <c r="AQ3103">
        <v>-105</v>
      </c>
      <c r="AR3103">
        <v>192</v>
      </c>
      <c r="AZ3103">
        <v>4552</v>
      </c>
      <c r="BA3103">
        <v>1</v>
      </c>
      <c r="BB3103" t="str">
        <f t="shared" si="1250"/>
        <v xml:space="preserve">N607SR  </v>
      </c>
      <c r="BC3103">
        <v>1</v>
      </c>
      <c r="BE3103">
        <v>0</v>
      </c>
      <c r="BF3103">
        <v>0</v>
      </c>
      <c r="BG3103">
        <v>0</v>
      </c>
      <c r="BH3103">
        <v>2175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 t="shared" si="1269"/>
        <v>06:20:57.060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6</v>
      </c>
      <c r="CP3103" t="s">
        <v>119</v>
      </c>
      <c r="CQ3103">
        <v>465</v>
      </c>
      <c r="CR3103">
        <v>0</v>
      </c>
      <c r="CW3103">
        <v>4729279</v>
      </c>
      <c r="CY3103">
        <v>1</v>
      </c>
      <c r="CZ3103">
        <v>0</v>
      </c>
      <c r="DA3103">
        <v>1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 t="shared" si="1266"/>
        <v>08/29/2020 06:20:53.828</v>
      </c>
      <c r="C3104" t="str">
        <f t="shared" si="1248"/>
        <v>FFDFD3C0</v>
      </c>
      <c r="D3104" t="s">
        <v>121</v>
      </c>
      <c r="E3104">
        <v>13</v>
      </c>
      <c r="F3104">
        <v>1013</v>
      </c>
      <c r="G3104" t="s">
        <v>122</v>
      </c>
      <c r="J3104" t="s">
        <v>123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si="1267"/>
        <v>06:20:57.055</v>
      </c>
      <c r="T3104" t="str">
        <f t="shared" si="1268"/>
        <v>06:20:56.655</v>
      </c>
      <c r="U3104" t="str">
        <f t="shared" si="1249"/>
        <v>A7E2E0</v>
      </c>
      <c r="V3104">
        <v>0</v>
      </c>
      <c r="W3104">
        <v>0</v>
      </c>
      <c r="X3104">
        <v>1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0</v>
      </c>
      <c r="AI3104" t="s">
        <v>1506</v>
      </c>
      <c r="AJ3104">
        <v>38.855702999999998</v>
      </c>
      <c r="AK3104" t="s">
        <v>1507</v>
      </c>
      <c r="AL3104">
        <v>-87.608328</v>
      </c>
      <c r="AM3104">
        <v>100</v>
      </c>
      <c r="AN3104">
        <v>2400</v>
      </c>
      <c r="AO3104" t="s">
        <v>118</v>
      </c>
      <c r="AP3104">
        <v>13</v>
      </c>
      <c r="AQ3104">
        <v>-105</v>
      </c>
      <c r="AR3104">
        <v>192</v>
      </c>
      <c r="AZ3104">
        <v>4552</v>
      </c>
      <c r="BA3104">
        <v>1</v>
      </c>
      <c r="BB3104" t="str">
        <f t="shared" si="1250"/>
        <v xml:space="preserve">N607SR  </v>
      </c>
      <c r="BC3104">
        <v>1</v>
      </c>
      <c r="BE3104">
        <v>0</v>
      </c>
      <c r="BF3104">
        <v>0</v>
      </c>
      <c r="BG3104">
        <v>0</v>
      </c>
      <c r="BH3104">
        <v>2175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 t="shared" si="1269"/>
        <v>06:20:57.060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6</v>
      </c>
      <c r="CP3104" t="s">
        <v>119</v>
      </c>
      <c r="CQ3104">
        <v>465</v>
      </c>
      <c r="CR3104">
        <v>0</v>
      </c>
      <c r="CW3104">
        <v>4729279</v>
      </c>
      <c r="CY3104">
        <v>1</v>
      </c>
      <c r="CZ3104">
        <v>0</v>
      </c>
      <c r="DA3104">
        <v>1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 t="shared" ref="A3105:A3110" si="1270">"08/29/2020 06:20:54.661"</f>
        <v>08/29/2020 06:20:54.661</v>
      </c>
      <c r="C3105" t="str">
        <f t="shared" si="1248"/>
        <v>FFDFD3C0</v>
      </c>
      <c r="D3105" t="s">
        <v>113</v>
      </c>
      <c r="E3105">
        <v>5</v>
      </c>
      <c r="H3105">
        <v>163</v>
      </c>
      <c r="I3105" t="s">
        <v>114</v>
      </c>
      <c r="J3105" t="s">
        <v>115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ref="S3105:S3110" si="1271">"06:20:57.883"</f>
        <v>06:20:57.883</v>
      </c>
      <c r="T3105" t="str">
        <f t="shared" ref="T3105:T3110" si="1272">"06:20:57.483"</f>
        <v>06:20:57.483</v>
      </c>
      <c r="U3105" t="str">
        <f t="shared" si="1249"/>
        <v>A7E2E0</v>
      </c>
      <c r="V3105">
        <v>0</v>
      </c>
      <c r="W3105">
        <v>0</v>
      </c>
      <c r="X3105">
        <v>1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0</v>
      </c>
      <c r="AI3105" t="s">
        <v>1508</v>
      </c>
      <c r="AJ3105">
        <v>38.855338000000003</v>
      </c>
      <c r="AK3105" t="s">
        <v>1509</v>
      </c>
      <c r="AL3105">
        <v>-87.608284999999995</v>
      </c>
      <c r="AM3105">
        <v>100</v>
      </c>
      <c r="AN3105">
        <v>2400</v>
      </c>
      <c r="AO3105" t="s">
        <v>118</v>
      </c>
      <c r="AP3105">
        <v>14</v>
      </c>
      <c r="AQ3105">
        <v>-105</v>
      </c>
      <c r="AR3105">
        <v>128</v>
      </c>
      <c r="AZ3105">
        <v>4552</v>
      </c>
      <c r="BA3105">
        <v>1</v>
      </c>
      <c r="BB3105" t="str">
        <f t="shared" si="1250"/>
        <v xml:space="preserve">N607SR  </v>
      </c>
      <c r="BC3105">
        <v>1</v>
      </c>
      <c r="BE3105">
        <v>0</v>
      </c>
      <c r="BF3105">
        <v>0</v>
      </c>
      <c r="BG3105">
        <v>0</v>
      </c>
      <c r="BH3105">
        <v>2200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 t="shared" ref="BW3105:BW3110" si="1273">"06:20:57.887"</f>
        <v>06:20:57.887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6</v>
      </c>
      <c r="CP3105" t="s">
        <v>119</v>
      </c>
      <c r="CQ3105">
        <v>465</v>
      </c>
      <c r="CR3105">
        <v>0</v>
      </c>
      <c r="CW3105">
        <v>4729304</v>
      </c>
      <c r="CY3105">
        <v>1</v>
      </c>
      <c r="CZ3105">
        <v>0</v>
      </c>
      <c r="DA3105">
        <v>0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 t="shared" si="1270"/>
        <v>08/29/2020 06:20:54.661</v>
      </c>
      <c r="C3106" t="str">
        <f t="shared" si="1248"/>
        <v>FFDFD3C0</v>
      </c>
      <c r="D3106" t="s">
        <v>128</v>
      </c>
      <c r="E3106">
        <v>5</v>
      </c>
      <c r="H3106">
        <v>241</v>
      </c>
      <c r="I3106" t="s">
        <v>129</v>
      </c>
      <c r="J3106" t="s">
        <v>130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271"/>
        <v>06:20:57.883</v>
      </c>
      <c r="T3106" t="str">
        <f t="shared" si="1272"/>
        <v>06:20:57.483</v>
      </c>
      <c r="U3106" t="str">
        <f t="shared" si="1249"/>
        <v>A7E2E0</v>
      </c>
      <c r="V3106">
        <v>0</v>
      </c>
      <c r="W3106">
        <v>0</v>
      </c>
      <c r="X3106">
        <v>1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0</v>
      </c>
      <c r="AI3106" t="s">
        <v>1508</v>
      </c>
      <c r="AJ3106">
        <v>38.855338000000003</v>
      </c>
      <c r="AK3106" t="s">
        <v>1509</v>
      </c>
      <c r="AL3106">
        <v>-87.608284999999995</v>
      </c>
      <c r="AM3106">
        <v>100</v>
      </c>
      <c r="AN3106">
        <v>2400</v>
      </c>
      <c r="AO3106" t="s">
        <v>118</v>
      </c>
      <c r="AP3106">
        <v>14</v>
      </c>
      <c r="AQ3106">
        <v>-105</v>
      </c>
      <c r="AR3106">
        <v>128</v>
      </c>
      <c r="AZ3106">
        <v>4552</v>
      </c>
      <c r="BA3106">
        <v>1</v>
      </c>
      <c r="BB3106" t="str">
        <f t="shared" si="1250"/>
        <v xml:space="preserve">N607SR  </v>
      </c>
      <c r="BC3106">
        <v>1</v>
      </c>
      <c r="BE3106">
        <v>0</v>
      </c>
      <c r="BF3106">
        <v>0</v>
      </c>
      <c r="BG3106">
        <v>0</v>
      </c>
      <c r="BH3106">
        <v>2200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 t="shared" si="1273"/>
        <v>06:20:57.887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6</v>
      </c>
      <c r="CP3106" t="s">
        <v>119</v>
      </c>
      <c r="CQ3106">
        <v>465</v>
      </c>
      <c r="CR3106">
        <v>0</v>
      </c>
      <c r="CW3106">
        <v>4729304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 t="shared" si="1270"/>
        <v>08/29/2020 06:20:54.661</v>
      </c>
      <c r="C3107" t="str">
        <f t="shared" si="1248"/>
        <v>FFDFD3C0</v>
      </c>
      <c r="D3107" t="s">
        <v>121</v>
      </c>
      <c r="E3107">
        <v>13</v>
      </c>
      <c r="F3107">
        <v>1013</v>
      </c>
      <c r="G3107" t="s">
        <v>122</v>
      </c>
      <c r="J3107" t="s">
        <v>123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271"/>
        <v>06:20:57.883</v>
      </c>
      <c r="T3107" t="str">
        <f t="shared" si="1272"/>
        <v>06:20:57.483</v>
      </c>
      <c r="U3107" t="str">
        <f t="shared" si="1249"/>
        <v>A7E2E0</v>
      </c>
      <c r="V3107">
        <v>0</v>
      </c>
      <c r="W3107">
        <v>0</v>
      </c>
      <c r="X3107">
        <v>1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0</v>
      </c>
      <c r="AI3107" t="s">
        <v>1508</v>
      </c>
      <c r="AJ3107">
        <v>38.855338000000003</v>
      </c>
      <c r="AK3107" t="s">
        <v>1509</v>
      </c>
      <c r="AL3107">
        <v>-87.608284999999995</v>
      </c>
      <c r="AM3107">
        <v>100</v>
      </c>
      <c r="AN3107">
        <v>2400</v>
      </c>
      <c r="AO3107" t="s">
        <v>118</v>
      </c>
      <c r="AP3107">
        <v>14</v>
      </c>
      <c r="AQ3107">
        <v>-105</v>
      </c>
      <c r="AR3107">
        <v>128</v>
      </c>
      <c r="AZ3107">
        <v>4552</v>
      </c>
      <c r="BA3107">
        <v>1</v>
      </c>
      <c r="BB3107" t="str">
        <f t="shared" si="1250"/>
        <v xml:space="preserve">N607SR  </v>
      </c>
      <c r="BC3107">
        <v>1</v>
      </c>
      <c r="BE3107">
        <v>0</v>
      </c>
      <c r="BF3107">
        <v>0</v>
      </c>
      <c r="BG3107">
        <v>0</v>
      </c>
      <c r="BH3107">
        <v>2200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 t="shared" si="1273"/>
        <v>06:20:57.887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6</v>
      </c>
      <c r="CP3107" t="s">
        <v>119</v>
      </c>
      <c r="CQ3107">
        <v>465</v>
      </c>
      <c r="CR3107">
        <v>0</v>
      </c>
      <c r="CW3107">
        <v>4729304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 t="shared" si="1270"/>
        <v>08/29/2020 06:20:54.661</v>
      </c>
      <c r="C3108" t="str">
        <f t="shared" si="1248"/>
        <v>FFDFD3C0</v>
      </c>
      <c r="D3108" t="s">
        <v>939</v>
      </c>
      <c r="E3108">
        <v>10</v>
      </c>
      <c r="H3108">
        <v>79</v>
      </c>
      <c r="I3108" t="s">
        <v>940</v>
      </c>
      <c r="J3108" t="s">
        <v>130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271"/>
        <v>06:20:57.883</v>
      </c>
      <c r="T3108" t="str">
        <f t="shared" si="1272"/>
        <v>06:20:57.483</v>
      </c>
      <c r="U3108" t="str">
        <f t="shared" si="1249"/>
        <v>A7E2E0</v>
      </c>
      <c r="V3108">
        <v>0</v>
      </c>
      <c r="W3108">
        <v>0</v>
      </c>
      <c r="X3108">
        <v>1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0</v>
      </c>
      <c r="AI3108" t="s">
        <v>1508</v>
      </c>
      <c r="AJ3108">
        <v>38.855338000000003</v>
      </c>
      <c r="AK3108" t="s">
        <v>1509</v>
      </c>
      <c r="AL3108">
        <v>-87.608284999999995</v>
      </c>
      <c r="AM3108">
        <v>100</v>
      </c>
      <c r="AN3108">
        <v>2400</v>
      </c>
      <c r="AO3108" t="s">
        <v>118</v>
      </c>
      <c r="AP3108">
        <v>14</v>
      </c>
      <c r="AQ3108">
        <v>-105</v>
      </c>
      <c r="AR3108">
        <v>128</v>
      </c>
      <c r="AZ3108">
        <v>4552</v>
      </c>
      <c r="BA3108">
        <v>1</v>
      </c>
      <c r="BB3108" t="str">
        <f t="shared" si="1250"/>
        <v xml:space="preserve">N607SR  </v>
      </c>
      <c r="BC3108">
        <v>1</v>
      </c>
      <c r="BE3108">
        <v>0</v>
      </c>
      <c r="BF3108">
        <v>0</v>
      </c>
      <c r="BG3108">
        <v>0</v>
      </c>
      <c r="BH3108">
        <v>2200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 t="shared" si="1273"/>
        <v>06:20:57.887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6</v>
      </c>
      <c r="CP3108" t="s">
        <v>119</v>
      </c>
      <c r="CQ3108">
        <v>465</v>
      </c>
      <c r="CR3108">
        <v>0</v>
      </c>
      <c r="CW3108">
        <v>4729304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 t="shared" si="1270"/>
        <v>08/29/2020 06:20:54.661</v>
      </c>
      <c r="C3109" t="str">
        <f t="shared" si="1248"/>
        <v>FFDFD3C0</v>
      </c>
      <c r="D3109" t="s">
        <v>121</v>
      </c>
      <c r="E3109">
        <v>11</v>
      </c>
      <c r="F3109">
        <v>1011</v>
      </c>
      <c r="G3109" t="s">
        <v>125</v>
      </c>
      <c r="J3109" t="s">
        <v>123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271"/>
        <v>06:20:57.883</v>
      </c>
      <c r="T3109" t="str">
        <f t="shared" si="1272"/>
        <v>06:20:57.483</v>
      </c>
      <c r="U3109" t="str">
        <f t="shared" si="1249"/>
        <v>A7E2E0</v>
      </c>
      <c r="V3109">
        <v>0</v>
      </c>
      <c r="W3109">
        <v>0</v>
      </c>
      <c r="X3109">
        <v>1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0</v>
      </c>
      <c r="AI3109" t="s">
        <v>1508</v>
      </c>
      <c r="AJ3109">
        <v>38.855338000000003</v>
      </c>
      <c r="AK3109" t="s">
        <v>1509</v>
      </c>
      <c r="AL3109">
        <v>-87.608284999999995</v>
      </c>
      <c r="AM3109">
        <v>100</v>
      </c>
      <c r="AN3109">
        <v>2400</v>
      </c>
      <c r="AO3109" t="s">
        <v>118</v>
      </c>
      <c r="AP3109">
        <v>14</v>
      </c>
      <c r="AQ3109">
        <v>-105</v>
      </c>
      <c r="AR3109">
        <v>128</v>
      </c>
      <c r="AZ3109">
        <v>4552</v>
      </c>
      <c r="BA3109">
        <v>1</v>
      </c>
      <c r="BB3109" t="str">
        <f t="shared" si="1250"/>
        <v xml:space="preserve">N607SR  </v>
      </c>
      <c r="BC3109">
        <v>1</v>
      </c>
      <c r="BE3109">
        <v>0</v>
      </c>
      <c r="BF3109">
        <v>0</v>
      </c>
      <c r="BG3109">
        <v>0</v>
      </c>
      <c r="BH3109">
        <v>2200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 t="shared" si="1273"/>
        <v>06:20:57.887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5</v>
      </c>
      <c r="CP3109" t="s">
        <v>119</v>
      </c>
      <c r="CQ3109">
        <v>177</v>
      </c>
      <c r="CR3109">
        <v>2</v>
      </c>
      <c r="CW3109">
        <v>1690444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 t="shared" si="1270"/>
        <v>08/29/2020 06:20:54.661</v>
      </c>
      <c r="C3110" t="str">
        <f t="shared" si="1248"/>
        <v>FFDFD3C0</v>
      </c>
      <c r="D3110" t="s">
        <v>121</v>
      </c>
      <c r="E3110">
        <v>10</v>
      </c>
      <c r="F3110">
        <v>1010</v>
      </c>
      <c r="G3110" t="s">
        <v>114</v>
      </c>
      <c r="J3110" t="s">
        <v>123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si="1271"/>
        <v>06:20:57.883</v>
      </c>
      <c r="T3110" t="str">
        <f t="shared" si="1272"/>
        <v>06:20:57.483</v>
      </c>
      <c r="U3110" t="str">
        <f t="shared" si="1249"/>
        <v>A7E2E0</v>
      </c>
      <c r="V3110">
        <v>0</v>
      </c>
      <c r="W3110">
        <v>0</v>
      </c>
      <c r="X3110">
        <v>1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0</v>
      </c>
      <c r="AI3110" t="s">
        <v>1508</v>
      </c>
      <c r="AJ3110">
        <v>38.855338000000003</v>
      </c>
      <c r="AK3110" t="s">
        <v>1509</v>
      </c>
      <c r="AL3110">
        <v>-87.608284999999995</v>
      </c>
      <c r="AM3110">
        <v>100</v>
      </c>
      <c r="AN3110">
        <v>2400</v>
      </c>
      <c r="AO3110" t="s">
        <v>118</v>
      </c>
      <c r="AP3110">
        <v>14</v>
      </c>
      <c r="AQ3110">
        <v>-105</v>
      </c>
      <c r="AR3110">
        <v>128</v>
      </c>
      <c r="AZ3110">
        <v>4552</v>
      </c>
      <c r="BA3110">
        <v>1</v>
      </c>
      <c r="BB3110" t="str">
        <f t="shared" si="1250"/>
        <v xml:space="preserve">N607SR  </v>
      </c>
      <c r="BC3110">
        <v>1</v>
      </c>
      <c r="BE3110">
        <v>0</v>
      </c>
      <c r="BF3110">
        <v>0</v>
      </c>
      <c r="BG3110">
        <v>0</v>
      </c>
      <c r="BH3110">
        <v>2200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 t="shared" si="1273"/>
        <v>06:20:57.887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6</v>
      </c>
      <c r="CP3110" t="s">
        <v>119</v>
      </c>
      <c r="CQ3110">
        <v>465</v>
      </c>
      <c r="CR3110">
        <v>0</v>
      </c>
      <c r="CW3110">
        <v>4729304</v>
      </c>
      <c r="CY3110">
        <v>1</v>
      </c>
      <c r="CZ3110">
        <v>0</v>
      </c>
      <c r="DA3110">
        <v>1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 t="shared" ref="A3111:A3116" si="1274">"08/29/2020 06:20:55.705"</f>
        <v>08/29/2020 06:20:55.705</v>
      </c>
      <c r="C3111" t="str">
        <f t="shared" si="1248"/>
        <v>FFDFD3C0</v>
      </c>
      <c r="D3111" t="s">
        <v>121</v>
      </c>
      <c r="E3111">
        <v>10</v>
      </c>
      <c r="F3111">
        <v>1010</v>
      </c>
      <c r="G3111" t="s">
        <v>114</v>
      </c>
      <c r="J3111" t="s">
        <v>123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ref="S3111:S3116" si="1275">"06:20:58.914"</f>
        <v>06:20:58.914</v>
      </c>
      <c r="T3111" t="str">
        <f t="shared" ref="T3111:T3116" si="1276">"06:20:58.414"</f>
        <v>06:20:58.414</v>
      </c>
      <c r="U3111" t="str">
        <f t="shared" si="1249"/>
        <v>A7E2E0</v>
      </c>
      <c r="V3111">
        <v>0</v>
      </c>
      <c r="W3111">
        <v>0</v>
      </c>
      <c r="X3111">
        <v>1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0</v>
      </c>
      <c r="AI3111" t="s">
        <v>1510</v>
      </c>
      <c r="AJ3111">
        <v>38.854801999999999</v>
      </c>
      <c r="AK3111" t="s">
        <v>1511</v>
      </c>
      <c r="AL3111">
        <v>-87.608198999999999</v>
      </c>
      <c r="AM3111">
        <v>100</v>
      </c>
      <c r="AN3111">
        <v>2400</v>
      </c>
      <c r="AO3111" t="s">
        <v>118</v>
      </c>
      <c r="AP3111">
        <v>14</v>
      </c>
      <c r="AQ3111">
        <v>-105</v>
      </c>
      <c r="AR3111">
        <v>64</v>
      </c>
      <c r="AZ3111">
        <v>4552</v>
      </c>
      <c r="BA3111">
        <v>1</v>
      </c>
      <c r="BB3111" t="str">
        <f t="shared" si="1250"/>
        <v xml:space="preserve">N607SR  </v>
      </c>
      <c r="BC3111">
        <v>1</v>
      </c>
      <c r="BE3111">
        <v>0</v>
      </c>
      <c r="BF3111">
        <v>0</v>
      </c>
      <c r="BG3111">
        <v>0</v>
      </c>
      <c r="BH3111">
        <v>2200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 t="shared" ref="BW3111:BW3116" si="1277">"06:20:58.918"</f>
        <v>06:20:58.918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465</v>
      </c>
      <c r="CR3111">
        <v>0</v>
      </c>
      <c r="CW3111">
        <v>4729337</v>
      </c>
      <c r="CY3111">
        <v>1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 t="shared" si="1274"/>
        <v>08/29/2020 06:20:55.705</v>
      </c>
      <c r="C3112" t="str">
        <f t="shared" si="1248"/>
        <v>FFDFD3C0</v>
      </c>
      <c r="D3112" t="s">
        <v>121</v>
      </c>
      <c r="E3112">
        <v>11</v>
      </c>
      <c r="F3112">
        <v>1011</v>
      </c>
      <c r="G3112" t="s">
        <v>125</v>
      </c>
      <c r="J3112" t="s">
        <v>123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275"/>
        <v>06:20:58.914</v>
      </c>
      <c r="T3112" t="str">
        <f t="shared" si="1276"/>
        <v>06:20:58.414</v>
      </c>
      <c r="U3112" t="str">
        <f t="shared" si="1249"/>
        <v>A7E2E0</v>
      </c>
      <c r="V3112">
        <v>0</v>
      </c>
      <c r="W3112">
        <v>0</v>
      </c>
      <c r="X3112">
        <v>1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0</v>
      </c>
      <c r="AI3112" t="s">
        <v>1510</v>
      </c>
      <c r="AJ3112">
        <v>38.854801999999999</v>
      </c>
      <c r="AK3112" t="s">
        <v>1511</v>
      </c>
      <c r="AL3112">
        <v>-87.608198999999999</v>
      </c>
      <c r="AM3112">
        <v>100</v>
      </c>
      <c r="AN3112">
        <v>2400</v>
      </c>
      <c r="AO3112" t="s">
        <v>118</v>
      </c>
      <c r="AP3112">
        <v>14</v>
      </c>
      <c r="AQ3112">
        <v>-105</v>
      </c>
      <c r="AR3112">
        <v>64</v>
      </c>
      <c r="AZ3112">
        <v>4552</v>
      </c>
      <c r="BA3112">
        <v>1</v>
      </c>
      <c r="BB3112" t="str">
        <f t="shared" si="1250"/>
        <v xml:space="preserve">N607SR  </v>
      </c>
      <c r="BC3112">
        <v>1</v>
      </c>
      <c r="BE3112">
        <v>0</v>
      </c>
      <c r="BF3112">
        <v>0</v>
      </c>
      <c r="BG3112">
        <v>0</v>
      </c>
      <c r="BH3112">
        <v>2200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 t="shared" si="1277"/>
        <v>06:20:58.918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5</v>
      </c>
      <c r="CP3112" t="s">
        <v>119</v>
      </c>
      <c r="CQ3112">
        <v>177</v>
      </c>
      <c r="CR3112">
        <v>2</v>
      </c>
      <c r="CW3112">
        <v>1690611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 t="shared" si="1274"/>
        <v>08/29/2020 06:20:55.705</v>
      </c>
      <c r="C3113" t="str">
        <f t="shared" si="1248"/>
        <v>FFDFD3C0</v>
      </c>
      <c r="D3113" t="s">
        <v>113</v>
      </c>
      <c r="E3113">
        <v>5</v>
      </c>
      <c r="H3113">
        <v>163</v>
      </c>
      <c r="I3113" t="s">
        <v>114</v>
      </c>
      <c r="J3113" t="s">
        <v>115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si="1275"/>
        <v>06:20:58.914</v>
      </c>
      <c r="T3113" t="str">
        <f t="shared" si="1276"/>
        <v>06:20:58.414</v>
      </c>
      <c r="U3113" t="str">
        <f t="shared" si="1249"/>
        <v>A7E2E0</v>
      </c>
      <c r="V3113">
        <v>0</v>
      </c>
      <c r="W3113">
        <v>0</v>
      </c>
      <c r="X3113">
        <v>1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0</v>
      </c>
      <c r="AI3113" t="s">
        <v>1510</v>
      </c>
      <c r="AJ3113">
        <v>38.854801999999999</v>
      </c>
      <c r="AK3113" t="s">
        <v>1511</v>
      </c>
      <c r="AL3113">
        <v>-87.608198999999999</v>
      </c>
      <c r="AM3113">
        <v>100</v>
      </c>
      <c r="AN3113">
        <v>2400</v>
      </c>
      <c r="AO3113" t="s">
        <v>118</v>
      </c>
      <c r="AP3113">
        <v>14</v>
      </c>
      <c r="AQ3113">
        <v>-105</v>
      </c>
      <c r="AR3113">
        <v>64</v>
      </c>
      <c r="AZ3113">
        <v>4552</v>
      </c>
      <c r="BA3113">
        <v>1</v>
      </c>
      <c r="BB3113" t="str">
        <f t="shared" si="1250"/>
        <v xml:space="preserve">N607SR  </v>
      </c>
      <c r="BC3113">
        <v>1</v>
      </c>
      <c r="BE3113">
        <v>0</v>
      </c>
      <c r="BF3113">
        <v>0</v>
      </c>
      <c r="BG3113">
        <v>0</v>
      </c>
      <c r="BH3113">
        <v>2200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 t="shared" si="1277"/>
        <v>06:20:58.918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465</v>
      </c>
      <c r="CR3113">
        <v>0</v>
      </c>
      <c r="CW3113">
        <v>4729337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 t="shared" si="1274"/>
        <v>08/29/2020 06:20:55.705</v>
      </c>
      <c r="C3114" t="str">
        <f t="shared" si="1248"/>
        <v>FFDFD3C0</v>
      </c>
      <c r="D3114" t="s">
        <v>121</v>
      </c>
      <c r="E3114">
        <v>13</v>
      </c>
      <c r="F3114">
        <v>1013</v>
      </c>
      <c r="G3114" t="s">
        <v>122</v>
      </c>
      <c r="J3114" t="s">
        <v>123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275"/>
        <v>06:20:58.914</v>
      </c>
      <c r="T3114" t="str">
        <f t="shared" si="1276"/>
        <v>06:20:58.414</v>
      </c>
      <c r="U3114" t="str">
        <f t="shared" si="1249"/>
        <v>A7E2E0</v>
      </c>
      <c r="V3114">
        <v>0</v>
      </c>
      <c r="W3114">
        <v>0</v>
      </c>
      <c r="X3114">
        <v>1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0</v>
      </c>
      <c r="AI3114" t="s">
        <v>1510</v>
      </c>
      <c r="AJ3114">
        <v>38.854801999999999</v>
      </c>
      <c r="AK3114" t="s">
        <v>1511</v>
      </c>
      <c r="AL3114">
        <v>-87.608198999999999</v>
      </c>
      <c r="AM3114">
        <v>100</v>
      </c>
      <c r="AN3114">
        <v>2400</v>
      </c>
      <c r="AO3114" t="s">
        <v>118</v>
      </c>
      <c r="AP3114">
        <v>14</v>
      </c>
      <c r="AQ3114">
        <v>-105</v>
      </c>
      <c r="AR3114">
        <v>64</v>
      </c>
      <c r="AZ3114">
        <v>4552</v>
      </c>
      <c r="BA3114">
        <v>1</v>
      </c>
      <c r="BB3114" t="str">
        <f t="shared" si="1250"/>
        <v xml:space="preserve">N607SR  </v>
      </c>
      <c r="BC3114">
        <v>1</v>
      </c>
      <c r="BE3114">
        <v>0</v>
      </c>
      <c r="BF3114">
        <v>0</v>
      </c>
      <c r="BG3114">
        <v>0</v>
      </c>
      <c r="BH3114">
        <v>2200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 t="shared" si="1277"/>
        <v>06:20:58.918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465</v>
      </c>
      <c r="CR3114">
        <v>0</v>
      </c>
      <c r="CW3114">
        <v>4729337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 t="shared" si="1274"/>
        <v>08/29/2020 06:20:55.705</v>
      </c>
      <c r="C3115" t="str">
        <f t="shared" si="1248"/>
        <v>FFDFD3C0</v>
      </c>
      <c r="D3115" t="s">
        <v>128</v>
      </c>
      <c r="E3115">
        <v>5</v>
      </c>
      <c r="H3115">
        <v>241</v>
      </c>
      <c r="I3115" t="s">
        <v>129</v>
      </c>
      <c r="J3115" t="s">
        <v>130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275"/>
        <v>06:20:58.914</v>
      </c>
      <c r="T3115" t="str">
        <f t="shared" si="1276"/>
        <v>06:20:58.414</v>
      </c>
      <c r="U3115" t="str">
        <f t="shared" si="1249"/>
        <v>A7E2E0</v>
      </c>
      <c r="V3115">
        <v>0</v>
      </c>
      <c r="W3115">
        <v>0</v>
      </c>
      <c r="X3115">
        <v>1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0</v>
      </c>
      <c r="AI3115" t="s">
        <v>1510</v>
      </c>
      <c r="AJ3115">
        <v>38.854801999999999</v>
      </c>
      <c r="AK3115" t="s">
        <v>1511</v>
      </c>
      <c r="AL3115">
        <v>-87.608198999999999</v>
      </c>
      <c r="AM3115">
        <v>100</v>
      </c>
      <c r="AN3115">
        <v>2400</v>
      </c>
      <c r="AO3115" t="s">
        <v>118</v>
      </c>
      <c r="AP3115">
        <v>14</v>
      </c>
      <c r="AQ3115">
        <v>-105</v>
      </c>
      <c r="AR3115">
        <v>64</v>
      </c>
      <c r="AZ3115">
        <v>4552</v>
      </c>
      <c r="BA3115">
        <v>1</v>
      </c>
      <c r="BB3115" t="str">
        <f t="shared" si="1250"/>
        <v xml:space="preserve">N607SR  </v>
      </c>
      <c r="BC3115">
        <v>1</v>
      </c>
      <c r="BE3115">
        <v>0</v>
      </c>
      <c r="BF3115">
        <v>0</v>
      </c>
      <c r="BG3115">
        <v>0</v>
      </c>
      <c r="BH3115">
        <v>2200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 t="shared" si="1277"/>
        <v>06:20:58.918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465</v>
      </c>
      <c r="CR3115">
        <v>0</v>
      </c>
      <c r="CW3115">
        <v>4729337</v>
      </c>
      <c r="CY3115">
        <v>1</v>
      </c>
      <c r="CZ3115">
        <v>0</v>
      </c>
      <c r="DA3115">
        <v>1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 t="shared" si="1274"/>
        <v>08/29/2020 06:20:55.705</v>
      </c>
      <c r="C3116" t="str">
        <f t="shared" si="1248"/>
        <v>FFDFD3C0</v>
      </c>
      <c r="D3116" t="s">
        <v>939</v>
      </c>
      <c r="E3116">
        <v>10</v>
      </c>
      <c r="H3116">
        <v>79</v>
      </c>
      <c r="I3116" t="s">
        <v>940</v>
      </c>
      <c r="J3116" t="s">
        <v>130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275"/>
        <v>06:20:58.914</v>
      </c>
      <c r="T3116" t="str">
        <f t="shared" si="1276"/>
        <v>06:20:58.414</v>
      </c>
      <c r="U3116" t="str">
        <f t="shared" si="1249"/>
        <v>A7E2E0</v>
      </c>
      <c r="V3116">
        <v>0</v>
      </c>
      <c r="W3116">
        <v>0</v>
      </c>
      <c r="X3116">
        <v>1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0</v>
      </c>
      <c r="AI3116" t="s">
        <v>1510</v>
      </c>
      <c r="AJ3116">
        <v>38.854801999999999</v>
      </c>
      <c r="AK3116" t="s">
        <v>1511</v>
      </c>
      <c r="AL3116">
        <v>-87.608198999999999</v>
      </c>
      <c r="AM3116">
        <v>100</v>
      </c>
      <c r="AN3116">
        <v>2400</v>
      </c>
      <c r="AO3116" t="s">
        <v>118</v>
      </c>
      <c r="AP3116">
        <v>14</v>
      </c>
      <c r="AQ3116">
        <v>-105</v>
      </c>
      <c r="AR3116">
        <v>64</v>
      </c>
      <c r="AZ3116">
        <v>4552</v>
      </c>
      <c r="BA3116">
        <v>1</v>
      </c>
      <c r="BB3116" t="str">
        <f t="shared" si="1250"/>
        <v xml:space="preserve">N607SR  </v>
      </c>
      <c r="BC3116">
        <v>1</v>
      </c>
      <c r="BE3116">
        <v>0</v>
      </c>
      <c r="BF3116">
        <v>0</v>
      </c>
      <c r="BG3116">
        <v>0</v>
      </c>
      <c r="BH3116">
        <v>2200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 t="shared" si="1277"/>
        <v>06:20:58.918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465</v>
      </c>
      <c r="CR3116">
        <v>0</v>
      </c>
      <c r="CW3116">
        <v>4729337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 t="shared" ref="A3117:A3122" si="1278">"08/29/2020 06:20:56.790"</f>
        <v>08/29/2020 06:20:56.790</v>
      </c>
      <c r="C3117" t="str">
        <f t="shared" si="1248"/>
        <v>FFDFD3C0</v>
      </c>
      <c r="D3117" t="s">
        <v>113</v>
      </c>
      <c r="E3117">
        <v>5</v>
      </c>
      <c r="H3117">
        <v>163</v>
      </c>
      <c r="I3117" t="s">
        <v>114</v>
      </c>
      <c r="J3117" t="s">
        <v>115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ref="S3117:S3122" si="1279">"06:21:00.000"</f>
        <v>06:21:00.000</v>
      </c>
      <c r="T3117" t="str">
        <f t="shared" ref="T3117:T3122" si="1280">"06:20:59.500"</f>
        <v>06:20:59.500</v>
      </c>
      <c r="U3117" t="str">
        <f t="shared" si="1249"/>
        <v>A7E2E0</v>
      </c>
      <c r="V3117">
        <v>0</v>
      </c>
      <c r="W3117">
        <v>0</v>
      </c>
      <c r="X3117">
        <v>1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0</v>
      </c>
      <c r="AI3117" t="s">
        <v>1512</v>
      </c>
      <c r="AJ3117">
        <v>38.854286999999999</v>
      </c>
      <c r="AK3117" t="s">
        <v>1513</v>
      </c>
      <c r="AL3117">
        <v>-87.608091999999999</v>
      </c>
      <c r="AM3117">
        <v>100</v>
      </c>
      <c r="AN3117">
        <v>2400</v>
      </c>
      <c r="AO3117" t="s">
        <v>118</v>
      </c>
      <c r="AP3117">
        <v>15</v>
      </c>
      <c r="AQ3117">
        <v>-104</v>
      </c>
      <c r="AR3117">
        <v>0</v>
      </c>
      <c r="AZ3117">
        <v>4552</v>
      </c>
      <c r="BA3117">
        <v>1</v>
      </c>
      <c r="BB3117" t="str">
        <f t="shared" si="1250"/>
        <v xml:space="preserve">N607SR  </v>
      </c>
      <c r="BC3117">
        <v>1</v>
      </c>
      <c r="BE3117">
        <v>0</v>
      </c>
      <c r="BF3117">
        <v>0</v>
      </c>
      <c r="BG3117">
        <v>0</v>
      </c>
      <c r="BH3117">
        <v>2200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>"06:21:00.005"</f>
        <v>06:21:00.005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6</v>
      </c>
      <c r="CP3117" t="s">
        <v>119</v>
      </c>
      <c r="CQ3117">
        <v>465</v>
      </c>
      <c r="CR3117">
        <v>0</v>
      </c>
      <c r="CW3117">
        <v>4729369</v>
      </c>
      <c r="CY3117">
        <v>1</v>
      </c>
      <c r="CZ3117">
        <v>0</v>
      </c>
      <c r="DA3117">
        <v>0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 t="shared" si="1278"/>
        <v>08/29/2020 06:20:56.790</v>
      </c>
      <c r="C3118" t="str">
        <f t="shared" si="1248"/>
        <v>FFDFD3C0</v>
      </c>
      <c r="D3118" t="s">
        <v>939</v>
      </c>
      <c r="E3118">
        <v>10</v>
      </c>
      <c r="H3118">
        <v>79</v>
      </c>
      <c r="I3118" t="s">
        <v>940</v>
      </c>
      <c r="J3118" t="s">
        <v>130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279"/>
        <v>06:21:00.000</v>
      </c>
      <c r="T3118" t="str">
        <f t="shared" si="1280"/>
        <v>06:20:59.500</v>
      </c>
      <c r="U3118" t="str">
        <f t="shared" si="1249"/>
        <v>A7E2E0</v>
      </c>
      <c r="V3118">
        <v>0</v>
      </c>
      <c r="W3118">
        <v>0</v>
      </c>
      <c r="X3118">
        <v>1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0</v>
      </c>
      <c r="AI3118" t="s">
        <v>1512</v>
      </c>
      <c r="AJ3118">
        <v>38.854286999999999</v>
      </c>
      <c r="AK3118" t="s">
        <v>1513</v>
      </c>
      <c r="AL3118">
        <v>-87.608091999999999</v>
      </c>
      <c r="AM3118">
        <v>100</v>
      </c>
      <c r="AN3118">
        <v>2400</v>
      </c>
      <c r="AO3118" t="s">
        <v>118</v>
      </c>
      <c r="AP3118">
        <v>15</v>
      </c>
      <c r="AQ3118">
        <v>-104</v>
      </c>
      <c r="AR3118">
        <v>0</v>
      </c>
      <c r="AZ3118">
        <v>4552</v>
      </c>
      <c r="BA3118">
        <v>1</v>
      </c>
      <c r="BB3118" t="str">
        <f t="shared" si="1250"/>
        <v xml:space="preserve">N607SR  </v>
      </c>
      <c r="BC3118">
        <v>1</v>
      </c>
      <c r="BE3118">
        <v>0</v>
      </c>
      <c r="BF3118">
        <v>0</v>
      </c>
      <c r="BG3118">
        <v>0</v>
      </c>
      <c r="BH3118">
        <v>2200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>"06:21:00.005"</f>
        <v>06:21:00.005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6</v>
      </c>
      <c r="CP3118" t="s">
        <v>119</v>
      </c>
      <c r="CQ3118">
        <v>465</v>
      </c>
      <c r="CR3118">
        <v>0</v>
      </c>
      <c r="CW3118">
        <v>4729369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 t="shared" si="1278"/>
        <v>08/29/2020 06:20:56.790</v>
      </c>
      <c r="C3119" t="str">
        <f t="shared" si="1248"/>
        <v>FFDFD3C0</v>
      </c>
      <c r="D3119" t="s">
        <v>121</v>
      </c>
      <c r="E3119">
        <v>13</v>
      </c>
      <c r="F3119">
        <v>1013</v>
      </c>
      <c r="G3119" t="s">
        <v>122</v>
      </c>
      <c r="J3119" t="s">
        <v>123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279"/>
        <v>06:21:00.000</v>
      </c>
      <c r="T3119" t="str">
        <f t="shared" si="1280"/>
        <v>06:20:59.500</v>
      </c>
      <c r="U3119" t="str">
        <f t="shared" si="1249"/>
        <v>A7E2E0</v>
      </c>
      <c r="V3119">
        <v>0</v>
      </c>
      <c r="W3119">
        <v>0</v>
      </c>
      <c r="X3119">
        <v>1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0</v>
      </c>
      <c r="AI3119" t="s">
        <v>1512</v>
      </c>
      <c r="AJ3119">
        <v>38.854286999999999</v>
      </c>
      <c r="AK3119" t="s">
        <v>1513</v>
      </c>
      <c r="AL3119">
        <v>-87.608091999999999</v>
      </c>
      <c r="AM3119">
        <v>100</v>
      </c>
      <c r="AN3119">
        <v>2400</v>
      </c>
      <c r="AO3119" t="s">
        <v>118</v>
      </c>
      <c r="AP3119">
        <v>15</v>
      </c>
      <c r="AQ3119">
        <v>-104</v>
      </c>
      <c r="AR3119">
        <v>0</v>
      </c>
      <c r="AZ3119">
        <v>4552</v>
      </c>
      <c r="BA3119">
        <v>1</v>
      </c>
      <c r="BB3119" t="str">
        <f t="shared" si="1250"/>
        <v xml:space="preserve">N607SR  </v>
      </c>
      <c r="BC3119">
        <v>1</v>
      </c>
      <c r="BE3119">
        <v>0</v>
      </c>
      <c r="BF3119">
        <v>0</v>
      </c>
      <c r="BG3119">
        <v>0</v>
      </c>
      <c r="BH3119">
        <v>2200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>"06:21:00.005"</f>
        <v>06:21:00.005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6</v>
      </c>
      <c r="CP3119" t="s">
        <v>119</v>
      </c>
      <c r="CQ3119">
        <v>465</v>
      </c>
      <c r="CR3119">
        <v>0</v>
      </c>
      <c r="CW3119">
        <v>4729369</v>
      </c>
      <c r="CY3119">
        <v>1</v>
      </c>
      <c r="CZ3119">
        <v>0</v>
      </c>
      <c r="DA3119">
        <v>1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 t="shared" si="1278"/>
        <v>08/29/2020 06:20:56.790</v>
      </c>
      <c r="C3120" t="str">
        <f t="shared" si="1248"/>
        <v>FFDFD3C0</v>
      </c>
      <c r="D3120" t="s">
        <v>128</v>
      </c>
      <c r="E3120">
        <v>5</v>
      </c>
      <c r="H3120">
        <v>241</v>
      </c>
      <c r="I3120" t="s">
        <v>129</v>
      </c>
      <c r="J3120" t="s">
        <v>130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279"/>
        <v>06:21:00.000</v>
      </c>
      <c r="T3120" t="str">
        <f t="shared" si="1280"/>
        <v>06:20:59.500</v>
      </c>
      <c r="U3120" t="str">
        <f t="shared" si="1249"/>
        <v>A7E2E0</v>
      </c>
      <c r="V3120">
        <v>0</v>
      </c>
      <c r="W3120">
        <v>0</v>
      </c>
      <c r="X3120">
        <v>1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0</v>
      </c>
      <c r="AI3120" t="s">
        <v>1512</v>
      </c>
      <c r="AJ3120">
        <v>38.854286999999999</v>
      </c>
      <c r="AK3120" t="s">
        <v>1513</v>
      </c>
      <c r="AL3120">
        <v>-87.608091999999999</v>
      </c>
      <c r="AM3120">
        <v>100</v>
      </c>
      <c r="AN3120">
        <v>2400</v>
      </c>
      <c r="AO3120" t="s">
        <v>118</v>
      </c>
      <c r="AP3120">
        <v>15</v>
      </c>
      <c r="AQ3120">
        <v>-104</v>
      </c>
      <c r="AR3120">
        <v>0</v>
      </c>
      <c r="AZ3120">
        <v>4552</v>
      </c>
      <c r="BA3120">
        <v>1</v>
      </c>
      <c r="BB3120" t="str">
        <f t="shared" si="1250"/>
        <v xml:space="preserve">N607SR  </v>
      </c>
      <c r="BC3120">
        <v>1</v>
      </c>
      <c r="BE3120">
        <v>0</v>
      </c>
      <c r="BF3120">
        <v>0</v>
      </c>
      <c r="BG3120">
        <v>0</v>
      </c>
      <c r="BH3120">
        <v>2200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>"06:21:00.005"</f>
        <v>06:21:00.005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6</v>
      </c>
      <c r="CP3120" t="s">
        <v>119</v>
      </c>
      <c r="CQ3120">
        <v>465</v>
      </c>
      <c r="CR3120">
        <v>0</v>
      </c>
      <c r="CW3120">
        <v>4729369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 t="shared" si="1278"/>
        <v>08/29/2020 06:20:56.790</v>
      </c>
      <c r="C3121" t="str">
        <f t="shared" si="1248"/>
        <v>FFDFD3C0</v>
      </c>
      <c r="D3121" t="s">
        <v>121</v>
      </c>
      <c r="E3121">
        <v>10</v>
      </c>
      <c r="F3121">
        <v>1010</v>
      </c>
      <c r="G3121" t="s">
        <v>114</v>
      </c>
      <c r="J3121" t="s">
        <v>123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279"/>
        <v>06:21:00.000</v>
      </c>
      <c r="T3121" t="str">
        <f t="shared" si="1280"/>
        <v>06:20:59.500</v>
      </c>
      <c r="U3121" t="str">
        <f t="shared" si="1249"/>
        <v>A7E2E0</v>
      </c>
      <c r="V3121">
        <v>0</v>
      </c>
      <c r="W3121">
        <v>0</v>
      </c>
      <c r="X3121">
        <v>1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0</v>
      </c>
      <c r="AI3121" t="s">
        <v>1512</v>
      </c>
      <c r="AJ3121">
        <v>38.854286999999999</v>
      </c>
      <c r="AK3121" t="s">
        <v>1513</v>
      </c>
      <c r="AL3121">
        <v>-87.608091999999999</v>
      </c>
      <c r="AM3121">
        <v>100</v>
      </c>
      <c r="AN3121">
        <v>2400</v>
      </c>
      <c r="AO3121" t="s">
        <v>118</v>
      </c>
      <c r="AP3121">
        <v>15</v>
      </c>
      <c r="AQ3121">
        <v>-104</v>
      </c>
      <c r="AR3121">
        <v>0</v>
      </c>
      <c r="AZ3121">
        <v>4552</v>
      </c>
      <c r="BA3121">
        <v>1</v>
      </c>
      <c r="BB3121" t="str">
        <f t="shared" si="1250"/>
        <v xml:space="preserve">N607SR  </v>
      </c>
      <c r="BC3121">
        <v>1</v>
      </c>
      <c r="BE3121">
        <v>0</v>
      </c>
      <c r="BF3121">
        <v>0</v>
      </c>
      <c r="BG3121">
        <v>0</v>
      </c>
      <c r="BH3121">
        <v>2200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>"06:21:00.005"</f>
        <v>06:21:00.005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6</v>
      </c>
      <c r="CP3121" t="s">
        <v>119</v>
      </c>
      <c r="CQ3121">
        <v>465</v>
      </c>
      <c r="CR3121">
        <v>0</v>
      </c>
      <c r="CW3121">
        <v>4729369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 t="shared" si="1278"/>
        <v>08/29/2020 06:20:56.790</v>
      </c>
      <c r="C3122" t="str">
        <f t="shared" si="1248"/>
        <v>FFDFD3C0</v>
      </c>
      <c r="D3122" t="s">
        <v>121</v>
      </c>
      <c r="E3122">
        <v>11</v>
      </c>
      <c r="F3122">
        <v>1011</v>
      </c>
      <c r="G3122" t="s">
        <v>125</v>
      </c>
      <c r="J3122" t="s">
        <v>123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279"/>
        <v>06:21:00.000</v>
      </c>
      <c r="T3122" t="str">
        <f t="shared" si="1280"/>
        <v>06:20:59.500</v>
      </c>
      <c r="U3122" t="str">
        <f t="shared" si="1249"/>
        <v>A7E2E0</v>
      </c>
      <c r="V3122">
        <v>0</v>
      </c>
      <c r="W3122">
        <v>0</v>
      </c>
      <c r="X3122">
        <v>1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0</v>
      </c>
      <c r="AI3122" t="s">
        <v>1512</v>
      </c>
      <c r="AJ3122">
        <v>38.854286999999999</v>
      </c>
      <c r="AK3122" t="s">
        <v>1513</v>
      </c>
      <c r="AL3122">
        <v>-87.608091999999999</v>
      </c>
      <c r="AM3122">
        <v>100</v>
      </c>
      <c r="AN3122">
        <v>2400</v>
      </c>
      <c r="AO3122" t="s">
        <v>118</v>
      </c>
      <c r="AP3122">
        <v>15</v>
      </c>
      <c r="AQ3122">
        <v>-104</v>
      </c>
      <c r="AR3122">
        <v>0</v>
      </c>
      <c r="AZ3122">
        <v>4552</v>
      </c>
      <c r="BA3122">
        <v>1</v>
      </c>
      <c r="BB3122" t="str">
        <f t="shared" si="1250"/>
        <v xml:space="preserve">N607SR  </v>
      </c>
      <c r="BC3122">
        <v>1</v>
      </c>
      <c r="BE3122">
        <v>0</v>
      </c>
      <c r="BF3122">
        <v>0</v>
      </c>
      <c r="BG3122">
        <v>0</v>
      </c>
      <c r="BH3122">
        <v>2200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>"06:21:00.006"</f>
        <v>06:21:00.006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5</v>
      </c>
      <c r="CP3122" t="s">
        <v>119</v>
      </c>
      <c r="CQ3122">
        <v>177</v>
      </c>
      <c r="CR3122">
        <v>2</v>
      </c>
      <c r="CW3122">
        <v>1690798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 t="shared" ref="A3123:A3128" si="1281">"08/29/2020 06:20:57.853"</f>
        <v>08/29/2020 06:20:57.853</v>
      </c>
      <c r="C3123" t="str">
        <f t="shared" si="1248"/>
        <v>FFDFD3C0</v>
      </c>
      <c r="D3123" t="s">
        <v>939</v>
      </c>
      <c r="E3123">
        <v>10</v>
      </c>
      <c r="H3123">
        <v>79</v>
      </c>
      <c r="I3123" t="s">
        <v>940</v>
      </c>
      <c r="J3123" t="s">
        <v>130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ref="S3123:S3128" si="1282">"06:21:01.063"</f>
        <v>06:21:01.063</v>
      </c>
      <c r="T3123" t="str">
        <f t="shared" ref="T3123:T3128" si="1283">"06:21:00.563"</f>
        <v>06:21:00.563</v>
      </c>
      <c r="U3123" t="str">
        <f t="shared" si="1249"/>
        <v>A7E2E0</v>
      </c>
      <c r="V3123">
        <v>0</v>
      </c>
      <c r="W3123">
        <v>0</v>
      </c>
      <c r="X3123">
        <v>1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0</v>
      </c>
      <c r="AI3123" t="s">
        <v>1514</v>
      </c>
      <c r="AJ3123">
        <v>38.853749999999998</v>
      </c>
      <c r="AK3123" t="s">
        <v>1515</v>
      </c>
      <c r="AL3123">
        <v>-87.608027000000007</v>
      </c>
      <c r="AM3123">
        <v>100</v>
      </c>
      <c r="AN3123">
        <v>2400</v>
      </c>
      <c r="AO3123" t="s">
        <v>118</v>
      </c>
      <c r="AP3123">
        <v>16</v>
      </c>
      <c r="AQ3123">
        <v>-105</v>
      </c>
      <c r="AR3123">
        <v>-64</v>
      </c>
      <c r="AZ3123">
        <v>4552</v>
      </c>
      <c r="BA3123">
        <v>1</v>
      </c>
      <c r="BB3123" t="str">
        <f t="shared" si="1250"/>
        <v xml:space="preserve">N607SR  </v>
      </c>
      <c r="BC3123">
        <v>1</v>
      </c>
      <c r="BE3123">
        <v>0</v>
      </c>
      <c r="BF3123">
        <v>0</v>
      </c>
      <c r="BG3123">
        <v>0</v>
      </c>
      <c r="BH3123">
        <v>2175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 t="shared" ref="BW3123:BW3128" si="1284">"06:21:01.069"</f>
        <v>06:21:01.069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6</v>
      </c>
      <c r="CP3123" t="s">
        <v>119</v>
      </c>
      <c r="CQ3123">
        <v>465</v>
      </c>
      <c r="CR3123">
        <v>0</v>
      </c>
      <c r="CW3123">
        <v>4729398</v>
      </c>
      <c r="CY3123">
        <v>1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 t="shared" si="1281"/>
        <v>08/29/2020 06:20:57.853</v>
      </c>
      <c r="C3124" t="str">
        <f t="shared" si="1248"/>
        <v>FFDFD3C0</v>
      </c>
      <c r="D3124" t="s">
        <v>113</v>
      </c>
      <c r="E3124">
        <v>5</v>
      </c>
      <c r="H3124">
        <v>163</v>
      </c>
      <c r="I3124" t="s">
        <v>114</v>
      </c>
      <c r="J3124" t="s">
        <v>115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si="1282"/>
        <v>06:21:01.063</v>
      </c>
      <c r="T3124" t="str">
        <f t="shared" si="1283"/>
        <v>06:21:00.563</v>
      </c>
      <c r="U3124" t="str">
        <f t="shared" si="1249"/>
        <v>A7E2E0</v>
      </c>
      <c r="V3124">
        <v>0</v>
      </c>
      <c r="W3124">
        <v>0</v>
      </c>
      <c r="X3124">
        <v>1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0</v>
      </c>
      <c r="AI3124" t="s">
        <v>1514</v>
      </c>
      <c r="AJ3124">
        <v>38.853749999999998</v>
      </c>
      <c r="AK3124" t="s">
        <v>1515</v>
      </c>
      <c r="AL3124">
        <v>-87.608027000000007</v>
      </c>
      <c r="AM3124">
        <v>100</v>
      </c>
      <c r="AN3124">
        <v>2400</v>
      </c>
      <c r="AO3124" t="s">
        <v>118</v>
      </c>
      <c r="AP3124">
        <v>16</v>
      </c>
      <c r="AQ3124">
        <v>-105</v>
      </c>
      <c r="AR3124">
        <v>-64</v>
      </c>
      <c r="AZ3124">
        <v>4552</v>
      </c>
      <c r="BA3124">
        <v>1</v>
      </c>
      <c r="BB3124" t="str">
        <f t="shared" si="1250"/>
        <v xml:space="preserve">N607SR  </v>
      </c>
      <c r="BC3124">
        <v>1</v>
      </c>
      <c r="BE3124">
        <v>0</v>
      </c>
      <c r="BF3124">
        <v>0</v>
      </c>
      <c r="BG3124">
        <v>0</v>
      </c>
      <c r="BH3124">
        <v>2175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 t="shared" si="1284"/>
        <v>06:21:01.069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6</v>
      </c>
      <c r="CP3124" t="s">
        <v>119</v>
      </c>
      <c r="CQ3124">
        <v>465</v>
      </c>
      <c r="CR3124">
        <v>0</v>
      </c>
      <c r="CW3124">
        <v>4729398</v>
      </c>
      <c r="CY3124">
        <v>1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 t="shared" si="1281"/>
        <v>08/29/2020 06:20:57.853</v>
      </c>
      <c r="C3125" t="str">
        <f t="shared" si="1248"/>
        <v>FFDFD3C0</v>
      </c>
      <c r="D3125" t="s">
        <v>121</v>
      </c>
      <c r="E3125">
        <v>13</v>
      </c>
      <c r="F3125">
        <v>1013</v>
      </c>
      <c r="G3125" t="s">
        <v>122</v>
      </c>
      <c r="J3125" t="s">
        <v>123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282"/>
        <v>06:21:01.063</v>
      </c>
      <c r="T3125" t="str">
        <f t="shared" si="1283"/>
        <v>06:21:00.563</v>
      </c>
      <c r="U3125" t="str">
        <f t="shared" si="1249"/>
        <v>A7E2E0</v>
      </c>
      <c r="V3125">
        <v>0</v>
      </c>
      <c r="W3125">
        <v>0</v>
      </c>
      <c r="X3125">
        <v>1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0</v>
      </c>
      <c r="AI3125" t="s">
        <v>1514</v>
      </c>
      <c r="AJ3125">
        <v>38.853749999999998</v>
      </c>
      <c r="AK3125" t="s">
        <v>1515</v>
      </c>
      <c r="AL3125">
        <v>-87.608027000000007</v>
      </c>
      <c r="AM3125">
        <v>100</v>
      </c>
      <c r="AN3125">
        <v>2400</v>
      </c>
      <c r="AO3125" t="s">
        <v>118</v>
      </c>
      <c r="AP3125">
        <v>16</v>
      </c>
      <c r="AQ3125">
        <v>-105</v>
      </c>
      <c r="AR3125">
        <v>-64</v>
      </c>
      <c r="AZ3125">
        <v>4552</v>
      </c>
      <c r="BA3125">
        <v>1</v>
      </c>
      <c r="BB3125" t="str">
        <f t="shared" si="1250"/>
        <v xml:space="preserve">N607SR  </v>
      </c>
      <c r="BC3125">
        <v>1</v>
      </c>
      <c r="BE3125">
        <v>0</v>
      </c>
      <c r="BF3125">
        <v>0</v>
      </c>
      <c r="BG3125">
        <v>0</v>
      </c>
      <c r="BH3125">
        <v>2175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 t="shared" si="1284"/>
        <v>06:21:01.069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6</v>
      </c>
      <c r="CP3125" t="s">
        <v>119</v>
      </c>
      <c r="CQ3125">
        <v>465</v>
      </c>
      <c r="CR3125">
        <v>0</v>
      </c>
      <c r="CW3125">
        <v>4729398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 t="shared" si="1281"/>
        <v>08/29/2020 06:20:57.853</v>
      </c>
      <c r="C3126" t="str">
        <f t="shared" si="1248"/>
        <v>FFDFD3C0</v>
      </c>
      <c r="D3126" t="s">
        <v>128</v>
      </c>
      <c r="E3126">
        <v>5</v>
      </c>
      <c r="H3126">
        <v>241</v>
      </c>
      <c r="I3126" t="s">
        <v>129</v>
      </c>
      <c r="J3126" t="s">
        <v>130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282"/>
        <v>06:21:01.063</v>
      </c>
      <c r="T3126" t="str">
        <f t="shared" si="1283"/>
        <v>06:21:00.563</v>
      </c>
      <c r="U3126" t="str">
        <f t="shared" si="1249"/>
        <v>A7E2E0</v>
      </c>
      <c r="V3126">
        <v>0</v>
      </c>
      <c r="W3126">
        <v>0</v>
      </c>
      <c r="X3126">
        <v>1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0</v>
      </c>
      <c r="AI3126" t="s">
        <v>1514</v>
      </c>
      <c r="AJ3126">
        <v>38.853749999999998</v>
      </c>
      <c r="AK3126" t="s">
        <v>1515</v>
      </c>
      <c r="AL3126">
        <v>-87.608027000000007</v>
      </c>
      <c r="AM3126">
        <v>100</v>
      </c>
      <c r="AN3126">
        <v>2400</v>
      </c>
      <c r="AO3126" t="s">
        <v>118</v>
      </c>
      <c r="AP3126">
        <v>16</v>
      </c>
      <c r="AQ3126">
        <v>-105</v>
      </c>
      <c r="AR3126">
        <v>-64</v>
      </c>
      <c r="AZ3126">
        <v>4552</v>
      </c>
      <c r="BA3126">
        <v>1</v>
      </c>
      <c r="BB3126" t="str">
        <f t="shared" si="1250"/>
        <v xml:space="preserve">N607SR  </v>
      </c>
      <c r="BC3126">
        <v>1</v>
      </c>
      <c r="BE3126">
        <v>0</v>
      </c>
      <c r="BF3126">
        <v>0</v>
      </c>
      <c r="BG3126">
        <v>0</v>
      </c>
      <c r="BH3126">
        <v>2175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 t="shared" si="1284"/>
        <v>06:21:01.069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6</v>
      </c>
      <c r="CP3126" t="s">
        <v>119</v>
      </c>
      <c r="CQ3126">
        <v>465</v>
      </c>
      <c r="CR3126">
        <v>0</v>
      </c>
      <c r="CW3126">
        <v>4729398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 t="shared" si="1281"/>
        <v>08/29/2020 06:20:57.853</v>
      </c>
      <c r="C3127" t="str">
        <f t="shared" si="1248"/>
        <v>FFDFD3C0</v>
      </c>
      <c r="D3127" t="s">
        <v>121</v>
      </c>
      <c r="E3127">
        <v>10</v>
      </c>
      <c r="F3127">
        <v>1010</v>
      </c>
      <c r="G3127" t="s">
        <v>114</v>
      </c>
      <c r="J3127" t="s">
        <v>123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282"/>
        <v>06:21:01.063</v>
      </c>
      <c r="T3127" t="str">
        <f t="shared" si="1283"/>
        <v>06:21:00.563</v>
      </c>
      <c r="U3127" t="str">
        <f t="shared" si="1249"/>
        <v>A7E2E0</v>
      </c>
      <c r="V3127">
        <v>0</v>
      </c>
      <c r="W3127">
        <v>0</v>
      </c>
      <c r="X3127">
        <v>1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0</v>
      </c>
      <c r="AI3127" t="s">
        <v>1514</v>
      </c>
      <c r="AJ3127">
        <v>38.853749999999998</v>
      </c>
      <c r="AK3127" t="s">
        <v>1515</v>
      </c>
      <c r="AL3127">
        <v>-87.608027000000007</v>
      </c>
      <c r="AM3127">
        <v>100</v>
      </c>
      <c r="AN3127">
        <v>2400</v>
      </c>
      <c r="AO3127" t="s">
        <v>118</v>
      </c>
      <c r="AP3127">
        <v>16</v>
      </c>
      <c r="AQ3127">
        <v>-105</v>
      </c>
      <c r="AR3127">
        <v>-64</v>
      </c>
      <c r="AZ3127">
        <v>4552</v>
      </c>
      <c r="BA3127">
        <v>1</v>
      </c>
      <c r="BB3127" t="str">
        <f t="shared" si="1250"/>
        <v xml:space="preserve">N607SR  </v>
      </c>
      <c r="BC3127">
        <v>1</v>
      </c>
      <c r="BE3127">
        <v>0</v>
      </c>
      <c r="BF3127">
        <v>0</v>
      </c>
      <c r="BG3127">
        <v>0</v>
      </c>
      <c r="BH3127">
        <v>2175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 t="shared" si="1284"/>
        <v>06:21:01.069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6</v>
      </c>
      <c r="CP3127" t="s">
        <v>119</v>
      </c>
      <c r="CQ3127">
        <v>465</v>
      </c>
      <c r="CR3127">
        <v>0</v>
      </c>
      <c r="CW3127">
        <v>4729398</v>
      </c>
      <c r="CY3127">
        <v>1</v>
      </c>
      <c r="CZ3127">
        <v>0</v>
      </c>
      <c r="DA3127">
        <v>1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 t="shared" si="1281"/>
        <v>08/29/2020 06:20:57.853</v>
      </c>
      <c r="C3128" t="str">
        <f t="shared" si="1248"/>
        <v>FFDFD3C0</v>
      </c>
      <c r="D3128" t="s">
        <v>121</v>
      </c>
      <c r="E3128">
        <v>11</v>
      </c>
      <c r="F3128">
        <v>1011</v>
      </c>
      <c r="G3128" t="s">
        <v>125</v>
      </c>
      <c r="J3128" t="s">
        <v>123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282"/>
        <v>06:21:01.063</v>
      </c>
      <c r="T3128" t="str">
        <f t="shared" si="1283"/>
        <v>06:21:00.563</v>
      </c>
      <c r="U3128" t="str">
        <f t="shared" si="1249"/>
        <v>A7E2E0</v>
      </c>
      <c r="V3128">
        <v>0</v>
      </c>
      <c r="W3128">
        <v>0</v>
      </c>
      <c r="X3128">
        <v>1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0</v>
      </c>
      <c r="AI3128" t="s">
        <v>1514</v>
      </c>
      <c r="AJ3128">
        <v>38.853749999999998</v>
      </c>
      <c r="AK3128" t="s">
        <v>1515</v>
      </c>
      <c r="AL3128">
        <v>-87.608027000000007</v>
      </c>
      <c r="AM3128">
        <v>100</v>
      </c>
      <c r="AN3128">
        <v>2400</v>
      </c>
      <c r="AO3128" t="s">
        <v>118</v>
      </c>
      <c r="AP3128">
        <v>16</v>
      </c>
      <c r="AQ3128">
        <v>-105</v>
      </c>
      <c r="AR3128">
        <v>-64</v>
      </c>
      <c r="AZ3128">
        <v>4552</v>
      </c>
      <c r="BA3128">
        <v>1</v>
      </c>
      <c r="BB3128" t="str">
        <f t="shared" si="1250"/>
        <v xml:space="preserve">N607SR  </v>
      </c>
      <c r="BC3128">
        <v>1</v>
      </c>
      <c r="BE3128">
        <v>0</v>
      </c>
      <c r="BF3128">
        <v>0</v>
      </c>
      <c r="BG3128">
        <v>0</v>
      </c>
      <c r="BH3128">
        <v>2175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 t="shared" si="1284"/>
        <v>06:21:01.069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5</v>
      </c>
      <c r="CP3128" t="s">
        <v>119</v>
      </c>
      <c r="CQ3128">
        <v>177</v>
      </c>
      <c r="CR3128">
        <v>2</v>
      </c>
      <c r="CW3128">
        <v>1690957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 t="shared" ref="A3129:A3134" si="1285">"08/29/2020 06:20:58.690"</f>
        <v>08/29/2020 06:20:58.690</v>
      </c>
      <c r="C3129" t="str">
        <f t="shared" si="1248"/>
        <v>FFDFD3C0</v>
      </c>
      <c r="D3129" t="s">
        <v>121</v>
      </c>
      <c r="E3129">
        <v>10</v>
      </c>
      <c r="F3129">
        <v>1010</v>
      </c>
      <c r="G3129" t="s">
        <v>114</v>
      </c>
      <c r="J3129" t="s">
        <v>123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ref="S3129:S3134" si="1286">"06:21:01.938"</f>
        <v>06:21:01.938</v>
      </c>
      <c r="T3129" t="str">
        <f t="shared" ref="T3129:T3134" si="1287">"06:21:01.537"</f>
        <v>06:21:01.537</v>
      </c>
      <c r="U3129" t="str">
        <f t="shared" si="1249"/>
        <v>A7E2E0</v>
      </c>
      <c r="V3129">
        <v>0</v>
      </c>
      <c r="W3129">
        <v>0</v>
      </c>
      <c r="X3129">
        <v>1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0</v>
      </c>
      <c r="AI3129" t="s">
        <v>1516</v>
      </c>
      <c r="AJ3129">
        <v>38.853343000000002</v>
      </c>
      <c r="AK3129" t="s">
        <v>1236</v>
      </c>
      <c r="AL3129">
        <v>-87.607899000000003</v>
      </c>
      <c r="AM3129">
        <v>100</v>
      </c>
      <c r="AN3129">
        <v>2400</v>
      </c>
      <c r="AO3129" t="s">
        <v>118</v>
      </c>
      <c r="AP3129">
        <v>17</v>
      </c>
      <c r="AQ3129">
        <v>-105</v>
      </c>
      <c r="AR3129">
        <v>-256</v>
      </c>
      <c r="AZ3129">
        <v>4552</v>
      </c>
      <c r="BA3129">
        <v>1</v>
      </c>
      <c r="BB3129" t="str">
        <f t="shared" si="1250"/>
        <v xml:space="preserve">N607SR  </v>
      </c>
      <c r="BC3129">
        <v>1</v>
      </c>
      <c r="BE3129">
        <v>0</v>
      </c>
      <c r="BF3129">
        <v>0</v>
      </c>
      <c r="BG3129">
        <v>0</v>
      </c>
      <c r="BH3129">
        <v>2175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 t="shared" ref="BW3129:BW3134" si="1288">"06:21:01.944"</f>
        <v>06:21:01.944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6</v>
      </c>
      <c r="CP3129" t="s">
        <v>119</v>
      </c>
      <c r="CQ3129">
        <v>465</v>
      </c>
      <c r="CR3129">
        <v>0</v>
      </c>
      <c r="CW3129">
        <v>4729425</v>
      </c>
      <c r="CY3129">
        <v>1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 t="shared" si="1285"/>
        <v>08/29/2020 06:20:58.690</v>
      </c>
      <c r="C3130" t="str">
        <f t="shared" si="1248"/>
        <v>FFDFD3C0</v>
      </c>
      <c r="D3130" t="s">
        <v>121</v>
      </c>
      <c r="E3130">
        <v>11</v>
      </c>
      <c r="F3130">
        <v>1011</v>
      </c>
      <c r="G3130" t="s">
        <v>125</v>
      </c>
      <c r="J3130" t="s">
        <v>123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si="1286"/>
        <v>06:21:01.938</v>
      </c>
      <c r="T3130" t="str">
        <f t="shared" si="1287"/>
        <v>06:21:01.537</v>
      </c>
      <c r="U3130" t="str">
        <f t="shared" si="1249"/>
        <v>A7E2E0</v>
      </c>
      <c r="V3130">
        <v>0</v>
      </c>
      <c r="W3130">
        <v>0</v>
      </c>
      <c r="X3130">
        <v>1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0</v>
      </c>
      <c r="AI3130" t="s">
        <v>1516</v>
      </c>
      <c r="AJ3130">
        <v>38.853343000000002</v>
      </c>
      <c r="AK3130" t="s">
        <v>1236</v>
      </c>
      <c r="AL3130">
        <v>-87.607899000000003</v>
      </c>
      <c r="AM3130">
        <v>100</v>
      </c>
      <c r="AN3130">
        <v>2400</v>
      </c>
      <c r="AO3130" t="s">
        <v>118</v>
      </c>
      <c r="AP3130">
        <v>17</v>
      </c>
      <c r="AQ3130">
        <v>-105</v>
      </c>
      <c r="AR3130">
        <v>-256</v>
      </c>
      <c r="AZ3130">
        <v>4552</v>
      </c>
      <c r="BA3130">
        <v>1</v>
      </c>
      <c r="BB3130" t="str">
        <f t="shared" si="1250"/>
        <v xml:space="preserve">N607SR  </v>
      </c>
      <c r="BC3130">
        <v>1</v>
      </c>
      <c r="BE3130">
        <v>0</v>
      </c>
      <c r="BF3130">
        <v>0</v>
      </c>
      <c r="BG3130">
        <v>0</v>
      </c>
      <c r="BH3130">
        <v>2175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 t="shared" si="1288"/>
        <v>06:21:01.944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5</v>
      </c>
      <c r="CP3130" t="s">
        <v>119</v>
      </c>
      <c r="CQ3130">
        <v>177</v>
      </c>
      <c r="CR3130">
        <v>2</v>
      </c>
      <c r="CW3130">
        <v>1691100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 t="shared" si="1285"/>
        <v>08/29/2020 06:20:58.690</v>
      </c>
      <c r="C3131" t="str">
        <f t="shared" si="1248"/>
        <v>FFDFD3C0</v>
      </c>
      <c r="D3131" t="s">
        <v>939</v>
      </c>
      <c r="E3131">
        <v>10</v>
      </c>
      <c r="H3131">
        <v>79</v>
      </c>
      <c r="I3131" t="s">
        <v>940</v>
      </c>
      <c r="J3131" t="s">
        <v>130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si="1286"/>
        <v>06:21:01.938</v>
      </c>
      <c r="T3131" t="str">
        <f t="shared" si="1287"/>
        <v>06:21:01.537</v>
      </c>
      <c r="U3131" t="str">
        <f t="shared" si="1249"/>
        <v>A7E2E0</v>
      </c>
      <c r="V3131">
        <v>0</v>
      </c>
      <c r="W3131">
        <v>0</v>
      </c>
      <c r="X3131">
        <v>1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0</v>
      </c>
      <c r="AI3131" t="s">
        <v>1516</v>
      </c>
      <c r="AJ3131">
        <v>38.853343000000002</v>
      </c>
      <c r="AK3131" t="s">
        <v>1236</v>
      </c>
      <c r="AL3131">
        <v>-87.607899000000003</v>
      </c>
      <c r="AM3131">
        <v>100</v>
      </c>
      <c r="AN3131">
        <v>2400</v>
      </c>
      <c r="AO3131" t="s">
        <v>118</v>
      </c>
      <c r="AP3131">
        <v>17</v>
      </c>
      <c r="AQ3131">
        <v>-105</v>
      </c>
      <c r="AR3131">
        <v>-256</v>
      </c>
      <c r="AZ3131">
        <v>4552</v>
      </c>
      <c r="BA3131">
        <v>1</v>
      </c>
      <c r="BB3131" t="str">
        <f t="shared" si="1250"/>
        <v xml:space="preserve">N607SR  </v>
      </c>
      <c r="BC3131">
        <v>1</v>
      </c>
      <c r="BE3131">
        <v>0</v>
      </c>
      <c r="BF3131">
        <v>0</v>
      </c>
      <c r="BG3131">
        <v>0</v>
      </c>
      <c r="BH3131">
        <v>2175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 t="shared" si="1288"/>
        <v>06:21:01.944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6</v>
      </c>
      <c r="CP3131" t="s">
        <v>119</v>
      </c>
      <c r="CQ3131">
        <v>465</v>
      </c>
      <c r="CR3131">
        <v>0</v>
      </c>
      <c r="CW3131">
        <v>4729425</v>
      </c>
      <c r="CY3131">
        <v>1</v>
      </c>
      <c r="CZ3131">
        <v>0</v>
      </c>
      <c r="DA3131">
        <v>1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 t="shared" si="1285"/>
        <v>08/29/2020 06:20:58.690</v>
      </c>
      <c r="C3132" t="str">
        <f t="shared" si="1248"/>
        <v>FFDFD3C0</v>
      </c>
      <c r="D3132" t="s">
        <v>113</v>
      </c>
      <c r="E3132">
        <v>5</v>
      </c>
      <c r="H3132">
        <v>163</v>
      </c>
      <c r="I3132" t="s">
        <v>114</v>
      </c>
      <c r="J3132" t="s">
        <v>115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286"/>
        <v>06:21:01.938</v>
      </c>
      <c r="T3132" t="str">
        <f t="shared" si="1287"/>
        <v>06:21:01.537</v>
      </c>
      <c r="U3132" t="str">
        <f t="shared" si="1249"/>
        <v>A7E2E0</v>
      </c>
      <c r="V3132">
        <v>0</v>
      </c>
      <c r="W3132">
        <v>0</v>
      </c>
      <c r="X3132">
        <v>1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0</v>
      </c>
      <c r="AI3132" t="s">
        <v>1516</v>
      </c>
      <c r="AJ3132">
        <v>38.853343000000002</v>
      </c>
      <c r="AK3132" t="s">
        <v>1236</v>
      </c>
      <c r="AL3132">
        <v>-87.607899000000003</v>
      </c>
      <c r="AM3132">
        <v>100</v>
      </c>
      <c r="AN3132">
        <v>2400</v>
      </c>
      <c r="AO3132" t="s">
        <v>118</v>
      </c>
      <c r="AP3132">
        <v>17</v>
      </c>
      <c r="AQ3132">
        <v>-105</v>
      </c>
      <c r="AR3132">
        <v>-256</v>
      </c>
      <c r="AZ3132">
        <v>4552</v>
      </c>
      <c r="BA3132">
        <v>1</v>
      </c>
      <c r="BB3132" t="str">
        <f t="shared" si="1250"/>
        <v xml:space="preserve">N607SR  </v>
      </c>
      <c r="BC3132">
        <v>1</v>
      </c>
      <c r="BE3132">
        <v>0</v>
      </c>
      <c r="BF3132">
        <v>0</v>
      </c>
      <c r="BG3132">
        <v>0</v>
      </c>
      <c r="BH3132">
        <v>2175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 t="shared" si="1288"/>
        <v>06:21:01.944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6</v>
      </c>
      <c r="CP3132" t="s">
        <v>119</v>
      </c>
      <c r="CQ3132">
        <v>465</v>
      </c>
      <c r="CR3132">
        <v>0</v>
      </c>
      <c r="CW3132">
        <v>4729425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 t="shared" si="1285"/>
        <v>08/29/2020 06:20:58.690</v>
      </c>
      <c r="C3133" t="str">
        <f t="shared" si="1248"/>
        <v>FFDFD3C0</v>
      </c>
      <c r="D3133" t="s">
        <v>121</v>
      </c>
      <c r="E3133">
        <v>13</v>
      </c>
      <c r="F3133">
        <v>1013</v>
      </c>
      <c r="G3133" t="s">
        <v>122</v>
      </c>
      <c r="J3133" t="s">
        <v>123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286"/>
        <v>06:21:01.938</v>
      </c>
      <c r="T3133" t="str">
        <f t="shared" si="1287"/>
        <v>06:21:01.537</v>
      </c>
      <c r="U3133" t="str">
        <f t="shared" si="1249"/>
        <v>A7E2E0</v>
      </c>
      <c r="V3133">
        <v>0</v>
      </c>
      <c r="W3133">
        <v>0</v>
      </c>
      <c r="X3133">
        <v>1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0</v>
      </c>
      <c r="AI3133" t="s">
        <v>1516</v>
      </c>
      <c r="AJ3133">
        <v>38.853343000000002</v>
      </c>
      <c r="AK3133" t="s">
        <v>1236</v>
      </c>
      <c r="AL3133">
        <v>-87.607899000000003</v>
      </c>
      <c r="AM3133">
        <v>100</v>
      </c>
      <c r="AN3133">
        <v>2400</v>
      </c>
      <c r="AO3133" t="s">
        <v>118</v>
      </c>
      <c r="AP3133">
        <v>17</v>
      </c>
      <c r="AQ3133">
        <v>-105</v>
      </c>
      <c r="AR3133">
        <v>-256</v>
      </c>
      <c r="AZ3133">
        <v>4552</v>
      </c>
      <c r="BA3133">
        <v>1</v>
      </c>
      <c r="BB3133" t="str">
        <f t="shared" si="1250"/>
        <v xml:space="preserve">N607SR  </v>
      </c>
      <c r="BC3133">
        <v>1</v>
      </c>
      <c r="BE3133">
        <v>0</v>
      </c>
      <c r="BF3133">
        <v>0</v>
      </c>
      <c r="BG3133">
        <v>0</v>
      </c>
      <c r="BH3133">
        <v>2175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 t="shared" si="1288"/>
        <v>06:21:01.944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6</v>
      </c>
      <c r="CP3133" t="s">
        <v>119</v>
      </c>
      <c r="CQ3133">
        <v>465</v>
      </c>
      <c r="CR3133">
        <v>0</v>
      </c>
      <c r="CW3133">
        <v>4729425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 t="shared" si="1285"/>
        <v>08/29/2020 06:20:58.690</v>
      </c>
      <c r="C3134" t="str">
        <f t="shared" si="1248"/>
        <v>FFDFD3C0</v>
      </c>
      <c r="D3134" t="s">
        <v>128</v>
      </c>
      <c r="E3134">
        <v>5</v>
      </c>
      <c r="H3134">
        <v>241</v>
      </c>
      <c r="I3134" t="s">
        <v>129</v>
      </c>
      <c r="J3134" t="s">
        <v>130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286"/>
        <v>06:21:01.938</v>
      </c>
      <c r="T3134" t="str">
        <f t="shared" si="1287"/>
        <v>06:21:01.537</v>
      </c>
      <c r="U3134" t="str">
        <f t="shared" si="1249"/>
        <v>A7E2E0</v>
      </c>
      <c r="V3134">
        <v>0</v>
      </c>
      <c r="W3134">
        <v>0</v>
      </c>
      <c r="X3134">
        <v>1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0</v>
      </c>
      <c r="AI3134" t="s">
        <v>1516</v>
      </c>
      <c r="AJ3134">
        <v>38.853343000000002</v>
      </c>
      <c r="AK3134" t="s">
        <v>1236</v>
      </c>
      <c r="AL3134">
        <v>-87.607899000000003</v>
      </c>
      <c r="AM3134">
        <v>100</v>
      </c>
      <c r="AN3134">
        <v>2400</v>
      </c>
      <c r="AO3134" t="s">
        <v>118</v>
      </c>
      <c r="AP3134">
        <v>17</v>
      </c>
      <c r="AQ3134">
        <v>-105</v>
      </c>
      <c r="AR3134">
        <v>-256</v>
      </c>
      <c r="AZ3134">
        <v>4552</v>
      </c>
      <c r="BA3134">
        <v>1</v>
      </c>
      <c r="BB3134" t="str">
        <f t="shared" si="1250"/>
        <v xml:space="preserve">N607SR  </v>
      </c>
      <c r="BC3134">
        <v>1</v>
      </c>
      <c r="BE3134">
        <v>0</v>
      </c>
      <c r="BF3134">
        <v>0</v>
      </c>
      <c r="BG3134">
        <v>0</v>
      </c>
      <c r="BH3134">
        <v>2175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 t="shared" si="1288"/>
        <v>06:21:01.944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6</v>
      </c>
      <c r="CP3134" t="s">
        <v>119</v>
      </c>
      <c r="CQ3134">
        <v>465</v>
      </c>
      <c r="CR3134">
        <v>0</v>
      </c>
      <c r="CW3134">
        <v>4729425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 t="shared" ref="A3135:A3140" si="1289">"08/29/2020 06:20:59.686"</f>
        <v>08/29/2020 06:20:59.686</v>
      </c>
      <c r="C3135" t="str">
        <f t="shared" si="1248"/>
        <v>FFDFD3C0</v>
      </c>
      <c r="D3135" t="s">
        <v>121</v>
      </c>
      <c r="E3135">
        <v>13</v>
      </c>
      <c r="F3135">
        <v>1013</v>
      </c>
      <c r="G3135" t="s">
        <v>122</v>
      </c>
      <c r="J3135" t="s">
        <v>123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ref="S3135:S3140" si="1290">"06:21:02.930"</f>
        <v>06:21:02.930</v>
      </c>
      <c r="T3135" t="str">
        <f t="shared" ref="T3135:T3140" si="1291">"06:21:02.530"</f>
        <v>06:21:02.530</v>
      </c>
      <c r="U3135" t="str">
        <f t="shared" si="1249"/>
        <v>A7E2E0</v>
      </c>
      <c r="V3135">
        <v>0</v>
      </c>
      <c r="W3135">
        <v>0</v>
      </c>
      <c r="X3135">
        <v>1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0</v>
      </c>
      <c r="AI3135" t="s">
        <v>1517</v>
      </c>
      <c r="AJ3135">
        <v>38.852870000000003</v>
      </c>
      <c r="AK3135" t="s">
        <v>1518</v>
      </c>
      <c r="AL3135">
        <v>-87.607855999999998</v>
      </c>
      <c r="AM3135">
        <v>100</v>
      </c>
      <c r="AN3135">
        <v>2400</v>
      </c>
      <c r="AO3135" t="s">
        <v>118</v>
      </c>
      <c r="AP3135">
        <v>17</v>
      </c>
      <c r="AQ3135">
        <v>-106</v>
      </c>
      <c r="AR3135">
        <v>-448</v>
      </c>
      <c r="AZ3135">
        <v>4552</v>
      </c>
      <c r="BA3135">
        <v>1</v>
      </c>
      <c r="BB3135" t="str">
        <f t="shared" si="1250"/>
        <v xml:space="preserve">N607SR  </v>
      </c>
      <c r="BC3135">
        <v>1</v>
      </c>
      <c r="BE3135">
        <v>0</v>
      </c>
      <c r="BF3135">
        <v>0</v>
      </c>
      <c r="BG3135">
        <v>0</v>
      </c>
      <c r="BH3135">
        <v>2175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 t="shared" ref="BW3135:BW3140" si="1292">"06:21:02.933"</f>
        <v>06:21:02.933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6</v>
      </c>
      <c r="CP3135" t="s">
        <v>119</v>
      </c>
      <c r="CQ3135">
        <v>465</v>
      </c>
      <c r="CR3135">
        <v>0</v>
      </c>
      <c r="CW3135">
        <v>4729451</v>
      </c>
      <c r="CY3135">
        <v>1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 t="shared" si="1289"/>
        <v>08/29/2020 06:20:59.686</v>
      </c>
      <c r="C3136" t="str">
        <f t="shared" si="1248"/>
        <v>FFDFD3C0</v>
      </c>
      <c r="D3136" t="s">
        <v>128</v>
      </c>
      <c r="E3136">
        <v>5</v>
      </c>
      <c r="H3136">
        <v>241</v>
      </c>
      <c r="I3136" t="s">
        <v>129</v>
      </c>
      <c r="J3136" t="s">
        <v>130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290"/>
        <v>06:21:02.930</v>
      </c>
      <c r="T3136" t="str">
        <f t="shared" si="1291"/>
        <v>06:21:02.530</v>
      </c>
      <c r="U3136" t="str">
        <f t="shared" si="1249"/>
        <v>A7E2E0</v>
      </c>
      <c r="V3136">
        <v>0</v>
      </c>
      <c r="W3136">
        <v>0</v>
      </c>
      <c r="X3136">
        <v>1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0</v>
      </c>
      <c r="AI3136" t="s">
        <v>1517</v>
      </c>
      <c r="AJ3136">
        <v>38.852870000000003</v>
      </c>
      <c r="AK3136" t="s">
        <v>1518</v>
      </c>
      <c r="AL3136">
        <v>-87.607855999999998</v>
      </c>
      <c r="AM3136">
        <v>100</v>
      </c>
      <c r="AN3136">
        <v>2400</v>
      </c>
      <c r="AO3136" t="s">
        <v>118</v>
      </c>
      <c r="AP3136">
        <v>17</v>
      </c>
      <c r="AQ3136">
        <v>-106</v>
      </c>
      <c r="AR3136">
        <v>-448</v>
      </c>
      <c r="AZ3136">
        <v>4552</v>
      </c>
      <c r="BA3136">
        <v>1</v>
      </c>
      <c r="BB3136" t="str">
        <f t="shared" si="1250"/>
        <v xml:space="preserve">N607SR  </v>
      </c>
      <c r="BC3136">
        <v>1</v>
      </c>
      <c r="BE3136">
        <v>0</v>
      </c>
      <c r="BF3136">
        <v>0</v>
      </c>
      <c r="BG3136">
        <v>0</v>
      </c>
      <c r="BH3136">
        <v>2175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 t="shared" si="1292"/>
        <v>06:21:02.933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6</v>
      </c>
      <c r="CP3136" t="s">
        <v>119</v>
      </c>
      <c r="CQ3136">
        <v>465</v>
      </c>
      <c r="CR3136">
        <v>0</v>
      </c>
      <c r="CW3136">
        <v>4729451</v>
      </c>
      <c r="CY3136">
        <v>1</v>
      </c>
      <c r="CZ3136">
        <v>0</v>
      </c>
      <c r="DA3136">
        <v>1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 t="shared" si="1289"/>
        <v>08/29/2020 06:20:59.686</v>
      </c>
      <c r="C3137" t="str">
        <f t="shared" si="1248"/>
        <v>FFDFD3C0</v>
      </c>
      <c r="D3137" t="s">
        <v>121</v>
      </c>
      <c r="E3137">
        <v>10</v>
      </c>
      <c r="F3137">
        <v>1010</v>
      </c>
      <c r="G3137" t="s">
        <v>114</v>
      </c>
      <c r="J3137" t="s">
        <v>123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290"/>
        <v>06:21:02.930</v>
      </c>
      <c r="T3137" t="str">
        <f t="shared" si="1291"/>
        <v>06:21:02.530</v>
      </c>
      <c r="U3137" t="str">
        <f t="shared" si="1249"/>
        <v>A7E2E0</v>
      </c>
      <c r="V3137">
        <v>0</v>
      </c>
      <c r="W3137">
        <v>0</v>
      </c>
      <c r="X3137">
        <v>1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0</v>
      </c>
      <c r="AI3137" t="s">
        <v>1517</v>
      </c>
      <c r="AJ3137">
        <v>38.852870000000003</v>
      </c>
      <c r="AK3137" t="s">
        <v>1518</v>
      </c>
      <c r="AL3137">
        <v>-87.607855999999998</v>
      </c>
      <c r="AM3137">
        <v>100</v>
      </c>
      <c r="AN3137">
        <v>2400</v>
      </c>
      <c r="AO3137" t="s">
        <v>118</v>
      </c>
      <c r="AP3137">
        <v>17</v>
      </c>
      <c r="AQ3137">
        <v>-106</v>
      </c>
      <c r="AR3137">
        <v>-448</v>
      </c>
      <c r="AZ3137">
        <v>4552</v>
      </c>
      <c r="BA3137">
        <v>1</v>
      </c>
      <c r="BB3137" t="str">
        <f t="shared" si="1250"/>
        <v xml:space="preserve">N607SR  </v>
      </c>
      <c r="BC3137">
        <v>1</v>
      </c>
      <c r="BE3137">
        <v>0</v>
      </c>
      <c r="BF3137">
        <v>0</v>
      </c>
      <c r="BG3137">
        <v>0</v>
      </c>
      <c r="BH3137">
        <v>2175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 t="shared" si="1292"/>
        <v>06:21:02.933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6</v>
      </c>
      <c r="CP3137" t="s">
        <v>119</v>
      </c>
      <c r="CQ3137">
        <v>465</v>
      </c>
      <c r="CR3137">
        <v>0</v>
      </c>
      <c r="CW3137">
        <v>4729451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 t="shared" si="1289"/>
        <v>08/29/2020 06:20:59.686</v>
      </c>
      <c r="C3138" t="str">
        <f t="shared" ref="C3138:C3201" si="1293">"FFDFD3C0"</f>
        <v>FFDFD3C0</v>
      </c>
      <c r="D3138" t="s">
        <v>939</v>
      </c>
      <c r="E3138">
        <v>10</v>
      </c>
      <c r="H3138">
        <v>79</v>
      </c>
      <c r="I3138" t="s">
        <v>940</v>
      </c>
      <c r="J3138" t="s">
        <v>130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si="1290"/>
        <v>06:21:02.930</v>
      </c>
      <c r="T3138" t="str">
        <f t="shared" si="1291"/>
        <v>06:21:02.530</v>
      </c>
      <c r="U3138" t="str">
        <f t="shared" ref="U3138:U3201" si="1294">"A7E2E0"</f>
        <v>A7E2E0</v>
      </c>
      <c r="V3138">
        <v>0</v>
      </c>
      <c r="W3138">
        <v>0</v>
      </c>
      <c r="X3138">
        <v>1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0</v>
      </c>
      <c r="AI3138" t="s">
        <v>1517</v>
      </c>
      <c r="AJ3138">
        <v>38.852870000000003</v>
      </c>
      <c r="AK3138" t="s">
        <v>1518</v>
      </c>
      <c r="AL3138">
        <v>-87.607855999999998</v>
      </c>
      <c r="AM3138">
        <v>100</v>
      </c>
      <c r="AN3138">
        <v>2400</v>
      </c>
      <c r="AO3138" t="s">
        <v>118</v>
      </c>
      <c r="AP3138">
        <v>17</v>
      </c>
      <c r="AQ3138">
        <v>-106</v>
      </c>
      <c r="AR3138">
        <v>-448</v>
      </c>
      <c r="AZ3138">
        <v>4552</v>
      </c>
      <c r="BA3138">
        <v>1</v>
      </c>
      <c r="BB3138" t="str">
        <f t="shared" ref="BB3138:BB3201" si="1295">"N607SR  "</f>
        <v xml:space="preserve">N607SR  </v>
      </c>
      <c r="BC3138">
        <v>1</v>
      </c>
      <c r="BE3138">
        <v>0</v>
      </c>
      <c r="BF3138">
        <v>0</v>
      </c>
      <c r="BG3138">
        <v>0</v>
      </c>
      <c r="BH3138">
        <v>2175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 t="shared" si="1292"/>
        <v>06:21:02.933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6</v>
      </c>
      <c r="CP3138" t="s">
        <v>119</v>
      </c>
      <c r="CQ3138">
        <v>465</v>
      </c>
      <c r="CR3138">
        <v>0</v>
      </c>
      <c r="CW3138">
        <v>4729451</v>
      </c>
      <c r="CY3138">
        <v>1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 t="shared" si="1289"/>
        <v>08/29/2020 06:20:59.686</v>
      </c>
      <c r="C3139" t="str">
        <f t="shared" si="1293"/>
        <v>FFDFD3C0</v>
      </c>
      <c r="D3139" t="s">
        <v>121</v>
      </c>
      <c r="E3139">
        <v>11</v>
      </c>
      <c r="F3139">
        <v>1011</v>
      </c>
      <c r="G3139" t="s">
        <v>125</v>
      </c>
      <c r="J3139" t="s">
        <v>123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si="1290"/>
        <v>06:21:02.930</v>
      </c>
      <c r="T3139" t="str">
        <f t="shared" si="1291"/>
        <v>06:21:02.530</v>
      </c>
      <c r="U3139" t="str">
        <f t="shared" si="1294"/>
        <v>A7E2E0</v>
      </c>
      <c r="V3139">
        <v>0</v>
      </c>
      <c r="W3139">
        <v>0</v>
      </c>
      <c r="X3139">
        <v>1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0</v>
      </c>
      <c r="AI3139" t="s">
        <v>1517</v>
      </c>
      <c r="AJ3139">
        <v>38.852870000000003</v>
      </c>
      <c r="AK3139" t="s">
        <v>1518</v>
      </c>
      <c r="AL3139">
        <v>-87.607855999999998</v>
      </c>
      <c r="AM3139">
        <v>100</v>
      </c>
      <c r="AN3139">
        <v>2400</v>
      </c>
      <c r="AO3139" t="s">
        <v>118</v>
      </c>
      <c r="AP3139">
        <v>17</v>
      </c>
      <c r="AQ3139">
        <v>-106</v>
      </c>
      <c r="AR3139">
        <v>-448</v>
      </c>
      <c r="AZ3139">
        <v>4552</v>
      </c>
      <c r="BA3139">
        <v>1</v>
      </c>
      <c r="BB3139" t="str">
        <f t="shared" si="1295"/>
        <v xml:space="preserve">N607SR  </v>
      </c>
      <c r="BC3139">
        <v>1</v>
      </c>
      <c r="BE3139">
        <v>0</v>
      </c>
      <c r="BF3139">
        <v>0</v>
      </c>
      <c r="BG3139">
        <v>0</v>
      </c>
      <c r="BH3139">
        <v>2175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 t="shared" si="1292"/>
        <v>06:21:02.933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5</v>
      </c>
      <c r="CP3139" t="s">
        <v>119</v>
      </c>
      <c r="CQ3139">
        <v>177</v>
      </c>
      <c r="CR3139">
        <v>2</v>
      </c>
      <c r="CW3139">
        <v>1691279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 t="shared" si="1289"/>
        <v>08/29/2020 06:20:59.686</v>
      </c>
      <c r="C3140" t="str">
        <f t="shared" si="1293"/>
        <v>FFDFD3C0</v>
      </c>
      <c r="D3140" t="s">
        <v>113</v>
      </c>
      <c r="E3140">
        <v>5</v>
      </c>
      <c r="H3140">
        <v>163</v>
      </c>
      <c r="I3140" t="s">
        <v>114</v>
      </c>
      <c r="J3140" t="s">
        <v>115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290"/>
        <v>06:21:02.930</v>
      </c>
      <c r="T3140" t="str">
        <f t="shared" si="1291"/>
        <v>06:21:02.530</v>
      </c>
      <c r="U3140" t="str">
        <f t="shared" si="1294"/>
        <v>A7E2E0</v>
      </c>
      <c r="V3140">
        <v>0</v>
      </c>
      <c r="W3140">
        <v>0</v>
      </c>
      <c r="X3140">
        <v>1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0</v>
      </c>
      <c r="AI3140" t="s">
        <v>1517</v>
      </c>
      <c r="AJ3140">
        <v>38.852870000000003</v>
      </c>
      <c r="AK3140" t="s">
        <v>1518</v>
      </c>
      <c r="AL3140">
        <v>-87.607855999999998</v>
      </c>
      <c r="AM3140">
        <v>100</v>
      </c>
      <c r="AN3140">
        <v>2400</v>
      </c>
      <c r="AO3140" t="s">
        <v>118</v>
      </c>
      <c r="AP3140">
        <v>17</v>
      </c>
      <c r="AQ3140">
        <v>-106</v>
      </c>
      <c r="AR3140">
        <v>-448</v>
      </c>
      <c r="AZ3140">
        <v>4552</v>
      </c>
      <c r="BA3140">
        <v>1</v>
      </c>
      <c r="BB3140" t="str">
        <f t="shared" si="1295"/>
        <v xml:space="preserve">N607SR  </v>
      </c>
      <c r="BC3140">
        <v>1</v>
      </c>
      <c r="BE3140">
        <v>0</v>
      </c>
      <c r="BF3140">
        <v>0</v>
      </c>
      <c r="BG3140">
        <v>0</v>
      </c>
      <c r="BH3140">
        <v>2175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 t="shared" si="1292"/>
        <v>06:21:02.933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6</v>
      </c>
      <c r="CP3140" t="s">
        <v>119</v>
      </c>
      <c r="CQ3140">
        <v>465</v>
      </c>
      <c r="CR3140">
        <v>0</v>
      </c>
      <c r="CW3140">
        <v>4729451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 t="shared" ref="A3141:A3146" si="1296">"08/29/2020 06:21:00.610"</f>
        <v>08/29/2020 06:21:00.610</v>
      </c>
      <c r="C3141" t="str">
        <f t="shared" si="1293"/>
        <v>FFDFD3C0</v>
      </c>
      <c r="D3141" t="s">
        <v>121</v>
      </c>
      <c r="E3141">
        <v>10</v>
      </c>
      <c r="F3141">
        <v>1010</v>
      </c>
      <c r="G3141" t="s">
        <v>114</v>
      </c>
      <c r="J3141" t="s">
        <v>123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ref="S3141:S3146" si="1297">"06:21:03.820"</f>
        <v>06:21:03.820</v>
      </c>
      <c r="T3141" t="str">
        <f t="shared" ref="T3141:T3146" si="1298">"06:21:03.420"</f>
        <v>06:21:03.420</v>
      </c>
      <c r="U3141" t="str">
        <f t="shared" si="1294"/>
        <v>A7E2E0</v>
      </c>
      <c r="V3141">
        <v>0</v>
      </c>
      <c r="W3141">
        <v>0</v>
      </c>
      <c r="X3141">
        <v>1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0</v>
      </c>
      <c r="AI3141" t="s">
        <v>1519</v>
      </c>
      <c r="AJ3141">
        <v>38.852398000000001</v>
      </c>
      <c r="AK3141" t="s">
        <v>1520</v>
      </c>
      <c r="AL3141">
        <v>-87.607726999999997</v>
      </c>
      <c r="AM3141">
        <v>100</v>
      </c>
      <c r="AN3141">
        <v>2400</v>
      </c>
      <c r="AO3141" t="s">
        <v>118</v>
      </c>
      <c r="AP3141">
        <v>17</v>
      </c>
      <c r="AQ3141">
        <v>-106</v>
      </c>
      <c r="AR3141">
        <v>-576</v>
      </c>
      <c r="AZ3141">
        <v>4552</v>
      </c>
      <c r="BA3141">
        <v>1</v>
      </c>
      <c r="BB3141" t="str">
        <f t="shared" si="1295"/>
        <v xml:space="preserve">N607SR  </v>
      </c>
      <c r="BC3141">
        <v>1</v>
      </c>
      <c r="BE3141">
        <v>0</v>
      </c>
      <c r="BF3141">
        <v>0</v>
      </c>
      <c r="BG3141">
        <v>0</v>
      </c>
      <c r="BH3141">
        <v>2175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 t="shared" ref="BW3141:BW3146" si="1299">"06:21:03.828"</f>
        <v>06:21:03.828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6</v>
      </c>
      <c r="CP3141" t="s">
        <v>119</v>
      </c>
      <c r="CQ3141">
        <v>465</v>
      </c>
      <c r="CR3141">
        <v>0</v>
      </c>
      <c r="CW3141">
        <v>4729477</v>
      </c>
      <c r="CY3141">
        <v>1</v>
      </c>
      <c r="CZ3141">
        <v>0</v>
      </c>
      <c r="DA3141">
        <v>0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 t="shared" si="1296"/>
        <v>08/29/2020 06:21:00.610</v>
      </c>
      <c r="C3142" t="str">
        <f t="shared" si="1293"/>
        <v>FFDFD3C0</v>
      </c>
      <c r="D3142" t="s">
        <v>939</v>
      </c>
      <c r="E3142">
        <v>10</v>
      </c>
      <c r="H3142">
        <v>79</v>
      </c>
      <c r="I3142" t="s">
        <v>940</v>
      </c>
      <c r="J3142" t="s">
        <v>130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297"/>
        <v>06:21:03.820</v>
      </c>
      <c r="T3142" t="str">
        <f t="shared" si="1298"/>
        <v>06:21:03.420</v>
      </c>
      <c r="U3142" t="str">
        <f t="shared" si="1294"/>
        <v>A7E2E0</v>
      </c>
      <c r="V3142">
        <v>0</v>
      </c>
      <c r="W3142">
        <v>0</v>
      </c>
      <c r="X3142">
        <v>1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0</v>
      </c>
      <c r="AI3142" t="s">
        <v>1519</v>
      </c>
      <c r="AJ3142">
        <v>38.852398000000001</v>
      </c>
      <c r="AK3142" t="s">
        <v>1520</v>
      </c>
      <c r="AL3142">
        <v>-87.607726999999997</v>
      </c>
      <c r="AM3142">
        <v>100</v>
      </c>
      <c r="AN3142">
        <v>2400</v>
      </c>
      <c r="AO3142" t="s">
        <v>118</v>
      </c>
      <c r="AP3142">
        <v>17</v>
      </c>
      <c r="AQ3142">
        <v>-106</v>
      </c>
      <c r="AR3142">
        <v>-576</v>
      </c>
      <c r="AZ3142">
        <v>4552</v>
      </c>
      <c r="BA3142">
        <v>1</v>
      </c>
      <c r="BB3142" t="str">
        <f t="shared" si="1295"/>
        <v xml:space="preserve">N607SR  </v>
      </c>
      <c r="BC3142">
        <v>1</v>
      </c>
      <c r="BE3142">
        <v>0</v>
      </c>
      <c r="BF3142">
        <v>0</v>
      </c>
      <c r="BG3142">
        <v>0</v>
      </c>
      <c r="BH3142">
        <v>2175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 t="shared" si="1299"/>
        <v>06:21:03.828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6</v>
      </c>
      <c r="CP3142" t="s">
        <v>119</v>
      </c>
      <c r="CQ3142">
        <v>465</v>
      </c>
      <c r="CR3142">
        <v>0</v>
      </c>
      <c r="CW3142">
        <v>4729477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 t="shared" si="1296"/>
        <v>08/29/2020 06:21:00.610</v>
      </c>
      <c r="C3143" t="str">
        <f t="shared" si="1293"/>
        <v>FFDFD3C0</v>
      </c>
      <c r="D3143" t="s">
        <v>121</v>
      </c>
      <c r="E3143">
        <v>11</v>
      </c>
      <c r="F3143">
        <v>1011</v>
      </c>
      <c r="G3143" t="s">
        <v>125</v>
      </c>
      <c r="J3143" t="s">
        <v>123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297"/>
        <v>06:21:03.820</v>
      </c>
      <c r="T3143" t="str">
        <f t="shared" si="1298"/>
        <v>06:21:03.420</v>
      </c>
      <c r="U3143" t="str">
        <f t="shared" si="1294"/>
        <v>A7E2E0</v>
      </c>
      <c r="V3143">
        <v>0</v>
      </c>
      <c r="W3143">
        <v>0</v>
      </c>
      <c r="X3143">
        <v>1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0</v>
      </c>
      <c r="AI3143" t="s">
        <v>1519</v>
      </c>
      <c r="AJ3143">
        <v>38.852398000000001</v>
      </c>
      <c r="AK3143" t="s">
        <v>1520</v>
      </c>
      <c r="AL3143">
        <v>-87.607726999999997</v>
      </c>
      <c r="AM3143">
        <v>100</v>
      </c>
      <c r="AN3143">
        <v>2400</v>
      </c>
      <c r="AO3143" t="s">
        <v>118</v>
      </c>
      <c r="AP3143">
        <v>17</v>
      </c>
      <c r="AQ3143">
        <v>-106</v>
      </c>
      <c r="AR3143">
        <v>-576</v>
      </c>
      <c r="AZ3143">
        <v>4552</v>
      </c>
      <c r="BA3143">
        <v>1</v>
      </c>
      <c r="BB3143" t="str">
        <f t="shared" si="1295"/>
        <v xml:space="preserve">N607SR  </v>
      </c>
      <c r="BC3143">
        <v>1</v>
      </c>
      <c r="BE3143">
        <v>0</v>
      </c>
      <c r="BF3143">
        <v>0</v>
      </c>
      <c r="BG3143">
        <v>0</v>
      </c>
      <c r="BH3143">
        <v>2175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 t="shared" si="1299"/>
        <v>06:21:03.828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5</v>
      </c>
      <c r="CP3143" t="s">
        <v>119</v>
      </c>
      <c r="CQ3143">
        <v>177</v>
      </c>
      <c r="CR3143">
        <v>2</v>
      </c>
      <c r="CW3143">
        <v>1691441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 t="shared" si="1296"/>
        <v>08/29/2020 06:21:00.610</v>
      </c>
      <c r="C3144" t="str">
        <f t="shared" si="1293"/>
        <v>FFDFD3C0</v>
      </c>
      <c r="D3144" t="s">
        <v>113</v>
      </c>
      <c r="E3144">
        <v>5</v>
      </c>
      <c r="H3144">
        <v>163</v>
      </c>
      <c r="I3144" t="s">
        <v>114</v>
      </c>
      <c r="J3144" t="s">
        <v>115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297"/>
        <v>06:21:03.820</v>
      </c>
      <c r="T3144" t="str">
        <f t="shared" si="1298"/>
        <v>06:21:03.420</v>
      </c>
      <c r="U3144" t="str">
        <f t="shared" si="1294"/>
        <v>A7E2E0</v>
      </c>
      <c r="V3144">
        <v>0</v>
      </c>
      <c r="W3144">
        <v>0</v>
      </c>
      <c r="X3144">
        <v>1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0</v>
      </c>
      <c r="AI3144" t="s">
        <v>1519</v>
      </c>
      <c r="AJ3144">
        <v>38.852398000000001</v>
      </c>
      <c r="AK3144" t="s">
        <v>1520</v>
      </c>
      <c r="AL3144">
        <v>-87.607726999999997</v>
      </c>
      <c r="AM3144">
        <v>100</v>
      </c>
      <c r="AN3144">
        <v>2400</v>
      </c>
      <c r="AO3144" t="s">
        <v>118</v>
      </c>
      <c r="AP3144">
        <v>17</v>
      </c>
      <c r="AQ3144">
        <v>-106</v>
      </c>
      <c r="AR3144">
        <v>-576</v>
      </c>
      <c r="AZ3144">
        <v>4552</v>
      </c>
      <c r="BA3144">
        <v>1</v>
      </c>
      <c r="BB3144" t="str">
        <f t="shared" si="1295"/>
        <v xml:space="preserve">N607SR  </v>
      </c>
      <c r="BC3144">
        <v>1</v>
      </c>
      <c r="BE3144">
        <v>0</v>
      </c>
      <c r="BF3144">
        <v>0</v>
      </c>
      <c r="BG3144">
        <v>0</v>
      </c>
      <c r="BH3144">
        <v>2175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 t="shared" si="1299"/>
        <v>06:21:03.828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6</v>
      </c>
      <c r="CP3144" t="s">
        <v>119</v>
      </c>
      <c r="CQ3144">
        <v>465</v>
      </c>
      <c r="CR3144">
        <v>0</v>
      </c>
      <c r="CW3144">
        <v>4729477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 t="shared" si="1296"/>
        <v>08/29/2020 06:21:00.610</v>
      </c>
      <c r="C3145" t="str">
        <f t="shared" si="1293"/>
        <v>FFDFD3C0</v>
      </c>
      <c r="D3145" t="s">
        <v>128</v>
      </c>
      <c r="E3145">
        <v>5</v>
      </c>
      <c r="H3145">
        <v>241</v>
      </c>
      <c r="I3145" t="s">
        <v>129</v>
      </c>
      <c r="J3145" t="s">
        <v>130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si="1297"/>
        <v>06:21:03.820</v>
      </c>
      <c r="T3145" t="str">
        <f t="shared" si="1298"/>
        <v>06:21:03.420</v>
      </c>
      <c r="U3145" t="str">
        <f t="shared" si="1294"/>
        <v>A7E2E0</v>
      </c>
      <c r="V3145">
        <v>0</v>
      </c>
      <c r="W3145">
        <v>0</v>
      </c>
      <c r="X3145">
        <v>1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0</v>
      </c>
      <c r="AI3145" t="s">
        <v>1519</v>
      </c>
      <c r="AJ3145">
        <v>38.852398000000001</v>
      </c>
      <c r="AK3145" t="s">
        <v>1520</v>
      </c>
      <c r="AL3145">
        <v>-87.607726999999997</v>
      </c>
      <c r="AM3145">
        <v>100</v>
      </c>
      <c r="AN3145">
        <v>2400</v>
      </c>
      <c r="AO3145" t="s">
        <v>118</v>
      </c>
      <c r="AP3145">
        <v>17</v>
      </c>
      <c r="AQ3145">
        <v>-106</v>
      </c>
      <c r="AR3145">
        <v>-576</v>
      </c>
      <c r="AZ3145">
        <v>4552</v>
      </c>
      <c r="BA3145">
        <v>1</v>
      </c>
      <c r="BB3145" t="str">
        <f t="shared" si="1295"/>
        <v xml:space="preserve">N607SR  </v>
      </c>
      <c r="BC3145">
        <v>1</v>
      </c>
      <c r="BE3145">
        <v>0</v>
      </c>
      <c r="BF3145">
        <v>0</v>
      </c>
      <c r="BG3145">
        <v>0</v>
      </c>
      <c r="BH3145">
        <v>2175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 t="shared" si="1299"/>
        <v>06:21:03.828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6</v>
      </c>
      <c r="CP3145" t="s">
        <v>119</v>
      </c>
      <c r="CQ3145">
        <v>465</v>
      </c>
      <c r="CR3145">
        <v>0</v>
      </c>
      <c r="CW3145">
        <v>4729477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 t="shared" si="1296"/>
        <v>08/29/2020 06:21:00.610</v>
      </c>
      <c r="C3146" t="str">
        <f t="shared" si="1293"/>
        <v>FFDFD3C0</v>
      </c>
      <c r="D3146" t="s">
        <v>121</v>
      </c>
      <c r="E3146">
        <v>13</v>
      </c>
      <c r="F3146">
        <v>1013</v>
      </c>
      <c r="G3146" t="s">
        <v>122</v>
      </c>
      <c r="J3146" t="s">
        <v>123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297"/>
        <v>06:21:03.820</v>
      </c>
      <c r="T3146" t="str">
        <f t="shared" si="1298"/>
        <v>06:21:03.420</v>
      </c>
      <c r="U3146" t="str">
        <f t="shared" si="1294"/>
        <v>A7E2E0</v>
      </c>
      <c r="V3146">
        <v>0</v>
      </c>
      <c r="W3146">
        <v>0</v>
      </c>
      <c r="X3146">
        <v>1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0</v>
      </c>
      <c r="AI3146" t="s">
        <v>1519</v>
      </c>
      <c r="AJ3146">
        <v>38.852398000000001</v>
      </c>
      <c r="AK3146" t="s">
        <v>1520</v>
      </c>
      <c r="AL3146">
        <v>-87.607726999999997</v>
      </c>
      <c r="AM3146">
        <v>100</v>
      </c>
      <c r="AN3146">
        <v>2400</v>
      </c>
      <c r="AO3146" t="s">
        <v>118</v>
      </c>
      <c r="AP3146">
        <v>17</v>
      </c>
      <c r="AQ3146">
        <v>-106</v>
      </c>
      <c r="AR3146">
        <v>-576</v>
      </c>
      <c r="AZ3146">
        <v>4552</v>
      </c>
      <c r="BA3146">
        <v>1</v>
      </c>
      <c r="BB3146" t="str">
        <f t="shared" si="1295"/>
        <v xml:space="preserve">N607SR  </v>
      </c>
      <c r="BC3146">
        <v>1</v>
      </c>
      <c r="BE3146">
        <v>0</v>
      </c>
      <c r="BF3146">
        <v>0</v>
      </c>
      <c r="BG3146">
        <v>0</v>
      </c>
      <c r="BH3146">
        <v>2175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 t="shared" si="1299"/>
        <v>06:21:03.828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6</v>
      </c>
      <c r="CP3146" t="s">
        <v>119</v>
      </c>
      <c r="CQ3146">
        <v>465</v>
      </c>
      <c r="CR3146">
        <v>0</v>
      </c>
      <c r="CW3146">
        <v>4729477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 t="shared" ref="A3147:A3152" si="1300">"08/29/2020 06:21:01.562"</f>
        <v>08/29/2020 06:21:01.562</v>
      </c>
      <c r="C3147" t="str">
        <f t="shared" si="1293"/>
        <v>FFDFD3C0</v>
      </c>
      <c r="D3147" t="s">
        <v>128</v>
      </c>
      <c r="E3147">
        <v>5</v>
      </c>
      <c r="H3147">
        <v>241</v>
      </c>
      <c r="I3147" t="s">
        <v>129</v>
      </c>
      <c r="J3147" t="s">
        <v>130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ref="S3147:S3152" si="1301">"06:21:04.797"</f>
        <v>06:21:04.797</v>
      </c>
      <c r="T3147" t="str">
        <f t="shared" ref="T3147:T3152" si="1302">"06:21:04.297"</f>
        <v>06:21:04.297</v>
      </c>
      <c r="U3147" t="str">
        <f t="shared" si="1294"/>
        <v>A7E2E0</v>
      </c>
      <c r="V3147">
        <v>0</v>
      </c>
      <c r="W3147">
        <v>0</v>
      </c>
      <c r="X3147">
        <v>1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0</v>
      </c>
      <c r="AI3147" t="s">
        <v>1521</v>
      </c>
      <c r="AJ3147">
        <v>38.851968999999997</v>
      </c>
      <c r="AK3147" t="s">
        <v>1522</v>
      </c>
      <c r="AL3147">
        <v>-87.607597999999996</v>
      </c>
      <c r="AM3147">
        <v>100</v>
      </c>
      <c r="AN3147">
        <v>2400</v>
      </c>
      <c r="AO3147" t="s">
        <v>118</v>
      </c>
      <c r="AP3147">
        <v>18</v>
      </c>
      <c r="AQ3147">
        <v>-107</v>
      </c>
      <c r="AR3147">
        <v>-704</v>
      </c>
      <c r="AZ3147">
        <v>4552</v>
      </c>
      <c r="BA3147">
        <v>1</v>
      </c>
      <c r="BB3147" t="str">
        <f t="shared" si="1295"/>
        <v xml:space="preserve">N607SR  </v>
      </c>
      <c r="BC3147">
        <v>1</v>
      </c>
      <c r="BE3147">
        <v>0</v>
      </c>
      <c r="BF3147">
        <v>0</v>
      </c>
      <c r="BG3147">
        <v>0</v>
      </c>
      <c r="BH3147">
        <v>2175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>"06:21:04.804"</f>
        <v>06:21:04.804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6</v>
      </c>
      <c r="CP3147" t="s">
        <v>119</v>
      </c>
      <c r="CQ3147">
        <v>465</v>
      </c>
      <c r="CR3147">
        <v>0</v>
      </c>
      <c r="CW3147">
        <v>4729510</v>
      </c>
      <c r="CY3147">
        <v>1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 t="shared" si="1300"/>
        <v>08/29/2020 06:21:01.562</v>
      </c>
      <c r="C3148" t="str">
        <f t="shared" si="1293"/>
        <v>FFDFD3C0</v>
      </c>
      <c r="D3148" t="s">
        <v>121</v>
      </c>
      <c r="E3148">
        <v>13</v>
      </c>
      <c r="F3148">
        <v>1013</v>
      </c>
      <c r="G3148" t="s">
        <v>122</v>
      </c>
      <c r="J3148" t="s">
        <v>123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301"/>
        <v>06:21:04.797</v>
      </c>
      <c r="T3148" t="str">
        <f t="shared" si="1302"/>
        <v>06:21:04.297</v>
      </c>
      <c r="U3148" t="str">
        <f t="shared" si="1294"/>
        <v>A7E2E0</v>
      </c>
      <c r="V3148">
        <v>0</v>
      </c>
      <c r="W3148">
        <v>0</v>
      </c>
      <c r="X3148">
        <v>1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0</v>
      </c>
      <c r="AI3148" t="s">
        <v>1521</v>
      </c>
      <c r="AJ3148">
        <v>38.851968999999997</v>
      </c>
      <c r="AK3148" t="s">
        <v>1522</v>
      </c>
      <c r="AL3148">
        <v>-87.607597999999996</v>
      </c>
      <c r="AM3148">
        <v>100</v>
      </c>
      <c r="AN3148">
        <v>2400</v>
      </c>
      <c r="AO3148" t="s">
        <v>118</v>
      </c>
      <c r="AP3148">
        <v>18</v>
      </c>
      <c r="AQ3148">
        <v>-107</v>
      </c>
      <c r="AR3148">
        <v>-704</v>
      </c>
      <c r="AZ3148">
        <v>4552</v>
      </c>
      <c r="BA3148">
        <v>1</v>
      </c>
      <c r="BB3148" t="str">
        <f t="shared" si="1295"/>
        <v xml:space="preserve">N607SR  </v>
      </c>
      <c r="BC3148">
        <v>1</v>
      </c>
      <c r="BE3148">
        <v>0</v>
      </c>
      <c r="BF3148">
        <v>0</v>
      </c>
      <c r="BG3148">
        <v>0</v>
      </c>
      <c r="BH3148">
        <v>2175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>"06:21:04.804"</f>
        <v>06:21:04.804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6</v>
      </c>
      <c r="CP3148" t="s">
        <v>119</v>
      </c>
      <c r="CQ3148">
        <v>465</v>
      </c>
      <c r="CR3148">
        <v>0</v>
      </c>
      <c r="CW3148">
        <v>4729510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 t="shared" si="1300"/>
        <v>08/29/2020 06:21:01.562</v>
      </c>
      <c r="C3149" t="str">
        <f t="shared" si="1293"/>
        <v>FFDFD3C0</v>
      </c>
      <c r="D3149" t="s">
        <v>121</v>
      </c>
      <c r="E3149">
        <v>10</v>
      </c>
      <c r="F3149">
        <v>1010</v>
      </c>
      <c r="G3149" t="s">
        <v>114</v>
      </c>
      <c r="J3149" t="s">
        <v>123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301"/>
        <v>06:21:04.797</v>
      </c>
      <c r="T3149" t="str">
        <f t="shared" si="1302"/>
        <v>06:21:04.297</v>
      </c>
      <c r="U3149" t="str">
        <f t="shared" si="1294"/>
        <v>A7E2E0</v>
      </c>
      <c r="V3149">
        <v>0</v>
      </c>
      <c r="W3149">
        <v>0</v>
      </c>
      <c r="X3149">
        <v>1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0</v>
      </c>
      <c r="AI3149" t="s">
        <v>1521</v>
      </c>
      <c r="AJ3149">
        <v>38.851968999999997</v>
      </c>
      <c r="AK3149" t="s">
        <v>1522</v>
      </c>
      <c r="AL3149">
        <v>-87.607597999999996</v>
      </c>
      <c r="AM3149">
        <v>100</v>
      </c>
      <c r="AN3149">
        <v>2400</v>
      </c>
      <c r="AO3149" t="s">
        <v>118</v>
      </c>
      <c r="AP3149">
        <v>18</v>
      </c>
      <c r="AQ3149">
        <v>-107</v>
      </c>
      <c r="AR3149">
        <v>-704</v>
      </c>
      <c r="AZ3149">
        <v>4552</v>
      </c>
      <c r="BA3149">
        <v>1</v>
      </c>
      <c r="BB3149" t="str">
        <f t="shared" si="1295"/>
        <v xml:space="preserve">N607SR  </v>
      </c>
      <c r="BC3149">
        <v>1</v>
      </c>
      <c r="BE3149">
        <v>0</v>
      </c>
      <c r="BF3149">
        <v>0</v>
      </c>
      <c r="BG3149">
        <v>0</v>
      </c>
      <c r="BH3149">
        <v>2175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>"06:21:04.804"</f>
        <v>06:21:04.804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6</v>
      </c>
      <c r="CP3149" t="s">
        <v>119</v>
      </c>
      <c r="CQ3149">
        <v>465</v>
      </c>
      <c r="CR3149">
        <v>0</v>
      </c>
      <c r="CW3149">
        <v>4729510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 t="shared" si="1300"/>
        <v>08/29/2020 06:21:01.562</v>
      </c>
      <c r="C3150" t="str">
        <f t="shared" si="1293"/>
        <v>FFDFD3C0</v>
      </c>
      <c r="D3150" t="s">
        <v>939</v>
      </c>
      <c r="E3150">
        <v>10</v>
      </c>
      <c r="H3150">
        <v>79</v>
      </c>
      <c r="I3150" t="s">
        <v>940</v>
      </c>
      <c r="J3150" t="s">
        <v>130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301"/>
        <v>06:21:04.797</v>
      </c>
      <c r="T3150" t="str">
        <f t="shared" si="1302"/>
        <v>06:21:04.297</v>
      </c>
      <c r="U3150" t="str">
        <f t="shared" si="1294"/>
        <v>A7E2E0</v>
      </c>
      <c r="V3150">
        <v>0</v>
      </c>
      <c r="W3150">
        <v>0</v>
      </c>
      <c r="X3150">
        <v>1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0</v>
      </c>
      <c r="AI3150" t="s">
        <v>1521</v>
      </c>
      <c r="AJ3150">
        <v>38.851968999999997</v>
      </c>
      <c r="AK3150" t="s">
        <v>1522</v>
      </c>
      <c r="AL3150">
        <v>-87.607597999999996</v>
      </c>
      <c r="AM3150">
        <v>100</v>
      </c>
      <c r="AN3150">
        <v>2400</v>
      </c>
      <c r="AO3150" t="s">
        <v>118</v>
      </c>
      <c r="AP3150">
        <v>18</v>
      </c>
      <c r="AQ3150">
        <v>-107</v>
      </c>
      <c r="AR3150">
        <v>-704</v>
      </c>
      <c r="AZ3150">
        <v>4552</v>
      </c>
      <c r="BA3150">
        <v>1</v>
      </c>
      <c r="BB3150" t="str">
        <f t="shared" si="1295"/>
        <v xml:space="preserve">N607SR  </v>
      </c>
      <c r="BC3150">
        <v>1</v>
      </c>
      <c r="BE3150">
        <v>0</v>
      </c>
      <c r="BF3150">
        <v>0</v>
      </c>
      <c r="BG3150">
        <v>0</v>
      </c>
      <c r="BH3150">
        <v>2175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>"06:21:04.804"</f>
        <v>06:21:04.804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6</v>
      </c>
      <c r="CP3150" t="s">
        <v>119</v>
      </c>
      <c r="CQ3150">
        <v>465</v>
      </c>
      <c r="CR3150">
        <v>0</v>
      </c>
      <c r="CW3150">
        <v>4729510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 t="shared" si="1300"/>
        <v>08/29/2020 06:21:01.562</v>
      </c>
      <c r="C3151" t="str">
        <f t="shared" si="1293"/>
        <v>FFDFD3C0</v>
      </c>
      <c r="D3151" t="s">
        <v>121</v>
      </c>
      <c r="E3151">
        <v>11</v>
      </c>
      <c r="F3151">
        <v>1011</v>
      </c>
      <c r="G3151" t="s">
        <v>125</v>
      </c>
      <c r="J3151" t="s">
        <v>123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si="1301"/>
        <v>06:21:04.797</v>
      </c>
      <c r="T3151" t="str">
        <f t="shared" si="1302"/>
        <v>06:21:04.297</v>
      </c>
      <c r="U3151" t="str">
        <f t="shared" si="1294"/>
        <v>A7E2E0</v>
      </c>
      <c r="V3151">
        <v>0</v>
      </c>
      <c r="W3151">
        <v>0</v>
      </c>
      <c r="X3151">
        <v>1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0</v>
      </c>
      <c r="AI3151" t="s">
        <v>1521</v>
      </c>
      <c r="AJ3151">
        <v>38.851968999999997</v>
      </c>
      <c r="AK3151" t="s">
        <v>1522</v>
      </c>
      <c r="AL3151">
        <v>-87.607597999999996</v>
      </c>
      <c r="AM3151">
        <v>100</v>
      </c>
      <c r="AN3151">
        <v>2400</v>
      </c>
      <c r="AO3151" t="s">
        <v>118</v>
      </c>
      <c r="AP3151">
        <v>18</v>
      </c>
      <c r="AQ3151">
        <v>-107</v>
      </c>
      <c r="AR3151">
        <v>-704</v>
      </c>
      <c r="AZ3151">
        <v>4552</v>
      </c>
      <c r="BA3151">
        <v>1</v>
      </c>
      <c r="BB3151" t="str">
        <f t="shared" si="1295"/>
        <v xml:space="preserve">N607SR  </v>
      </c>
      <c r="BC3151">
        <v>1</v>
      </c>
      <c r="BE3151">
        <v>0</v>
      </c>
      <c r="BF3151">
        <v>0</v>
      </c>
      <c r="BG3151">
        <v>0</v>
      </c>
      <c r="BH3151">
        <v>2175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>"06:21:04.805"</f>
        <v>06:21:04.805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5</v>
      </c>
      <c r="CP3151" t="s">
        <v>119</v>
      </c>
      <c r="CQ3151">
        <v>177</v>
      </c>
      <c r="CR3151">
        <v>2</v>
      </c>
      <c r="CW3151">
        <v>1691584</v>
      </c>
      <c r="CY3151">
        <v>1</v>
      </c>
      <c r="CZ3151">
        <v>0</v>
      </c>
      <c r="DA3151">
        <v>1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 t="shared" si="1300"/>
        <v>08/29/2020 06:21:01.562</v>
      </c>
      <c r="C3152" t="str">
        <f t="shared" si="1293"/>
        <v>FFDFD3C0</v>
      </c>
      <c r="D3152" t="s">
        <v>113</v>
      </c>
      <c r="E3152">
        <v>5</v>
      </c>
      <c r="H3152">
        <v>163</v>
      </c>
      <c r="I3152" t="s">
        <v>114</v>
      </c>
      <c r="J3152" t="s">
        <v>115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 t="shared" si="1301"/>
        <v>06:21:04.797</v>
      </c>
      <c r="T3152" t="str">
        <f t="shared" si="1302"/>
        <v>06:21:04.297</v>
      </c>
      <c r="U3152" t="str">
        <f t="shared" si="1294"/>
        <v>A7E2E0</v>
      </c>
      <c r="V3152">
        <v>0</v>
      </c>
      <c r="W3152">
        <v>0</v>
      </c>
      <c r="X3152">
        <v>1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0</v>
      </c>
      <c r="AI3152" t="s">
        <v>1521</v>
      </c>
      <c r="AJ3152">
        <v>38.851968999999997</v>
      </c>
      <c r="AK3152" t="s">
        <v>1522</v>
      </c>
      <c r="AL3152">
        <v>-87.607597999999996</v>
      </c>
      <c r="AM3152">
        <v>100</v>
      </c>
      <c r="AN3152">
        <v>2400</v>
      </c>
      <c r="AO3152" t="s">
        <v>118</v>
      </c>
      <c r="AP3152">
        <v>18</v>
      </c>
      <c r="AQ3152">
        <v>-107</v>
      </c>
      <c r="AR3152">
        <v>-704</v>
      </c>
      <c r="AZ3152">
        <v>4552</v>
      </c>
      <c r="BA3152">
        <v>1</v>
      </c>
      <c r="BB3152" t="str">
        <f t="shared" si="1295"/>
        <v xml:space="preserve">N607SR  </v>
      </c>
      <c r="BC3152">
        <v>1</v>
      </c>
      <c r="BE3152">
        <v>0</v>
      </c>
      <c r="BF3152">
        <v>0</v>
      </c>
      <c r="BG3152">
        <v>0</v>
      </c>
      <c r="BH3152">
        <v>2175</v>
      </c>
      <c r="BI3152">
        <v>1</v>
      </c>
      <c r="BJ3152">
        <v>1</v>
      </c>
      <c r="BK3152">
        <v>1</v>
      </c>
      <c r="BL3152">
        <v>0</v>
      </c>
      <c r="BO3152">
        <v>0</v>
      </c>
      <c r="BP3152">
        <v>0</v>
      </c>
      <c r="BW3152" t="str">
        <f>"06:21:04.804"</f>
        <v>06:21:04.804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6</v>
      </c>
      <c r="CP3152" t="s">
        <v>119</v>
      </c>
      <c r="CQ3152">
        <v>465</v>
      </c>
      <c r="CR3152">
        <v>0</v>
      </c>
      <c r="CW3152">
        <v>4729510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 t="shared" ref="A3153:A3158" si="1303">"08/29/2020 06:21:02.611"</f>
        <v>08/29/2020 06:21:02.611</v>
      </c>
      <c r="C3153" t="str">
        <f t="shared" si="1293"/>
        <v>FFDFD3C0</v>
      </c>
      <c r="D3153" t="s">
        <v>121</v>
      </c>
      <c r="E3153">
        <v>11</v>
      </c>
      <c r="F3153">
        <v>1011</v>
      </c>
      <c r="G3153" t="s">
        <v>125</v>
      </c>
      <c r="J3153" t="s">
        <v>123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ref="S3153:S3158" si="1304">"06:21:05.844"</f>
        <v>06:21:05.844</v>
      </c>
      <c r="T3153" t="str">
        <f t="shared" ref="T3153:T3158" si="1305">"06:21:05.344"</f>
        <v>06:21:05.344</v>
      </c>
      <c r="U3153" t="str">
        <f t="shared" si="1294"/>
        <v>A7E2E0</v>
      </c>
      <c r="V3153">
        <v>0</v>
      </c>
      <c r="W3153">
        <v>0</v>
      </c>
      <c r="X3153">
        <v>1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0</v>
      </c>
      <c r="AI3153" t="s">
        <v>1523</v>
      </c>
      <c r="AJ3153">
        <v>38.851390000000002</v>
      </c>
      <c r="AK3153" t="s">
        <v>1524</v>
      </c>
      <c r="AL3153">
        <v>-87.607490999999996</v>
      </c>
      <c r="AM3153">
        <v>100</v>
      </c>
      <c r="AN3153">
        <v>2400</v>
      </c>
      <c r="AO3153" t="s">
        <v>118</v>
      </c>
      <c r="AP3153">
        <v>18</v>
      </c>
      <c r="AQ3153">
        <v>-109</v>
      </c>
      <c r="AR3153">
        <v>-768</v>
      </c>
      <c r="AZ3153">
        <v>4552</v>
      </c>
      <c r="BA3153">
        <v>1</v>
      </c>
      <c r="BB3153" t="str">
        <f t="shared" si="1295"/>
        <v xml:space="preserve">N607SR  </v>
      </c>
      <c r="BC3153">
        <v>1</v>
      </c>
      <c r="BE3153">
        <v>0</v>
      </c>
      <c r="BF3153">
        <v>0</v>
      </c>
      <c r="BG3153">
        <v>0</v>
      </c>
      <c r="BH3153">
        <v>2150</v>
      </c>
      <c r="BI3153">
        <v>1</v>
      </c>
      <c r="BJ3153">
        <v>1</v>
      </c>
      <c r="BK3153">
        <v>1</v>
      </c>
      <c r="BL3153">
        <v>0</v>
      </c>
      <c r="BO3153">
        <v>0</v>
      </c>
      <c r="BP3153">
        <v>0</v>
      </c>
      <c r="BW3153" t="str">
        <f t="shared" ref="BW3153:BW3158" si="1306">"06:21:05.850"</f>
        <v>06:21:05.850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6</v>
      </c>
      <c r="CP3153" t="s">
        <v>119</v>
      </c>
      <c r="CQ3153">
        <v>177</v>
      </c>
      <c r="CR3153">
        <v>2</v>
      </c>
      <c r="CW3153">
        <v>1691744</v>
      </c>
      <c r="CY3153">
        <v>1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 t="shared" si="1303"/>
        <v>08/29/2020 06:21:02.611</v>
      </c>
      <c r="C3154" t="str">
        <f t="shared" si="1293"/>
        <v>FFDFD3C0</v>
      </c>
      <c r="D3154" t="s">
        <v>113</v>
      </c>
      <c r="E3154">
        <v>5</v>
      </c>
      <c r="H3154">
        <v>163</v>
      </c>
      <c r="I3154" t="s">
        <v>114</v>
      </c>
      <c r="J3154" t="s">
        <v>115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304"/>
        <v>06:21:05.844</v>
      </c>
      <c r="T3154" t="str">
        <f t="shared" si="1305"/>
        <v>06:21:05.344</v>
      </c>
      <c r="U3154" t="str">
        <f t="shared" si="1294"/>
        <v>A7E2E0</v>
      </c>
      <c r="V3154">
        <v>0</v>
      </c>
      <c r="W3154">
        <v>0</v>
      </c>
      <c r="X3154">
        <v>1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0</v>
      </c>
      <c r="AI3154" t="s">
        <v>1523</v>
      </c>
      <c r="AJ3154">
        <v>38.851390000000002</v>
      </c>
      <c r="AK3154" t="s">
        <v>1524</v>
      </c>
      <c r="AL3154">
        <v>-87.607490999999996</v>
      </c>
      <c r="AM3154">
        <v>100</v>
      </c>
      <c r="AN3154">
        <v>2400</v>
      </c>
      <c r="AO3154" t="s">
        <v>118</v>
      </c>
      <c r="AP3154">
        <v>18</v>
      </c>
      <c r="AQ3154">
        <v>-109</v>
      </c>
      <c r="AR3154">
        <v>-768</v>
      </c>
      <c r="AZ3154">
        <v>4552</v>
      </c>
      <c r="BA3154">
        <v>1</v>
      </c>
      <c r="BB3154" t="str">
        <f t="shared" si="1295"/>
        <v xml:space="preserve">N607SR  </v>
      </c>
      <c r="BC3154">
        <v>1</v>
      </c>
      <c r="BE3154">
        <v>0</v>
      </c>
      <c r="BF3154">
        <v>0</v>
      </c>
      <c r="BG3154">
        <v>0</v>
      </c>
      <c r="BH3154">
        <v>2250</v>
      </c>
      <c r="BI3154">
        <v>1</v>
      </c>
      <c r="BJ3154">
        <v>1</v>
      </c>
      <c r="BK3154">
        <v>1</v>
      </c>
      <c r="BL3154">
        <v>0</v>
      </c>
      <c r="BO3154">
        <v>0</v>
      </c>
      <c r="BP3154">
        <v>0</v>
      </c>
      <c r="BW3154" t="str">
        <f t="shared" si="1306"/>
        <v>06:21:05.850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6</v>
      </c>
      <c r="CP3154" t="s">
        <v>119</v>
      </c>
      <c r="CQ3154">
        <v>465</v>
      </c>
      <c r="CR3154">
        <v>0</v>
      </c>
      <c r="CW3154">
        <v>4729543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 t="shared" si="1303"/>
        <v>08/29/2020 06:21:02.611</v>
      </c>
      <c r="C3155" t="str">
        <f t="shared" si="1293"/>
        <v>FFDFD3C0</v>
      </c>
      <c r="D3155" t="s">
        <v>128</v>
      </c>
      <c r="E3155">
        <v>5</v>
      </c>
      <c r="H3155">
        <v>241</v>
      </c>
      <c r="I3155" t="s">
        <v>129</v>
      </c>
      <c r="J3155" t="s">
        <v>130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304"/>
        <v>06:21:05.844</v>
      </c>
      <c r="T3155" t="str">
        <f t="shared" si="1305"/>
        <v>06:21:05.344</v>
      </c>
      <c r="U3155" t="str">
        <f t="shared" si="1294"/>
        <v>A7E2E0</v>
      </c>
      <c r="V3155">
        <v>0</v>
      </c>
      <c r="W3155">
        <v>0</v>
      </c>
      <c r="X3155">
        <v>1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0</v>
      </c>
      <c r="AI3155" t="s">
        <v>1523</v>
      </c>
      <c r="AJ3155">
        <v>38.851390000000002</v>
      </c>
      <c r="AK3155" t="s">
        <v>1524</v>
      </c>
      <c r="AL3155">
        <v>-87.607490999999996</v>
      </c>
      <c r="AM3155">
        <v>100</v>
      </c>
      <c r="AN3155">
        <v>2400</v>
      </c>
      <c r="AO3155" t="s">
        <v>118</v>
      </c>
      <c r="AP3155">
        <v>18</v>
      </c>
      <c r="AQ3155">
        <v>-109</v>
      </c>
      <c r="AR3155">
        <v>-768</v>
      </c>
      <c r="AZ3155">
        <v>4552</v>
      </c>
      <c r="BA3155">
        <v>1</v>
      </c>
      <c r="BB3155" t="str">
        <f t="shared" si="1295"/>
        <v xml:space="preserve">N607SR  </v>
      </c>
      <c r="BC3155">
        <v>1</v>
      </c>
      <c r="BE3155">
        <v>0</v>
      </c>
      <c r="BF3155">
        <v>0</v>
      </c>
      <c r="BG3155">
        <v>0</v>
      </c>
      <c r="BH3155">
        <v>2250</v>
      </c>
      <c r="BI3155">
        <v>1</v>
      </c>
      <c r="BJ3155">
        <v>1</v>
      </c>
      <c r="BK3155">
        <v>1</v>
      </c>
      <c r="BL3155">
        <v>0</v>
      </c>
      <c r="BO3155">
        <v>0</v>
      </c>
      <c r="BP3155">
        <v>0</v>
      </c>
      <c r="BW3155" t="str">
        <f t="shared" si="1306"/>
        <v>06:21:05.850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6</v>
      </c>
      <c r="CP3155" t="s">
        <v>119</v>
      </c>
      <c r="CQ3155">
        <v>465</v>
      </c>
      <c r="CR3155">
        <v>0</v>
      </c>
      <c r="CW3155">
        <v>4729543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 t="shared" si="1303"/>
        <v>08/29/2020 06:21:02.611</v>
      </c>
      <c r="C3156" t="str">
        <f t="shared" si="1293"/>
        <v>FFDFD3C0</v>
      </c>
      <c r="D3156" t="s">
        <v>121</v>
      </c>
      <c r="E3156">
        <v>13</v>
      </c>
      <c r="F3156">
        <v>1013</v>
      </c>
      <c r="G3156" t="s">
        <v>122</v>
      </c>
      <c r="J3156" t="s">
        <v>123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304"/>
        <v>06:21:05.844</v>
      </c>
      <c r="T3156" t="str">
        <f t="shared" si="1305"/>
        <v>06:21:05.344</v>
      </c>
      <c r="U3156" t="str">
        <f t="shared" si="1294"/>
        <v>A7E2E0</v>
      </c>
      <c r="V3156">
        <v>0</v>
      </c>
      <c r="W3156">
        <v>0</v>
      </c>
      <c r="X3156">
        <v>1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0</v>
      </c>
      <c r="AI3156" t="s">
        <v>1523</v>
      </c>
      <c r="AJ3156">
        <v>38.851390000000002</v>
      </c>
      <c r="AK3156" t="s">
        <v>1524</v>
      </c>
      <c r="AL3156">
        <v>-87.607490999999996</v>
      </c>
      <c r="AM3156">
        <v>100</v>
      </c>
      <c r="AN3156">
        <v>2400</v>
      </c>
      <c r="AO3156" t="s">
        <v>118</v>
      </c>
      <c r="AP3156">
        <v>18</v>
      </c>
      <c r="AQ3156">
        <v>-109</v>
      </c>
      <c r="AR3156">
        <v>-768</v>
      </c>
      <c r="AZ3156">
        <v>4552</v>
      </c>
      <c r="BA3156">
        <v>1</v>
      </c>
      <c r="BB3156" t="str">
        <f t="shared" si="1295"/>
        <v xml:space="preserve">N607SR  </v>
      </c>
      <c r="BC3156">
        <v>1</v>
      </c>
      <c r="BE3156">
        <v>0</v>
      </c>
      <c r="BF3156">
        <v>0</v>
      </c>
      <c r="BG3156">
        <v>0</v>
      </c>
      <c r="BH3156">
        <v>2250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 t="shared" si="1306"/>
        <v>06:21:05.850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6</v>
      </c>
      <c r="CP3156" t="s">
        <v>119</v>
      </c>
      <c r="CQ3156">
        <v>465</v>
      </c>
      <c r="CR3156">
        <v>0</v>
      </c>
      <c r="CW3156">
        <v>4729543</v>
      </c>
      <c r="CY3156">
        <v>1</v>
      </c>
      <c r="CZ3156">
        <v>0</v>
      </c>
      <c r="DA3156">
        <v>1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 t="shared" si="1303"/>
        <v>08/29/2020 06:21:02.611</v>
      </c>
      <c r="C3157" t="str">
        <f t="shared" si="1293"/>
        <v>FFDFD3C0</v>
      </c>
      <c r="D3157" t="s">
        <v>121</v>
      </c>
      <c r="E3157">
        <v>10</v>
      </c>
      <c r="F3157">
        <v>1010</v>
      </c>
      <c r="G3157" t="s">
        <v>114</v>
      </c>
      <c r="J3157" t="s">
        <v>123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304"/>
        <v>06:21:05.844</v>
      </c>
      <c r="T3157" t="str">
        <f t="shared" si="1305"/>
        <v>06:21:05.344</v>
      </c>
      <c r="U3157" t="str">
        <f t="shared" si="1294"/>
        <v>A7E2E0</v>
      </c>
      <c r="V3157">
        <v>0</v>
      </c>
      <c r="W3157">
        <v>0</v>
      </c>
      <c r="X3157">
        <v>1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0</v>
      </c>
      <c r="AI3157" t="s">
        <v>1523</v>
      </c>
      <c r="AJ3157">
        <v>38.851390000000002</v>
      </c>
      <c r="AK3157" t="s">
        <v>1524</v>
      </c>
      <c r="AL3157">
        <v>-87.607490999999996</v>
      </c>
      <c r="AM3157">
        <v>100</v>
      </c>
      <c r="AN3157">
        <v>2400</v>
      </c>
      <c r="AO3157" t="s">
        <v>118</v>
      </c>
      <c r="AP3157">
        <v>18</v>
      </c>
      <c r="AQ3157">
        <v>-109</v>
      </c>
      <c r="AR3157">
        <v>-768</v>
      </c>
      <c r="AZ3157">
        <v>4552</v>
      </c>
      <c r="BA3157">
        <v>1</v>
      </c>
      <c r="BB3157" t="str">
        <f t="shared" si="1295"/>
        <v xml:space="preserve">N607SR  </v>
      </c>
      <c r="BC3157">
        <v>1</v>
      </c>
      <c r="BE3157">
        <v>0</v>
      </c>
      <c r="BF3157">
        <v>0</v>
      </c>
      <c r="BG3157">
        <v>0</v>
      </c>
      <c r="BH3157">
        <v>2250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 t="shared" si="1306"/>
        <v>06:21:05.850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6</v>
      </c>
      <c r="CP3157" t="s">
        <v>119</v>
      </c>
      <c r="CQ3157">
        <v>465</v>
      </c>
      <c r="CR3157">
        <v>0</v>
      </c>
      <c r="CW3157">
        <v>4729543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 t="shared" si="1303"/>
        <v>08/29/2020 06:21:02.611</v>
      </c>
      <c r="C3158" t="str">
        <f t="shared" si="1293"/>
        <v>FFDFD3C0</v>
      </c>
      <c r="D3158" t="s">
        <v>939</v>
      </c>
      <c r="E3158">
        <v>10</v>
      </c>
      <c r="H3158">
        <v>79</v>
      </c>
      <c r="I3158" t="s">
        <v>940</v>
      </c>
      <c r="J3158" t="s">
        <v>130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1304"/>
        <v>06:21:05.844</v>
      </c>
      <c r="T3158" t="str">
        <f t="shared" si="1305"/>
        <v>06:21:05.344</v>
      </c>
      <c r="U3158" t="str">
        <f t="shared" si="1294"/>
        <v>A7E2E0</v>
      </c>
      <c r="V3158">
        <v>0</v>
      </c>
      <c r="W3158">
        <v>0</v>
      </c>
      <c r="X3158">
        <v>1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0</v>
      </c>
      <c r="AI3158" t="s">
        <v>1523</v>
      </c>
      <c r="AJ3158">
        <v>38.851390000000002</v>
      </c>
      <c r="AK3158" t="s">
        <v>1524</v>
      </c>
      <c r="AL3158">
        <v>-87.607490999999996</v>
      </c>
      <c r="AM3158">
        <v>100</v>
      </c>
      <c r="AN3158">
        <v>2400</v>
      </c>
      <c r="AO3158" t="s">
        <v>118</v>
      </c>
      <c r="AP3158">
        <v>18</v>
      </c>
      <c r="AQ3158">
        <v>-109</v>
      </c>
      <c r="AR3158">
        <v>-768</v>
      </c>
      <c r="AZ3158">
        <v>4552</v>
      </c>
      <c r="BA3158">
        <v>1</v>
      </c>
      <c r="BB3158" t="str">
        <f t="shared" si="1295"/>
        <v xml:space="preserve">N607SR  </v>
      </c>
      <c r="BC3158">
        <v>1</v>
      </c>
      <c r="BE3158">
        <v>0</v>
      </c>
      <c r="BF3158">
        <v>0</v>
      </c>
      <c r="BG3158">
        <v>0</v>
      </c>
      <c r="BH3158">
        <v>2250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 t="shared" si="1306"/>
        <v>06:21:05.850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6</v>
      </c>
      <c r="CP3158" t="s">
        <v>119</v>
      </c>
      <c r="CQ3158">
        <v>465</v>
      </c>
      <c r="CR3158">
        <v>0</v>
      </c>
      <c r="CW3158">
        <v>4729543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 t="shared" ref="A3159:A3164" si="1307">"08/29/2020 06:21:03.621"</f>
        <v>08/29/2020 06:21:03.621</v>
      </c>
      <c r="C3159" t="str">
        <f t="shared" si="1293"/>
        <v>FFDFD3C0</v>
      </c>
      <c r="D3159" t="s">
        <v>121</v>
      </c>
      <c r="E3159">
        <v>11</v>
      </c>
      <c r="F3159">
        <v>1011</v>
      </c>
      <c r="G3159" t="s">
        <v>125</v>
      </c>
      <c r="J3159" t="s">
        <v>123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ref="S3159:S3164" si="1308">"06:21:06.820"</f>
        <v>06:21:06.820</v>
      </c>
      <c r="T3159" t="str">
        <f t="shared" ref="T3159:T3164" si="1309">"06:21:06.420"</f>
        <v>06:21:06.420</v>
      </c>
      <c r="U3159" t="str">
        <f t="shared" si="1294"/>
        <v>A7E2E0</v>
      </c>
      <c r="V3159">
        <v>0</v>
      </c>
      <c r="W3159">
        <v>0</v>
      </c>
      <c r="X3159">
        <v>1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0</v>
      </c>
      <c r="AI3159" t="s">
        <v>1525</v>
      </c>
      <c r="AJ3159">
        <v>38.850918</v>
      </c>
      <c r="AK3159" t="s">
        <v>1234</v>
      </c>
      <c r="AL3159">
        <v>-87.607427000000001</v>
      </c>
      <c r="AM3159">
        <v>100</v>
      </c>
      <c r="AN3159">
        <v>2300</v>
      </c>
      <c r="AO3159" t="s">
        <v>118</v>
      </c>
      <c r="AP3159">
        <v>17</v>
      </c>
      <c r="AQ3159">
        <v>-110</v>
      </c>
      <c r="AR3159">
        <v>-832</v>
      </c>
      <c r="AZ3159">
        <v>4552</v>
      </c>
      <c r="BA3159">
        <v>1</v>
      </c>
      <c r="BB3159" t="str">
        <f t="shared" si="1295"/>
        <v xml:space="preserve">N607SR  </v>
      </c>
      <c r="BC3159">
        <v>1</v>
      </c>
      <c r="BE3159">
        <v>0</v>
      </c>
      <c r="BF3159">
        <v>0</v>
      </c>
      <c r="BG3159">
        <v>0</v>
      </c>
      <c r="BH3159">
        <v>2125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 t="shared" ref="BW3159:BW3164" si="1310">"06:21:06.826"</f>
        <v>06:21:06.826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6</v>
      </c>
      <c r="CP3159" t="s">
        <v>119</v>
      </c>
      <c r="CQ3159">
        <v>177</v>
      </c>
      <c r="CR3159">
        <v>2</v>
      </c>
      <c r="CW3159">
        <v>1691909</v>
      </c>
      <c r="CY3159">
        <v>1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 t="shared" si="1307"/>
        <v>08/29/2020 06:21:03.621</v>
      </c>
      <c r="C3160" t="str">
        <f t="shared" si="1293"/>
        <v>FFDFD3C0</v>
      </c>
      <c r="D3160" t="s">
        <v>113</v>
      </c>
      <c r="E3160">
        <v>5</v>
      </c>
      <c r="H3160">
        <v>163</v>
      </c>
      <c r="I3160" t="s">
        <v>114</v>
      </c>
      <c r="J3160" t="s">
        <v>115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308"/>
        <v>06:21:06.820</v>
      </c>
      <c r="T3160" t="str">
        <f t="shared" si="1309"/>
        <v>06:21:06.420</v>
      </c>
      <c r="U3160" t="str">
        <f t="shared" si="1294"/>
        <v>A7E2E0</v>
      </c>
      <c r="V3160">
        <v>0</v>
      </c>
      <c r="W3160">
        <v>0</v>
      </c>
      <c r="X3160">
        <v>1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0</v>
      </c>
      <c r="AI3160" t="s">
        <v>1525</v>
      </c>
      <c r="AJ3160">
        <v>38.850918</v>
      </c>
      <c r="AK3160" t="s">
        <v>1234</v>
      </c>
      <c r="AL3160">
        <v>-87.607427000000001</v>
      </c>
      <c r="AM3160">
        <v>100</v>
      </c>
      <c r="AN3160">
        <v>2300</v>
      </c>
      <c r="AO3160" t="s">
        <v>118</v>
      </c>
      <c r="AP3160">
        <v>17</v>
      </c>
      <c r="AQ3160">
        <v>-110</v>
      </c>
      <c r="AR3160">
        <v>-832</v>
      </c>
      <c r="AZ3160">
        <v>4552</v>
      </c>
      <c r="BA3160">
        <v>1</v>
      </c>
      <c r="BB3160" t="str">
        <f t="shared" si="1295"/>
        <v xml:space="preserve">N607SR  </v>
      </c>
      <c r="BC3160">
        <v>1</v>
      </c>
      <c r="BE3160">
        <v>0</v>
      </c>
      <c r="BF3160">
        <v>0</v>
      </c>
      <c r="BG3160">
        <v>0</v>
      </c>
      <c r="BH3160">
        <v>2125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 t="shared" si="1310"/>
        <v>06:21:06.826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6</v>
      </c>
      <c r="CP3160" t="s">
        <v>119</v>
      </c>
      <c r="CQ3160">
        <v>465</v>
      </c>
      <c r="CR3160">
        <v>0</v>
      </c>
      <c r="CW3160">
        <v>4729569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 t="shared" si="1307"/>
        <v>08/29/2020 06:21:03.621</v>
      </c>
      <c r="C3161" t="str">
        <f t="shared" si="1293"/>
        <v>FFDFD3C0</v>
      </c>
      <c r="D3161" t="s">
        <v>128</v>
      </c>
      <c r="E3161">
        <v>5</v>
      </c>
      <c r="H3161">
        <v>241</v>
      </c>
      <c r="I3161" t="s">
        <v>129</v>
      </c>
      <c r="J3161" t="s">
        <v>130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308"/>
        <v>06:21:06.820</v>
      </c>
      <c r="T3161" t="str">
        <f t="shared" si="1309"/>
        <v>06:21:06.420</v>
      </c>
      <c r="U3161" t="str">
        <f t="shared" si="1294"/>
        <v>A7E2E0</v>
      </c>
      <c r="V3161">
        <v>0</v>
      </c>
      <c r="W3161">
        <v>0</v>
      </c>
      <c r="X3161">
        <v>1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0</v>
      </c>
      <c r="AI3161" t="s">
        <v>1525</v>
      </c>
      <c r="AJ3161">
        <v>38.850918</v>
      </c>
      <c r="AK3161" t="s">
        <v>1234</v>
      </c>
      <c r="AL3161">
        <v>-87.607427000000001</v>
      </c>
      <c r="AM3161">
        <v>100</v>
      </c>
      <c r="AN3161">
        <v>2300</v>
      </c>
      <c r="AO3161" t="s">
        <v>118</v>
      </c>
      <c r="AP3161">
        <v>17</v>
      </c>
      <c r="AQ3161">
        <v>-110</v>
      </c>
      <c r="AR3161">
        <v>-832</v>
      </c>
      <c r="AZ3161">
        <v>4552</v>
      </c>
      <c r="BA3161">
        <v>1</v>
      </c>
      <c r="BB3161" t="str">
        <f t="shared" si="1295"/>
        <v xml:space="preserve">N607SR  </v>
      </c>
      <c r="BC3161">
        <v>1</v>
      </c>
      <c r="BE3161">
        <v>0</v>
      </c>
      <c r="BF3161">
        <v>0</v>
      </c>
      <c r="BG3161">
        <v>0</v>
      </c>
      <c r="BH3161">
        <v>2125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 t="shared" si="1310"/>
        <v>06:21:06.826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6</v>
      </c>
      <c r="CP3161" t="s">
        <v>119</v>
      </c>
      <c r="CQ3161">
        <v>465</v>
      </c>
      <c r="CR3161">
        <v>0</v>
      </c>
      <c r="CW3161">
        <v>4729569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 t="shared" si="1307"/>
        <v>08/29/2020 06:21:03.621</v>
      </c>
      <c r="C3162" t="str">
        <f t="shared" si="1293"/>
        <v>FFDFD3C0</v>
      </c>
      <c r="D3162" t="s">
        <v>939</v>
      </c>
      <c r="E3162">
        <v>10</v>
      </c>
      <c r="H3162">
        <v>79</v>
      </c>
      <c r="I3162" t="s">
        <v>940</v>
      </c>
      <c r="J3162" t="s">
        <v>130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308"/>
        <v>06:21:06.820</v>
      </c>
      <c r="T3162" t="str">
        <f t="shared" si="1309"/>
        <v>06:21:06.420</v>
      </c>
      <c r="U3162" t="str">
        <f t="shared" si="1294"/>
        <v>A7E2E0</v>
      </c>
      <c r="V3162">
        <v>0</v>
      </c>
      <c r="W3162">
        <v>0</v>
      </c>
      <c r="X3162">
        <v>1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0</v>
      </c>
      <c r="AI3162" t="s">
        <v>1525</v>
      </c>
      <c r="AJ3162">
        <v>38.850918</v>
      </c>
      <c r="AK3162" t="s">
        <v>1234</v>
      </c>
      <c r="AL3162">
        <v>-87.607427000000001</v>
      </c>
      <c r="AM3162">
        <v>100</v>
      </c>
      <c r="AN3162">
        <v>2300</v>
      </c>
      <c r="AO3162" t="s">
        <v>118</v>
      </c>
      <c r="AP3162">
        <v>17</v>
      </c>
      <c r="AQ3162">
        <v>-110</v>
      </c>
      <c r="AR3162">
        <v>-832</v>
      </c>
      <c r="AZ3162">
        <v>4552</v>
      </c>
      <c r="BA3162">
        <v>1</v>
      </c>
      <c r="BB3162" t="str">
        <f t="shared" si="1295"/>
        <v xml:space="preserve">N607SR  </v>
      </c>
      <c r="BC3162">
        <v>1</v>
      </c>
      <c r="BE3162">
        <v>0</v>
      </c>
      <c r="BF3162">
        <v>0</v>
      </c>
      <c r="BG3162">
        <v>0</v>
      </c>
      <c r="BH3162">
        <v>2125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 t="shared" si="1310"/>
        <v>06:21:06.826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6</v>
      </c>
      <c r="CP3162" t="s">
        <v>119</v>
      </c>
      <c r="CQ3162">
        <v>465</v>
      </c>
      <c r="CR3162">
        <v>0</v>
      </c>
      <c r="CW3162">
        <v>4729569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 t="shared" si="1307"/>
        <v>08/29/2020 06:21:03.621</v>
      </c>
      <c r="C3163" t="str">
        <f t="shared" si="1293"/>
        <v>FFDFD3C0</v>
      </c>
      <c r="D3163" t="s">
        <v>121</v>
      </c>
      <c r="E3163">
        <v>13</v>
      </c>
      <c r="F3163">
        <v>1013</v>
      </c>
      <c r="G3163" t="s">
        <v>122</v>
      </c>
      <c r="J3163" t="s">
        <v>123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si="1308"/>
        <v>06:21:06.820</v>
      </c>
      <c r="T3163" t="str">
        <f t="shared" si="1309"/>
        <v>06:21:06.420</v>
      </c>
      <c r="U3163" t="str">
        <f t="shared" si="1294"/>
        <v>A7E2E0</v>
      </c>
      <c r="V3163">
        <v>0</v>
      </c>
      <c r="W3163">
        <v>0</v>
      </c>
      <c r="X3163">
        <v>1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0</v>
      </c>
      <c r="AI3163" t="s">
        <v>1525</v>
      </c>
      <c r="AJ3163">
        <v>38.850918</v>
      </c>
      <c r="AK3163" t="s">
        <v>1234</v>
      </c>
      <c r="AL3163">
        <v>-87.607427000000001</v>
      </c>
      <c r="AM3163">
        <v>100</v>
      </c>
      <c r="AN3163">
        <v>2300</v>
      </c>
      <c r="AO3163" t="s">
        <v>118</v>
      </c>
      <c r="AP3163">
        <v>17</v>
      </c>
      <c r="AQ3163">
        <v>-110</v>
      </c>
      <c r="AR3163">
        <v>-832</v>
      </c>
      <c r="AZ3163">
        <v>4552</v>
      </c>
      <c r="BA3163">
        <v>1</v>
      </c>
      <c r="BB3163" t="str">
        <f t="shared" si="1295"/>
        <v xml:space="preserve">N607SR  </v>
      </c>
      <c r="BC3163">
        <v>1</v>
      </c>
      <c r="BE3163">
        <v>0</v>
      </c>
      <c r="BF3163">
        <v>0</v>
      </c>
      <c r="BG3163">
        <v>0</v>
      </c>
      <c r="BH3163">
        <v>2125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 t="shared" si="1310"/>
        <v>06:21:06.826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6</v>
      </c>
      <c r="CP3163" t="s">
        <v>119</v>
      </c>
      <c r="CQ3163">
        <v>465</v>
      </c>
      <c r="CR3163">
        <v>0</v>
      </c>
      <c r="CW3163">
        <v>4729569</v>
      </c>
      <c r="CY3163">
        <v>1</v>
      </c>
      <c r="CZ3163">
        <v>0</v>
      </c>
      <c r="DA3163">
        <v>1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 t="shared" si="1307"/>
        <v>08/29/2020 06:21:03.621</v>
      </c>
      <c r="C3164" t="str">
        <f t="shared" si="1293"/>
        <v>FFDFD3C0</v>
      </c>
      <c r="D3164" t="s">
        <v>121</v>
      </c>
      <c r="E3164">
        <v>10</v>
      </c>
      <c r="F3164">
        <v>1010</v>
      </c>
      <c r="G3164" t="s">
        <v>114</v>
      </c>
      <c r="J3164" t="s">
        <v>123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308"/>
        <v>06:21:06.820</v>
      </c>
      <c r="T3164" t="str">
        <f t="shared" si="1309"/>
        <v>06:21:06.420</v>
      </c>
      <c r="U3164" t="str">
        <f t="shared" si="1294"/>
        <v>A7E2E0</v>
      </c>
      <c r="V3164">
        <v>0</v>
      </c>
      <c r="W3164">
        <v>0</v>
      </c>
      <c r="X3164">
        <v>1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0</v>
      </c>
      <c r="AI3164" t="s">
        <v>1525</v>
      </c>
      <c r="AJ3164">
        <v>38.850918</v>
      </c>
      <c r="AK3164" t="s">
        <v>1234</v>
      </c>
      <c r="AL3164">
        <v>-87.607427000000001</v>
      </c>
      <c r="AM3164">
        <v>100</v>
      </c>
      <c r="AN3164">
        <v>2300</v>
      </c>
      <c r="AO3164" t="s">
        <v>118</v>
      </c>
      <c r="AP3164">
        <v>17</v>
      </c>
      <c r="AQ3164">
        <v>-110</v>
      </c>
      <c r="AR3164">
        <v>-832</v>
      </c>
      <c r="AZ3164">
        <v>4552</v>
      </c>
      <c r="BA3164">
        <v>1</v>
      </c>
      <c r="BB3164" t="str">
        <f t="shared" si="1295"/>
        <v xml:space="preserve">N607SR  </v>
      </c>
      <c r="BC3164">
        <v>1</v>
      </c>
      <c r="BE3164">
        <v>0</v>
      </c>
      <c r="BF3164">
        <v>0</v>
      </c>
      <c r="BG3164">
        <v>0</v>
      </c>
      <c r="BH3164">
        <v>2125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 t="shared" si="1310"/>
        <v>06:21:06.826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6</v>
      </c>
      <c r="CP3164" t="s">
        <v>119</v>
      </c>
      <c r="CQ3164">
        <v>465</v>
      </c>
      <c r="CR3164">
        <v>0</v>
      </c>
      <c r="CW3164">
        <v>4729569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 t="shared" ref="A3165:A3170" si="1311">"08/29/2020 06:21:04.734"</f>
        <v>08/29/2020 06:21:04.734</v>
      </c>
      <c r="C3165" t="str">
        <f t="shared" si="1293"/>
        <v>FFDFD3C0</v>
      </c>
      <c r="D3165" t="s">
        <v>121</v>
      </c>
      <c r="E3165">
        <v>11</v>
      </c>
      <c r="F3165">
        <v>1011</v>
      </c>
      <c r="G3165" t="s">
        <v>125</v>
      </c>
      <c r="J3165" t="s">
        <v>123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ref="S3165:S3170" si="1312">"06:21:07.969"</f>
        <v>06:21:07.969</v>
      </c>
      <c r="T3165" t="str">
        <f t="shared" ref="T3165:T3170" si="1313">"06:21:07.469"</f>
        <v>06:21:07.469</v>
      </c>
      <c r="U3165" t="str">
        <f t="shared" si="1294"/>
        <v>A7E2E0</v>
      </c>
      <c r="V3165">
        <v>0</v>
      </c>
      <c r="W3165">
        <v>0</v>
      </c>
      <c r="X3165">
        <v>1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0</v>
      </c>
      <c r="AI3165" t="s">
        <v>1526</v>
      </c>
      <c r="AJ3165">
        <v>38.850316999999997</v>
      </c>
      <c r="AK3165" t="s">
        <v>1527</v>
      </c>
      <c r="AL3165">
        <v>-87.607319000000004</v>
      </c>
      <c r="AM3165">
        <v>100</v>
      </c>
      <c r="AN3165">
        <v>2300</v>
      </c>
      <c r="AO3165" t="s">
        <v>118</v>
      </c>
      <c r="AP3165">
        <v>17</v>
      </c>
      <c r="AQ3165">
        <v>-112</v>
      </c>
      <c r="AR3165">
        <v>-768</v>
      </c>
      <c r="AZ3165">
        <v>4552</v>
      </c>
      <c r="BA3165">
        <v>1</v>
      </c>
      <c r="BB3165" t="str">
        <f t="shared" si="1295"/>
        <v xml:space="preserve">N607SR  </v>
      </c>
      <c r="BC3165">
        <v>1</v>
      </c>
      <c r="BE3165">
        <v>0</v>
      </c>
      <c r="BF3165">
        <v>0</v>
      </c>
      <c r="BG3165">
        <v>0</v>
      </c>
      <c r="BH3165">
        <v>2125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 t="shared" ref="BW3165:BW3170" si="1314">"06:21:07.973"</f>
        <v>06:21:07.973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6</v>
      </c>
      <c r="CP3165" t="s">
        <v>119</v>
      </c>
      <c r="CQ3165">
        <v>177</v>
      </c>
      <c r="CR3165">
        <v>2</v>
      </c>
      <c r="CW3165">
        <v>1692102</v>
      </c>
      <c r="CY3165">
        <v>1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 t="shared" si="1311"/>
        <v>08/29/2020 06:21:04.734</v>
      </c>
      <c r="C3166" t="str">
        <f t="shared" si="1293"/>
        <v>FFDFD3C0</v>
      </c>
      <c r="D3166" t="s">
        <v>113</v>
      </c>
      <c r="E3166">
        <v>5</v>
      </c>
      <c r="H3166">
        <v>163</v>
      </c>
      <c r="I3166" t="s">
        <v>114</v>
      </c>
      <c r="J3166" t="s">
        <v>115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si="1312"/>
        <v>06:21:07.969</v>
      </c>
      <c r="T3166" t="str">
        <f t="shared" si="1313"/>
        <v>06:21:07.469</v>
      </c>
      <c r="U3166" t="str">
        <f t="shared" si="1294"/>
        <v>A7E2E0</v>
      </c>
      <c r="V3166">
        <v>0</v>
      </c>
      <c r="W3166">
        <v>0</v>
      </c>
      <c r="X3166">
        <v>1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0</v>
      </c>
      <c r="AI3166" t="s">
        <v>1526</v>
      </c>
      <c r="AJ3166">
        <v>38.850316999999997</v>
      </c>
      <c r="AK3166" t="s">
        <v>1527</v>
      </c>
      <c r="AL3166">
        <v>-87.607319000000004</v>
      </c>
      <c r="AM3166">
        <v>100</v>
      </c>
      <c r="AN3166">
        <v>2300</v>
      </c>
      <c r="AO3166" t="s">
        <v>118</v>
      </c>
      <c r="AP3166">
        <v>17</v>
      </c>
      <c r="AQ3166">
        <v>-112</v>
      </c>
      <c r="AR3166">
        <v>-768</v>
      </c>
      <c r="AZ3166">
        <v>4552</v>
      </c>
      <c r="BA3166">
        <v>1</v>
      </c>
      <c r="BB3166" t="str">
        <f t="shared" si="1295"/>
        <v xml:space="preserve">N607SR  </v>
      </c>
      <c r="BC3166">
        <v>1</v>
      </c>
      <c r="BE3166">
        <v>0</v>
      </c>
      <c r="BF3166">
        <v>0</v>
      </c>
      <c r="BG3166">
        <v>0</v>
      </c>
      <c r="BH3166">
        <v>2125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 t="shared" si="1314"/>
        <v>06:21:07.973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6</v>
      </c>
      <c r="CP3166" t="s">
        <v>119</v>
      </c>
      <c r="CQ3166">
        <v>465</v>
      </c>
      <c r="CR3166">
        <v>0</v>
      </c>
      <c r="CW3166">
        <v>4729607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 t="shared" si="1311"/>
        <v>08/29/2020 06:21:04.734</v>
      </c>
      <c r="C3167" t="str">
        <f t="shared" si="1293"/>
        <v>FFDFD3C0</v>
      </c>
      <c r="D3167" t="s">
        <v>939</v>
      </c>
      <c r="E3167">
        <v>10</v>
      </c>
      <c r="H3167">
        <v>79</v>
      </c>
      <c r="I3167" t="s">
        <v>940</v>
      </c>
      <c r="J3167" t="s">
        <v>130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si="1312"/>
        <v>06:21:07.969</v>
      </c>
      <c r="T3167" t="str">
        <f t="shared" si="1313"/>
        <v>06:21:07.469</v>
      </c>
      <c r="U3167" t="str">
        <f t="shared" si="1294"/>
        <v>A7E2E0</v>
      </c>
      <c r="V3167">
        <v>0</v>
      </c>
      <c r="W3167">
        <v>0</v>
      </c>
      <c r="X3167">
        <v>1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0</v>
      </c>
      <c r="AI3167" t="s">
        <v>1526</v>
      </c>
      <c r="AJ3167">
        <v>38.850316999999997</v>
      </c>
      <c r="AK3167" t="s">
        <v>1527</v>
      </c>
      <c r="AL3167">
        <v>-87.607319000000004</v>
      </c>
      <c r="AM3167">
        <v>100</v>
      </c>
      <c r="AN3167">
        <v>2300</v>
      </c>
      <c r="AO3167" t="s">
        <v>118</v>
      </c>
      <c r="AP3167">
        <v>17</v>
      </c>
      <c r="AQ3167">
        <v>-112</v>
      </c>
      <c r="AR3167">
        <v>-768</v>
      </c>
      <c r="AZ3167">
        <v>4552</v>
      </c>
      <c r="BA3167">
        <v>1</v>
      </c>
      <c r="BB3167" t="str">
        <f t="shared" si="1295"/>
        <v xml:space="preserve">N607SR  </v>
      </c>
      <c r="BC3167">
        <v>1</v>
      </c>
      <c r="BE3167">
        <v>0</v>
      </c>
      <c r="BF3167">
        <v>0</v>
      </c>
      <c r="BG3167">
        <v>0</v>
      </c>
      <c r="BH3167">
        <v>2125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 t="shared" si="1314"/>
        <v>06:21:07.973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6</v>
      </c>
      <c r="CP3167" t="s">
        <v>119</v>
      </c>
      <c r="CQ3167">
        <v>465</v>
      </c>
      <c r="CR3167">
        <v>0</v>
      </c>
      <c r="CW3167">
        <v>4729607</v>
      </c>
      <c r="CY3167">
        <v>1</v>
      </c>
      <c r="CZ3167">
        <v>0</v>
      </c>
      <c r="DA3167">
        <v>1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 t="shared" si="1311"/>
        <v>08/29/2020 06:21:04.734</v>
      </c>
      <c r="C3168" t="str">
        <f t="shared" si="1293"/>
        <v>FFDFD3C0</v>
      </c>
      <c r="D3168" t="s">
        <v>128</v>
      </c>
      <c r="E3168">
        <v>5</v>
      </c>
      <c r="H3168">
        <v>241</v>
      </c>
      <c r="I3168" t="s">
        <v>129</v>
      </c>
      <c r="J3168" t="s">
        <v>130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312"/>
        <v>06:21:07.969</v>
      </c>
      <c r="T3168" t="str">
        <f t="shared" si="1313"/>
        <v>06:21:07.469</v>
      </c>
      <c r="U3168" t="str">
        <f t="shared" si="1294"/>
        <v>A7E2E0</v>
      </c>
      <c r="V3168">
        <v>0</v>
      </c>
      <c r="W3168">
        <v>0</v>
      </c>
      <c r="X3168">
        <v>1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0</v>
      </c>
      <c r="AI3168" t="s">
        <v>1526</v>
      </c>
      <c r="AJ3168">
        <v>38.850316999999997</v>
      </c>
      <c r="AK3168" t="s">
        <v>1527</v>
      </c>
      <c r="AL3168">
        <v>-87.607319000000004</v>
      </c>
      <c r="AM3168">
        <v>100</v>
      </c>
      <c r="AN3168">
        <v>2300</v>
      </c>
      <c r="AO3168" t="s">
        <v>118</v>
      </c>
      <c r="AP3168">
        <v>17</v>
      </c>
      <c r="AQ3168">
        <v>-112</v>
      </c>
      <c r="AR3168">
        <v>-768</v>
      </c>
      <c r="AZ3168">
        <v>4552</v>
      </c>
      <c r="BA3168">
        <v>1</v>
      </c>
      <c r="BB3168" t="str">
        <f t="shared" si="1295"/>
        <v xml:space="preserve">N607SR  </v>
      </c>
      <c r="BC3168">
        <v>1</v>
      </c>
      <c r="BE3168">
        <v>0</v>
      </c>
      <c r="BF3168">
        <v>0</v>
      </c>
      <c r="BG3168">
        <v>0</v>
      </c>
      <c r="BH3168">
        <v>2125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 t="shared" si="1314"/>
        <v>06:21:07.973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6</v>
      </c>
      <c r="CP3168" t="s">
        <v>119</v>
      </c>
      <c r="CQ3168">
        <v>465</v>
      </c>
      <c r="CR3168">
        <v>0</v>
      </c>
      <c r="CW3168">
        <v>4729607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 t="shared" si="1311"/>
        <v>08/29/2020 06:21:04.734</v>
      </c>
      <c r="C3169" t="str">
        <f t="shared" si="1293"/>
        <v>FFDFD3C0</v>
      </c>
      <c r="D3169" t="s">
        <v>121</v>
      </c>
      <c r="E3169">
        <v>10</v>
      </c>
      <c r="F3169">
        <v>1010</v>
      </c>
      <c r="G3169" t="s">
        <v>114</v>
      </c>
      <c r="J3169" t="s">
        <v>123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312"/>
        <v>06:21:07.969</v>
      </c>
      <c r="T3169" t="str">
        <f t="shared" si="1313"/>
        <v>06:21:07.469</v>
      </c>
      <c r="U3169" t="str">
        <f t="shared" si="1294"/>
        <v>A7E2E0</v>
      </c>
      <c r="V3169">
        <v>0</v>
      </c>
      <c r="W3169">
        <v>0</v>
      </c>
      <c r="X3169">
        <v>1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0</v>
      </c>
      <c r="AI3169" t="s">
        <v>1526</v>
      </c>
      <c r="AJ3169">
        <v>38.850316999999997</v>
      </c>
      <c r="AK3169" t="s">
        <v>1527</v>
      </c>
      <c r="AL3169">
        <v>-87.607319000000004</v>
      </c>
      <c r="AM3169">
        <v>100</v>
      </c>
      <c r="AN3169">
        <v>2300</v>
      </c>
      <c r="AO3169" t="s">
        <v>118</v>
      </c>
      <c r="AP3169">
        <v>17</v>
      </c>
      <c r="AQ3169">
        <v>-112</v>
      </c>
      <c r="AR3169">
        <v>-768</v>
      </c>
      <c r="AZ3169">
        <v>4552</v>
      </c>
      <c r="BA3169">
        <v>1</v>
      </c>
      <c r="BB3169" t="str">
        <f t="shared" si="1295"/>
        <v xml:space="preserve">N607SR  </v>
      </c>
      <c r="BC3169">
        <v>1</v>
      </c>
      <c r="BE3169">
        <v>0</v>
      </c>
      <c r="BF3169">
        <v>0</v>
      </c>
      <c r="BG3169">
        <v>0</v>
      </c>
      <c r="BH3169">
        <v>2125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 t="shared" si="1314"/>
        <v>06:21:07.973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6</v>
      </c>
      <c r="CP3169" t="s">
        <v>119</v>
      </c>
      <c r="CQ3169">
        <v>465</v>
      </c>
      <c r="CR3169">
        <v>0</v>
      </c>
      <c r="CW3169">
        <v>4729607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 t="shared" si="1311"/>
        <v>08/29/2020 06:21:04.734</v>
      </c>
      <c r="C3170" t="str">
        <f t="shared" si="1293"/>
        <v>FFDFD3C0</v>
      </c>
      <c r="D3170" t="s">
        <v>121</v>
      </c>
      <c r="E3170">
        <v>13</v>
      </c>
      <c r="F3170">
        <v>1013</v>
      </c>
      <c r="G3170" t="s">
        <v>122</v>
      </c>
      <c r="J3170" t="s">
        <v>123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si="1312"/>
        <v>06:21:07.969</v>
      </c>
      <c r="T3170" t="str">
        <f t="shared" si="1313"/>
        <v>06:21:07.469</v>
      </c>
      <c r="U3170" t="str">
        <f t="shared" si="1294"/>
        <v>A7E2E0</v>
      </c>
      <c r="V3170">
        <v>0</v>
      </c>
      <c r="W3170">
        <v>0</v>
      </c>
      <c r="X3170">
        <v>1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0</v>
      </c>
      <c r="AI3170" t="s">
        <v>1526</v>
      </c>
      <c r="AJ3170">
        <v>38.850316999999997</v>
      </c>
      <c r="AK3170" t="s">
        <v>1527</v>
      </c>
      <c r="AL3170">
        <v>-87.607319000000004</v>
      </c>
      <c r="AM3170">
        <v>100</v>
      </c>
      <c r="AN3170">
        <v>2300</v>
      </c>
      <c r="AO3170" t="s">
        <v>118</v>
      </c>
      <c r="AP3170">
        <v>17</v>
      </c>
      <c r="AQ3170">
        <v>-112</v>
      </c>
      <c r="AR3170">
        <v>-768</v>
      </c>
      <c r="AZ3170">
        <v>4552</v>
      </c>
      <c r="BA3170">
        <v>1</v>
      </c>
      <c r="BB3170" t="str">
        <f t="shared" si="1295"/>
        <v xml:space="preserve">N607SR  </v>
      </c>
      <c r="BC3170">
        <v>1</v>
      </c>
      <c r="BE3170">
        <v>0</v>
      </c>
      <c r="BF3170">
        <v>0</v>
      </c>
      <c r="BG3170">
        <v>0</v>
      </c>
      <c r="BH3170">
        <v>2125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 t="shared" si="1314"/>
        <v>06:21:07.973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6</v>
      </c>
      <c r="CP3170" t="s">
        <v>119</v>
      </c>
      <c r="CQ3170">
        <v>465</v>
      </c>
      <c r="CR3170">
        <v>0</v>
      </c>
      <c r="CW3170">
        <v>4729607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 t="shared" ref="A3171:A3176" si="1315">"08/29/2020 06:21:05.654"</f>
        <v>08/29/2020 06:21:05.654</v>
      </c>
      <c r="C3171" t="str">
        <f t="shared" si="1293"/>
        <v>FFDFD3C0</v>
      </c>
      <c r="D3171" t="s">
        <v>113</v>
      </c>
      <c r="E3171">
        <v>5</v>
      </c>
      <c r="H3171">
        <v>163</v>
      </c>
      <c r="I3171" t="s">
        <v>114</v>
      </c>
      <c r="J3171" t="s">
        <v>115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ref="S3171:S3176" si="1316">"06:21:08.883"</f>
        <v>06:21:08.883</v>
      </c>
      <c r="T3171" t="str">
        <f t="shared" ref="T3171:T3176" si="1317">"06:21:08.483"</f>
        <v>06:21:08.483</v>
      </c>
      <c r="U3171" t="str">
        <f t="shared" si="1294"/>
        <v>A7E2E0</v>
      </c>
      <c r="V3171">
        <v>0</v>
      </c>
      <c r="W3171">
        <v>0</v>
      </c>
      <c r="X3171">
        <v>1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0</v>
      </c>
      <c r="AI3171" t="s">
        <v>1528</v>
      </c>
      <c r="AJ3171">
        <v>38.849845000000002</v>
      </c>
      <c r="AK3171" t="s">
        <v>1529</v>
      </c>
      <c r="AL3171">
        <v>-87.607234000000005</v>
      </c>
      <c r="AM3171">
        <v>100</v>
      </c>
      <c r="AN3171">
        <v>2300</v>
      </c>
      <c r="AO3171" t="s">
        <v>118</v>
      </c>
      <c r="AP3171">
        <v>17</v>
      </c>
      <c r="AQ3171">
        <v>-113</v>
      </c>
      <c r="AR3171">
        <v>-768</v>
      </c>
      <c r="AZ3171">
        <v>4552</v>
      </c>
      <c r="BA3171">
        <v>1</v>
      </c>
      <c r="BB3171" t="str">
        <f t="shared" si="1295"/>
        <v xml:space="preserve">N607SR  </v>
      </c>
      <c r="BC3171">
        <v>1</v>
      </c>
      <c r="BE3171">
        <v>0</v>
      </c>
      <c r="BF3171">
        <v>0</v>
      </c>
      <c r="BG3171">
        <v>0</v>
      </c>
      <c r="BH3171">
        <v>2100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 t="shared" ref="BW3171:BW3176" si="1318">"06:21:08.889"</f>
        <v>06:21:08.889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6</v>
      </c>
      <c r="CP3171" t="s">
        <v>119</v>
      </c>
      <c r="CQ3171">
        <v>465</v>
      </c>
      <c r="CR3171">
        <v>0</v>
      </c>
      <c r="CW3171">
        <v>4729638</v>
      </c>
      <c r="CY3171">
        <v>1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 t="shared" si="1315"/>
        <v>08/29/2020 06:21:05.654</v>
      </c>
      <c r="C3172" t="str">
        <f t="shared" si="1293"/>
        <v>FFDFD3C0</v>
      </c>
      <c r="D3172" t="s">
        <v>128</v>
      </c>
      <c r="E3172">
        <v>5</v>
      </c>
      <c r="H3172">
        <v>241</v>
      </c>
      <c r="I3172" t="s">
        <v>129</v>
      </c>
      <c r="J3172" t="s">
        <v>130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si="1316"/>
        <v>06:21:08.883</v>
      </c>
      <c r="T3172" t="str">
        <f t="shared" si="1317"/>
        <v>06:21:08.483</v>
      </c>
      <c r="U3172" t="str">
        <f t="shared" si="1294"/>
        <v>A7E2E0</v>
      </c>
      <c r="V3172">
        <v>0</v>
      </c>
      <c r="W3172">
        <v>0</v>
      </c>
      <c r="X3172">
        <v>1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0</v>
      </c>
      <c r="AI3172" t="s">
        <v>1528</v>
      </c>
      <c r="AJ3172">
        <v>38.849845000000002</v>
      </c>
      <c r="AK3172" t="s">
        <v>1529</v>
      </c>
      <c r="AL3172">
        <v>-87.607234000000005</v>
      </c>
      <c r="AM3172">
        <v>100</v>
      </c>
      <c r="AN3172">
        <v>2300</v>
      </c>
      <c r="AO3172" t="s">
        <v>118</v>
      </c>
      <c r="AP3172">
        <v>17</v>
      </c>
      <c r="AQ3172">
        <v>-113</v>
      </c>
      <c r="AR3172">
        <v>-768</v>
      </c>
      <c r="AZ3172">
        <v>4552</v>
      </c>
      <c r="BA3172">
        <v>1</v>
      </c>
      <c r="BB3172" t="str">
        <f t="shared" si="1295"/>
        <v xml:space="preserve">N607SR  </v>
      </c>
      <c r="BC3172">
        <v>1</v>
      </c>
      <c r="BE3172">
        <v>0</v>
      </c>
      <c r="BF3172">
        <v>0</v>
      </c>
      <c r="BG3172">
        <v>0</v>
      </c>
      <c r="BH3172">
        <v>2100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 t="shared" si="1318"/>
        <v>06:21:08.889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6</v>
      </c>
      <c r="CP3172" t="s">
        <v>119</v>
      </c>
      <c r="CQ3172">
        <v>465</v>
      </c>
      <c r="CR3172">
        <v>0</v>
      </c>
      <c r="CW3172">
        <v>4729638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 t="shared" si="1315"/>
        <v>08/29/2020 06:21:05.654</v>
      </c>
      <c r="C3173" t="str">
        <f t="shared" si="1293"/>
        <v>FFDFD3C0</v>
      </c>
      <c r="D3173" t="s">
        <v>121</v>
      </c>
      <c r="E3173">
        <v>10</v>
      </c>
      <c r="F3173">
        <v>1010</v>
      </c>
      <c r="G3173" t="s">
        <v>114</v>
      </c>
      <c r="J3173" t="s">
        <v>123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si="1316"/>
        <v>06:21:08.883</v>
      </c>
      <c r="T3173" t="str">
        <f t="shared" si="1317"/>
        <v>06:21:08.483</v>
      </c>
      <c r="U3173" t="str">
        <f t="shared" si="1294"/>
        <v>A7E2E0</v>
      </c>
      <c r="V3173">
        <v>0</v>
      </c>
      <c r="W3173">
        <v>0</v>
      </c>
      <c r="X3173">
        <v>1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0</v>
      </c>
      <c r="AI3173" t="s">
        <v>1528</v>
      </c>
      <c r="AJ3173">
        <v>38.849845000000002</v>
      </c>
      <c r="AK3173" t="s">
        <v>1529</v>
      </c>
      <c r="AL3173">
        <v>-87.607234000000005</v>
      </c>
      <c r="AM3173">
        <v>100</v>
      </c>
      <c r="AN3173">
        <v>2300</v>
      </c>
      <c r="AO3173" t="s">
        <v>118</v>
      </c>
      <c r="AP3173">
        <v>17</v>
      </c>
      <c r="AQ3173">
        <v>-113</v>
      </c>
      <c r="AR3173">
        <v>-768</v>
      </c>
      <c r="AZ3173">
        <v>4552</v>
      </c>
      <c r="BA3173">
        <v>1</v>
      </c>
      <c r="BB3173" t="str">
        <f t="shared" si="1295"/>
        <v xml:space="preserve">N607SR  </v>
      </c>
      <c r="BC3173">
        <v>1</v>
      </c>
      <c r="BE3173">
        <v>0</v>
      </c>
      <c r="BF3173">
        <v>0</v>
      </c>
      <c r="BG3173">
        <v>0</v>
      </c>
      <c r="BH3173">
        <v>2100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 t="shared" si="1318"/>
        <v>06:21:08.889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6</v>
      </c>
      <c r="CP3173" t="s">
        <v>119</v>
      </c>
      <c r="CQ3173">
        <v>465</v>
      </c>
      <c r="CR3173">
        <v>0</v>
      </c>
      <c r="CW3173">
        <v>4729638</v>
      </c>
      <c r="CY3173">
        <v>1</v>
      </c>
      <c r="CZ3173">
        <v>0</v>
      </c>
      <c r="DA3173">
        <v>1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 t="shared" si="1315"/>
        <v>08/29/2020 06:21:05.654</v>
      </c>
      <c r="C3174" t="str">
        <f t="shared" si="1293"/>
        <v>FFDFD3C0</v>
      </c>
      <c r="D3174" t="s">
        <v>121</v>
      </c>
      <c r="E3174">
        <v>13</v>
      </c>
      <c r="F3174">
        <v>1013</v>
      </c>
      <c r="G3174" t="s">
        <v>122</v>
      </c>
      <c r="J3174" t="s">
        <v>123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316"/>
        <v>06:21:08.883</v>
      </c>
      <c r="T3174" t="str">
        <f t="shared" si="1317"/>
        <v>06:21:08.483</v>
      </c>
      <c r="U3174" t="str">
        <f t="shared" si="1294"/>
        <v>A7E2E0</v>
      </c>
      <c r="V3174">
        <v>0</v>
      </c>
      <c r="W3174">
        <v>0</v>
      </c>
      <c r="X3174">
        <v>1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0</v>
      </c>
      <c r="AI3174" t="s">
        <v>1528</v>
      </c>
      <c r="AJ3174">
        <v>38.849845000000002</v>
      </c>
      <c r="AK3174" t="s">
        <v>1529</v>
      </c>
      <c r="AL3174">
        <v>-87.607234000000005</v>
      </c>
      <c r="AM3174">
        <v>100</v>
      </c>
      <c r="AN3174">
        <v>2300</v>
      </c>
      <c r="AO3174" t="s">
        <v>118</v>
      </c>
      <c r="AP3174">
        <v>17</v>
      </c>
      <c r="AQ3174">
        <v>-113</v>
      </c>
      <c r="AR3174">
        <v>-768</v>
      </c>
      <c r="AZ3174">
        <v>4552</v>
      </c>
      <c r="BA3174">
        <v>1</v>
      </c>
      <c r="BB3174" t="str">
        <f t="shared" si="1295"/>
        <v xml:space="preserve">N607SR  </v>
      </c>
      <c r="BC3174">
        <v>1</v>
      </c>
      <c r="BE3174">
        <v>0</v>
      </c>
      <c r="BF3174">
        <v>0</v>
      </c>
      <c r="BG3174">
        <v>0</v>
      </c>
      <c r="BH3174">
        <v>2100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 t="shared" si="1318"/>
        <v>06:21:08.889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6</v>
      </c>
      <c r="CP3174" t="s">
        <v>119</v>
      </c>
      <c r="CQ3174">
        <v>465</v>
      </c>
      <c r="CR3174">
        <v>0</v>
      </c>
      <c r="CW3174">
        <v>4729638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 t="shared" si="1315"/>
        <v>08/29/2020 06:21:05.654</v>
      </c>
      <c r="C3175" t="str">
        <f t="shared" si="1293"/>
        <v>FFDFD3C0</v>
      </c>
      <c r="D3175" t="s">
        <v>121</v>
      </c>
      <c r="E3175">
        <v>11</v>
      </c>
      <c r="F3175">
        <v>1011</v>
      </c>
      <c r="G3175" t="s">
        <v>125</v>
      </c>
      <c r="J3175" t="s">
        <v>123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316"/>
        <v>06:21:08.883</v>
      </c>
      <c r="T3175" t="str">
        <f t="shared" si="1317"/>
        <v>06:21:08.483</v>
      </c>
      <c r="U3175" t="str">
        <f t="shared" si="1294"/>
        <v>A7E2E0</v>
      </c>
      <c r="V3175">
        <v>0</v>
      </c>
      <c r="W3175">
        <v>0</v>
      </c>
      <c r="X3175">
        <v>1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0</v>
      </c>
      <c r="AI3175" t="s">
        <v>1528</v>
      </c>
      <c r="AJ3175">
        <v>38.849845000000002</v>
      </c>
      <c r="AK3175" t="s">
        <v>1529</v>
      </c>
      <c r="AL3175">
        <v>-87.607234000000005</v>
      </c>
      <c r="AM3175">
        <v>100</v>
      </c>
      <c r="AN3175">
        <v>2300</v>
      </c>
      <c r="AO3175" t="s">
        <v>118</v>
      </c>
      <c r="AP3175">
        <v>17</v>
      </c>
      <c r="AQ3175">
        <v>-113</v>
      </c>
      <c r="AR3175">
        <v>-768</v>
      </c>
      <c r="AZ3175">
        <v>4552</v>
      </c>
      <c r="BA3175">
        <v>1</v>
      </c>
      <c r="BB3175" t="str">
        <f t="shared" si="1295"/>
        <v xml:space="preserve">N607SR  </v>
      </c>
      <c r="BC3175">
        <v>1</v>
      </c>
      <c r="BE3175">
        <v>0</v>
      </c>
      <c r="BF3175">
        <v>0</v>
      </c>
      <c r="BG3175">
        <v>0</v>
      </c>
      <c r="BH3175">
        <v>2100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 t="shared" si="1318"/>
        <v>06:21:08.889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5</v>
      </c>
      <c r="CP3175" t="s">
        <v>119</v>
      </c>
      <c r="CQ3175">
        <v>457</v>
      </c>
      <c r="CR3175">
        <v>0</v>
      </c>
      <c r="CW3175">
        <v>15524783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 t="shared" si="1315"/>
        <v>08/29/2020 06:21:05.654</v>
      </c>
      <c r="C3176" t="str">
        <f t="shared" si="1293"/>
        <v>FFDFD3C0</v>
      </c>
      <c r="D3176" t="s">
        <v>939</v>
      </c>
      <c r="E3176">
        <v>10</v>
      </c>
      <c r="H3176">
        <v>79</v>
      </c>
      <c r="I3176" t="s">
        <v>940</v>
      </c>
      <c r="J3176" t="s">
        <v>130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316"/>
        <v>06:21:08.883</v>
      </c>
      <c r="T3176" t="str">
        <f t="shared" si="1317"/>
        <v>06:21:08.483</v>
      </c>
      <c r="U3176" t="str">
        <f t="shared" si="1294"/>
        <v>A7E2E0</v>
      </c>
      <c r="V3176">
        <v>0</v>
      </c>
      <c r="W3176">
        <v>0</v>
      </c>
      <c r="X3176">
        <v>1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0</v>
      </c>
      <c r="AI3176" t="s">
        <v>1528</v>
      </c>
      <c r="AJ3176">
        <v>38.849845000000002</v>
      </c>
      <c r="AK3176" t="s">
        <v>1529</v>
      </c>
      <c r="AL3176">
        <v>-87.607234000000005</v>
      </c>
      <c r="AM3176">
        <v>100</v>
      </c>
      <c r="AN3176">
        <v>2300</v>
      </c>
      <c r="AO3176" t="s">
        <v>118</v>
      </c>
      <c r="AP3176">
        <v>17</v>
      </c>
      <c r="AQ3176">
        <v>-113</v>
      </c>
      <c r="AR3176">
        <v>-768</v>
      </c>
      <c r="AZ3176">
        <v>4552</v>
      </c>
      <c r="BA3176">
        <v>1</v>
      </c>
      <c r="BB3176" t="str">
        <f t="shared" si="1295"/>
        <v xml:space="preserve">N607SR  </v>
      </c>
      <c r="BC3176">
        <v>1</v>
      </c>
      <c r="BE3176">
        <v>0</v>
      </c>
      <c r="BF3176">
        <v>0</v>
      </c>
      <c r="BG3176">
        <v>0</v>
      </c>
      <c r="BH3176">
        <v>2100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 t="shared" si="1318"/>
        <v>06:21:08.889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6</v>
      </c>
      <c r="CP3176" t="s">
        <v>119</v>
      </c>
      <c r="CQ3176">
        <v>465</v>
      </c>
      <c r="CR3176">
        <v>0</v>
      </c>
      <c r="CW3176">
        <v>4729638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 t="shared" ref="A3177:A3182" si="1319">"08/29/2020 06:21:06.718"</f>
        <v>08/29/2020 06:21:06.718</v>
      </c>
      <c r="C3177" t="str">
        <f t="shared" si="1293"/>
        <v>FFDFD3C0</v>
      </c>
      <c r="D3177" t="s">
        <v>113</v>
      </c>
      <c r="E3177">
        <v>5</v>
      </c>
      <c r="H3177">
        <v>163</v>
      </c>
      <c r="I3177" t="s">
        <v>114</v>
      </c>
      <c r="J3177" t="s">
        <v>115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ref="S3177:S3182" si="1320">"06:21:09.953"</f>
        <v>06:21:09.953</v>
      </c>
      <c r="T3177" t="str">
        <f t="shared" ref="T3177:T3182" si="1321">"06:21:09.453"</f>
        <v>06:21:09.453</v>
      </c>
      <c r="U3177" t="str">
        <f t="shared" si="1294"/>
        <v>A7E2E0</v>
      </c>
      <c r="V3177">
        <v>0</v>
      </c>
      <c r="W3177">
        <v>0</v>
      </c>
      <c r="X3177">
        <v>1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0</v>
      </c>
      <c r="AI3177" t="s">
        <v>1530</v>
      </c>
      <c r="AJ3177">
        <v>38.849266</v>
      </c>
      <c r="AK3177" t="s">
        <v>1531</v>
      </c>
      <c r="AL3177">
        <v>-87.607125999999994</v>
      </c>
      <c r="AM3177">
        <v>100</v>
      </c>
      <c r="AN3177">
        <v>2300</v>
      </c>
      <c r="AO3177" t="s">
        <v>118</v>
      </c>
      <c r="AP3177">
        <v>17</v>
      </c>
      <c r="AQ3177">
        <v>-114</v>
      </c>
      <c r="AR3177">
        <v>-704</v>
      </c>
      <c r="AZ3177">
        <v>4552</v>
      </c>
      <c r="BA3177">
        <v>1</v>
      </c>
      <c r="BB3177" t="str">
        <f t="shared" si="1295"/>
        <v xml:space="preserve">N607SR  </v>
      </c>
      <c r="BC3177">
        <v>1</v>
      </c>
      <c r="BE3177">
        <v>0</v>
      </c>
      <c r="BF3177">
        <v>0</v>
      </c>
      <c r="BG3177">
        <v>0</v>
      </c>
      <c r="BH3177">
        <v>2100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 t="shared" ref="BW3177:BW3182" si="1322">"06:21:09.957"</f>
        <v>06:21:09.957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7</v>
      </c>
      <c r="CP3177" t="s">
        <v>119</v>
      </c>
      <c r="CQ3177">
        <v>465</v>
      </c>
      <c r="CR3177">
        <v>0</v>
      </c>
      <c r="CW3177">
        <v>4729667</v>
      </c>
      <c r="CY3177">
        <v>1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 t="shared" si="1319"/>
        <v>08/29/2020 06:21:06.718</v>
      </c>
      <c r="C3178" t="str">
        <f t="shared" si="1293"/>
        <v>FFDFD3C0</v>
      </c>
      <c r="D3178" t="s">
        <v>121</v>
      </c>
      <c r="E3178">
        <v>11</v>
      </c>
      <c r="F3178">
        <v>1011</v>
      </c>
      <c r="G3178" t="s">
        <v>125</v>
      </c>
      <c r="J3178" t="s">
        <v>123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320"/>
        <v>06:21:09.953</v>
      </c>
      <c r="T3178" t="str">
        <f t="shared" si="1321"/>
        <v>06:21:09.453</v>
      </c>
      <c r="U3178" t="str">
        <f t="shared" si="1294"/>
        <v>A7E2E0</v>
      </c>
      <c r="V3178">
        <v>0</v>
      </c>
      <c r="W3178">
        <v>0</v>
      </c>
      <c r="X3178">
        <v>1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0</v>
      </c>
      <c r="AI3178" t="s">
        <v>1530</v>
      </c>
      <c r="AJ3178">
        <v>38.849266</v>
      </c>
      <c r="AK3178" t="s">
        <v>1531</v>
      </c>
      <c r="AL3178">
        <v>-87.607125999999994</v>
      </c>
      <c r="AM3178">
        <v>100</v>
      </c>
      <c r="AN3178">
        <v>2300</v>
      </c>
      <c r="AO3178" t="s">
        <v>118</v>
      </c>
      <c r="AP3178">
        <v>17</v>
      </c>
      <c r="AQ3178">
        <v>-114</v>
      </c>
      <c r="AR3178">
        <v>-704</v>
      </c>
      <c r="AZ3178">
        <v>4552</v>
      </c>
      <c r="BA3178">
        <v>1</v>
      </c>
      <c r="BB3178" t="str">
        <f t="shared" si="1295"/>
        <v xml:space="preserve">N607SR  </v>
      </c>
      <c r="BC3178">
        <v>1</v>
      </c>
      <c r="BE3178">
        <v>0</v>
      </c>
      <c r="BF3178">
        <v>0</v>
      </c>
      <c r="BG3178">
        <v>0</v>
      </c>
      <c r="BH3178">
        <v>2100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 t="shared" si="1322"/>
        <v>06:21:09.957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5</v>
      </c>
      <c r="CP3178" t="s">
        <v>119</v>
      </c>
      <c r="CQ3178">
        <v>457</v>
      </c>
      <c r="CR3178">
        <v>0</v>
      </c>
      <c r="CW3178">
        <v>15524818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 t="shared" si="1319"/>
        <v>08/29/2020 06:21:06.718</v>
      </c>
      <c r="C3179" t="str">
        <f t="shared" si="1293"/>
        <v>FFDFD3C0</v>
      </c>
      <c r="D3179" t="s">
        <v>128</v>
      </c>
      <c r="E3179">
        <v>5</v>
      </c>
      <c r="H3179">
        <v>241</v>
      </c>
      <c r="I3179" t="s">
        <v>129</v>
      </c>
      <c r="J3179" t="s">
        <v>130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si="1320"/>
        <v>06:21:09.953</v>
      </c>
      <c r="T3179" t="str">
        <f t="shared" si="1321"/>
        <v>06:21:09.453</v>
      </c>
      <c r="U3179" t="str">
        <f t="shared" si="1294"/>
        <v>A7E2E0</v>
      </c>
      <c r="V3179">
        <v>0</v>
      </c>
      <c r="W3179">
        <v>0</v>
      </c>
      <c r="X3179">
        <v>1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0</v>
      </c>
      <c r="AI3179" t="s">
        <v>1530</v>
      </c>
      <c r="AJ3179">
        <v>38.849266</v>
      </c>
      <c r="AK3179" t="s">
        <v>1531</v>
      </c>
      <c r="AL3179">
        <v>-87.607125999999994</v>
      </c>
      <c r="AM3179">
        <v>100</v>
      </c>
      <c r="AN3179">
        <v>2300</v>
      </c>
      <c r="AO3179" t="s">
        <v>118</v>
      </c>
      <c r="AP3179">
        <v>17</v>
      </c>
      <c r="AQ3179">
        <v>-114</v>
      </c>
      <c r="AR3179">
        <v>-704</v>
      </c>
      <c r="AZ3179">
        <v>4552</v>
      </c>
      <c r="BA3179">
        <v>1</v>
      </c>
      <c r="BB3179" t="str">
        <f t="shared" si="1295"/>
        <v xml:space="preserve">N607SR  </v>
      </c>
      <c r="BC3179">
        <v>1</v>
      </c>
      <c r="BE3179">
        <v>0</v>
      </c>
      <c r="BF3179">
        <v>0</v>
      </c>
      <c r="BG3179">
        <v>0</v>
      </c>
      <c r="BH3179">
        <v>2100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 t="shared" si="1322"/>
        <v>06:21:09.957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465</v>
      </c>
      <c r="CR3179">
        <v>0</v>
      </c>
      <c r="CW3179">
        <v>4729667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 t="shared" si="1319"/>
        <v>08/29/2020 06:21:06.718</v>
      </c>
      <c r="C3180" t="str">
        <f t="shared" si="1293"/>
        <v>FFDFD3C0</v>
      </c>
      <c r="D3180" t="s">
        <v>121</v>
      </c>
      <c r="E3180">
        <v>10</v>
      </c>
      <c r="F3180">
        <v>1010</v>
      </c>
      <c r="G3180" t="s">
        <v>114</v>
      </c>
      <c r="J3180" t="s">
        <v>123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si="1320"/>
        <v>06:21:09.953</v>
      </c>
      <c r="T3180" t="str">
        <f t="shared" si="1321"/>
        <v>06:21:09.453</v>
      </c>
      <c r="U3180" t="str">
        <f t="shared" si="1294"/>
        <v>A7E2E0</v>
      </c>
      <c r="V3180">
        <v>0</v>
      </c>
      <c r="W3180">
        <v>0</v>
      </c>
      <c r="X3180">
        <v>1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0</v>
      </c>
      <c r="AI3180" t="s">
        <v>1530</v>
      </c>
      <c r="AJ3180">
        <v>38.849266</v>
      </c>
      <c r="AK3180" t="s">
        <v>1531</v>
      </c>
      <c r="AL3180">
        <v>-87.607125999999994</v>
      </c>
      <c r="AM3180">
        <v>100</v>
      </c>
      <c r="AN3180">
        <v>2300</v>
      </c>
      <c r="AO3180" t="s">
        <v>118</v>
      </c>
      <c r="AP3180">
        <v>17</v>
      </c>
      <c r="AQ3180">
        <v>-114</v>
      </c>
      <c r="AR3180">
        <v>-704</v>
      </c>
      <c r="AZ3180">
        <v>4552</v>
      </c>
      <c r="BA3180">
        <v>1</v>
      </c>
      <c r="BB3180" t="str">
        <f t="shared" si="1295"/>
        <v xml:space="preserve">N607SR  </v>
      </c>
      <c r="BC3180">
        <v>1</v>
      </c>
      <c r="BE3180">
        <v>0</v>
      </c>
      <c r="BF3180">
        <v>0</v>
      </c>
      <c r="BG3180">
        <v>0</v>
      </c>
      <c r="BH3180">
        <v>2100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 t="shared" si="1322"/>
        <v>06:21:09.957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465</v>
      </c>
      <c r="CR3180">
        <v>0</v>
      </c>
      <c r="CW3180">
        <v>4729667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 t="shared" si="1319"/>
        <v>08/29/2020 06:21:06.718</v>
      </c>
      <c r="C3181" t="str">
        <f t="shared" si="1293"/>
        <v>FFDFD3C0</v>
      </c>
      <c r="D3181" t="s">
        <v>121</v>
      </c>
      <c r="E3181">
        <v>13</v>
      </c>
      <c r="F3181">
        <v>1013</v>
      </c>
      <c r="G3181" t="s">
        <v>122</v>
      </c>
      <c r="J3181" t="s">
        <v>123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320"/>
        <v>06:21:09.953</v>
      </c>
      <c r="T3181" t="str">
        <f t="shared" si="1321"/>
        <v>06:21:09.453</v>
      </c>
      <c r="U3181" t="str">
        <f t="shared" si="1294"/>
        <v>A7E2E0</v>
      </c>
      <c r="V3181">
        <v>0</v>
      </c>
      <c r="W3181">
        <v>0</v>
      </c>
      <c r="X3181">
        <v>1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0</v>
      </c>
      <c r="AI3181" t="s">
        <v>1530</v>
      </c>
      <c r="AJ3181">
        <v>38.849266</v>
      </c>
      <c r="AK3181" t="s">
        <v>1531</v>
      </c>
      <c r="AL3181">
        <v>-87.607125999999994</v>
      </c>
      <c r="AM3181">
        <v>100</v>
      </c>
      <c r="AN3181">
        <v>2300</v>
      </c>
      <c r="AO3181" t="s">
        <v>118</v>
      </c>
      <c r="AP3181">
        <v>17</v>
      </c>
      <c r="AQ3181">
        <v>-114</v>
      </c>
      <c r="AR3181">
        <v>-704</v>
      </c>
      <c r="AZ3181">
        <v>4552</v>
      </c>
      <c r="BA3181">
        <v>1</v>
      </c>
      <c r="BB3181" t="str">
        <f t="shared" si="1295"/>
        <v xml:space="preserve">N607SR  </v>
      </c>
      <c r="BC3181">
        <v>1</v>
      </c>
      <c r="BE3181">
        <v>0</v>
      </c>
      <c r="BF3181">
        <v>0</v>
      </c>
      <c r="BG3181">
        <v>0</v>
      </c>
      <c r="BH3181">
        <v>2100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 t="shared" si="1322"/>
        <v>06:21:09.957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465</v>
      </c>
      <c r="CR3181">
        <v>0</v>
      </c>
      <c r="CW3181">
        <v>4729667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 t="shared" si="1319"/>
        <v>08/29/2020 06:21:06.718</v>
      </c>
      <c r="C3182" t="str">
        <f t="shared" si="1293"/>
        <v>FFDFD3C0</v>
      </c>
      <c r="D3182" t="s">
        <v>939</v>
      </c>
      <c r="E3182">
        <v>10</v>
      </c>
      <c r="H3182">
        <v>79</v>
      </c>
      <c r="I3182" t="s">
        <v>940</v>
      </c>
      <c r="J3182" t="s">
        <v>130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320"/>
        <v>06:21:09.953</v>
      </c>
      <c r="T3182" t="str">
        <f t="shared" si="1321"/>
        <v>06:21:09.453</v>
      </c>
      <c r="U3182" t="str">
        <f t="shared" si="1294"/>
        <v>A7E2E0</v>
      </c>
      <c r="V3182">
        <v>0</v>
      </c>
      <c r="W3182">
        <v>0</v>
      </c>
      <c r="X3182">
        <v>1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0</v>
      </c>
      <c r="AI3182" t="s">
        <v>1530</v>
      </c>
      <c r="AJ3182">
        <v>38.849266</v>
      </c>
      <c r="AK3182" t="s">
        <v>1531</v>
      </c>
      <c r="AL3182">
        <v>-87.607125999999994</v>
      </c>
      <c r="AM3182">
        <v>100</v>
      </c>
      <c r="AN3182">
        <v>2300</v>
      </c>
      <c r="AO3182" t="s">
        <v>118</v>
      </c>
      <c r="AP3182">
        <v>17</v>
      </c>
      <c r="AQ3182">
        <v>-114</v>
      </c>
      <c r="AR3182">
        <v>-704</v>
      </c>
      <c r="AZ3182">
        <v>4552</v>
      </c>
      <c r="BA3182">
        <v>1</v>
      </c>
      <c r="BB3182" t="str">
        <f t="shared" si="1295"/>
        <v xml:space="preserve">N607SR  </v>
      </c>
      <c r="BC3182">
        <v>1</v>
      </c>
      <c r="BE3182">
        <v>0</v>
      </c>
      <c r="BF3182">
        <v>0</v>
      </c>
      <c r="BG3182">
        <v>0</v>
      </c>
      <c r="BH3182">
        <v>2100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 t="shared" si="1322"/>
        <v>06:21:09.957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465</v>
      </c>
      <c r="CR3182">
        <v>0</v>
      </c>
      <c r="CW3182">
        <v>4729667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 t="shared" ref="A3183:A3188" si="1323">"08/29/2020 06:21:07.834"</f>
        <v>08/29/2020 06:21:07.834</v>
      </c>
      <c r="C3183" t="str">
        <f t="shared" si="1293"/>
        <v>FFDFD3C0</v>
      </c>
      <c r="D3183" t="s">
        <v>113</v>
      </c>
      <c r="E3183">
        <v>5</v>
      </c>
      <c r="H3183">
        <v>163</v>
      </c>
      <c r="I3183" t="s">
        <v>114</v>
      </c>
      <c r="J3183" t="s">
        <v>115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ref="S3183:S3188" si="1324">"06:21:11.055"</f>
        <v>06:21:11.055</v>
      </c>
      <c r="T3183" t="str">
        <f t="shared" ref="T3183:T3188" si="1325">"06:21:10.555"</f>
        <v>06:21:10.555</v>
      </c>
      <c r="U3183" t="str">
        <f t="shared" si="1294"/>
        <v>A7E2E0</v>
      </c>
      <c r="V3183">
        <v>0</v>
      </c>
      <c r="W3183">
        <v>0</v>
      </c>
      <c r="X3183">
        <v>1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0</v>
      </c>
      <c r="AI3183" t="s">
        <v>1532</v>
      </c>
      <c r="AJ3183">
        <v>38.848686000000001</v>
      </c>
      <c r="AK3183" t="s">
        <v>1533</v>
      </c>
      <c r="AL3183">
        <v>-87.606997000000007</v>
      </c>
      <c r="AM3183">
        <v>100</v>
      </c>
      <c r="AN3183">
        <v>2300</v>
      </c>
      <c r="AO3183" t="s">
        <v>118</v>
      </c>
      <c r="AP3183">
        <v>17</v>
      </c>
      <c r="AQ3183">
        <v>-115</v>
      </c>
      <c r="AR3183">
        <v>-640</v>
      </c>
      <c r="AZ3183">
        <v>4552</v>
      </c>
      <c r="BA3183">
        <v>1</v>
      </c>
      <c r="BB3183" t="str">
        <f t="shared" si="1295"/>
        <v xml:space="preserve">N607SR  </v>
      </c>
      <c r="BC3183">
        <v>1</v>
      </c>
      <c r="BE3183">
        <v>0</v>
      </c>
      <c r="BF3183">
        <v>0</v>
      </c>
      <c r="BG3183">
        <v>0</v>
      </c>
      <c r="BH3183">
        <v>2075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 t="shared" ref="BW3183:BW3188" si="1326">"06:21:11.062"</f>
        <v>06:21:11.062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6</v>
      </c>
      <c r="CP3183" t="s">
        <v>119</v>
      </c>
      <c r="CQ3183">
        <v>465</v>
      </c>
      <c r="CR3183">
        <v>0</v>
      </c>
      <c r="CW3183">
        <v>4729701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 t="shared" si="1323"/>
        <v>08/29/2020 06:21:07.834</v>
      </c>
      <c r="C3184" t="str">
        <f t="shared" si="1293"/>
        <v>FFDFD3C0</v>
      </c>
      <c r="D3184" t="s">
        <v>121</v>
      </c>
      <c r="E3184">
        <v>11</v>
      </c>
      <c r="F3184">
        <v>1011</v>
      </c>
      <c r="G3184" t="s">
        <v>125</v>
      </c>
      <c r="J3184" t="s">
        <v>123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324"/>
        <v>06:21:11.055</v>
      </c>
      <c r="T3184" t="str">
        <f t="shared" si="1325"/>
        <v>06:21:10.555</v>
      </c>
      <c r="U3184" t="str">
        <f t="shared" si="1294"/>
        <v>A7E2E0</v>
      </c>
      <c r="V3184">
        <v>0</v>
      </c>
      <c r="W3184">
        <v>0</v>
      </c>
      <c r="X3184">
        <v>1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0</v>
      </c>
      <c r="AI3184" t="s">
        <v>1532</v>
      </c>
      <c r="AJ3184">
        <v>38.848686000000001</v>
      </c>
      <c r="AK3184" t="s">
        <v>1533</v>
      </c>
      <c r="AL3184">
        <v>-87.606997000000007</v>
      </c>
      <c r="AM3184">
        <v>100</v>
      </c>
      <c r="AN3184">
        <v>2300</v>
      </c>
      <c r="AO3184" t="s">
        <v>118</v>
      </c>
      <c r="AP3184">
        <v>17</v>
      </c>
      <c r="AQ3184">
        <v>-115</v>
      </c>
      <c r="AR3184">
        <v>-640</v>
      </c>
      <c r="AZ3184">
        <v>4552</v>
      </c>
      <c r="BA3184">
        <v>1</v>
      </c>
      <c r="BB3184" t="str">
        <f t="shared" si="1295"/>
        <v xml:space="preserve">N607SR  </v>
      </c>
      <c r="BC3184">
        <v>1</v>
      </c>
      <c r="BE3184">
        <v>0</v>
      </c>
      <c r="BF3184">
        <v>0</v>
      </c>
      <c r="BG3184">
        <v>0</v>
      </c>
      <c r="BH3184">
        <v>2075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 t="shared" si="1326"/>
        <v>06:21:11.062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5</v>
      </c>
      <c r="CP3184" t="s">
        <v>119</v>
      </c>
      <c r="CQ3184">
        <v>457</v>
      </c>
      <c r="CR3184">
        <v>0</v>
      </c>
      <c r="CW3184">
        <v>15524857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 t="shared" si="1323"/>
        <v>08/29/2020 06:21:07.834</v>
      </c>
      <c r="C3185" t="str">
        <f t="shared" si="1293"/>
        <v>FFDFD3C0</v>
      </c>
      <c r="D3185" t="s">
        <v>121</v>
      </c>
      <c r="E3185">
        <v>10</v>
      </c>
      <c r="F3185">
        <v>1010</v>
      </c>
      <c r="G3185" t="s">
        <v>114</v>
      </c>
      <c r="J3185" t="s">
        <v>123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324"/>
        <v>06:21:11.055</v>
      </c>
      <c r="T3185" t="str">
        <f t="shared" si="1325"/>
        <v>06:21:10.555</v>
      </c>
      <c r="U3185" t="str">
        <f t="shared" si="1294"/>
        <v>A7E2E0</v>
      </c>
      <c r="V3185">
        <v>0</v>
      </c>
      <c r="W3185">
        <v>0</v>
      </c>
      <c r="X3185">
        <v>1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0</v>
      </c>
      <c r="AI3185" t="s">
        <v>1532</v>
      </c>
      <c r="AJ3185">
        <v>38.848686000000001</v>
      </c>
      <c r="AK3185" t="s">
        <v>1533</v>
      </c>
      <c r="AL3185">
        <v>-87.606997000000007</v>
      </c>
      <c r="AM3185">
        <v>100</v>
      </c>
      <c r="AN3185">
        <v>2300</v>
      </c>
      <c r="AO3185" t="s">
        <v>118</v>
      </c>
      <c r="AP3185">
        <v>17</v>
      </c>
      <c r="AQ3185">
        <v>-115</v>
      </c>
      <c r="AR3185">
        <v>-640</v>
      </c>
      <c r="AZ3185">
        <v>4552</v>
      </c>
      <c r="BA3185">
        <v>1</v>
      </c>
      <c r="BB3185" t="str">
        <f t="shared" si="1295"/>
        <v xml:space="preserve">N607SR  </v>
      </c>
      <c r="BC3185">
        <v>1</v>
      </c>
      <c r="BE3185">
        <v>0</v>
      </c>
      <c r="BF3185">
        <v>0</v>
      </c>
      <c r="BG3185">
        <v>0</v>
      </c>
      <c r="BH3185">
        <v>2075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 t="shared" si="1326"/>
        <v>06:21:11.062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6</v>
      </c>
      <c r="CP3185" t="s">
        <v>119</v>
      </c>
      <c r="CQ3185">
        <v>465</v>
      </c>
      <c r="CR3185">
        <v>0</v>
      </c>
      <c r="CW3185">
        <v>4729701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 t="shared" si="1323"/>
        <v>08/29/2020 06:21:07.834</v>
      </c>
      <c r="C3186" t="str">
        <f t="shared" si="1293"/>
        <v>FFDFD3C0</v>
      </c>
      <c r="D3186" t="s">
        <v>128</v>
      </c>
      <c r="E3186">
        <v>5</v>
      </c>
      <c r="H3186">
        <v>241</v>
      </c>
      <c r="I3186" t="s">
        <v>129</v>
      </c>
      <c r="J3186" t="s">
        <v>130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324"/>
        <v>06:21:11.055</v>
      </c>
      <c r="T3186" t="str">
        <f t="shared" si="1325"/>
        <v>06:21:10.555</v>
      </c>
      <c r="U3186" t="str">
        <f t="shared" si="1294"/>
        <v>A7E2E0</v>
      </c>
      <c r="V3186">
        <v>0</v>
      </c>
      <c r="W3186">
        <v>0</v>
      </c>
      <c r="X3186">
        <v>1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0</v>
      </c>
      <c r="AI3186" t="s">
        <v>1532</v>
      </c>
      <c r="AJ3186">
        <v>38.848686000000001</v>
      </c>
      <c r="AK3186" t="s">
        <v>1533</v>
      </c>
      <c r="AL3186">
        <v>-87.606997000000007</v>
      </c>
      <c r="AM3186">
        <v>100</v>
      </c>
      <c r="AN3186">
        <v>2300</v>
      </c>
      <c r="AO3186" t="s">
        <v>118</v>
      </c>
      <c r="AP3186">
        <v>17</v>
      </c>
      <c r="AQ3186">
        <v>-115</v>
      </c>
      <c r="AR3186">
        <v>-640</v>
      </c>
      <c r="AZ3186">
        <v>4552</v>
      </c>
      <c r="BA3186">
        <v>1</v>
      </c>
      <c r="BB3186" t="str">
        <f t="shared" si="1295"/>
        <v xml:space="preserve">N607SR  </v>
      </c>
      <c r="BC3186">
        <v>1</v>
      </c>
      <c r="BE3186">
        <v>0</v>
      </c>
      <c r="BF3186">
        <v>0</v>
      </c>
      <c r="BG3186">
        <v>0</v>
      </c>
      <c r="BH3186">
        <v>2075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 t="shared" si="1326"/>
        <v>06:21:11.062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6</v>
      </c>
      <c r="CP3186" t="s">
        <v>119</v>
      </c>
      <c r="CQ3186">
        <v>465</v>
      </c>
      <c r="CR3186">
        <v>0</v>
      </c>
      <c r="CW3186">
        <v>4729701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 t="shared" si="1323"/>
        <v>08/29/2020 06:21:07.834</v>
      </c>
      <c r="C3187" t="str">
        <f t="shared" si="1293"/>
        <v>FFDFD3C0</v>
      </c>
      <c r="D3187" t="s">
        <v>121</v>
      </c>
      <c r="E3187">
        <v>13</v>
      </c>
      <c r="F3187">
        <v>1013</v>
      </c>
      <c r="G3187" t="s">
        <v>122</v>
      </c>
      <c r="J3187" t="s">
        <v>123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si="1324"/>
        <v>06:21:11.055</v>
      </c>
      <c r="T3187" t="str">
        <f t="shared" si="1325"/>
        <v>06:21:10.555</v>
      </c>
      <c r="U3187" t="str">
        <f t="shared" si="1294"/>
        <v>A7E2E0</v>
      </c>
      <c r="V3187">
        <v>0</v>
      </c>
      <c r="W3187">
        <v>0</v>
      </c>
      <c r="X3187">
        <v>1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0</v>
      </c>
      <c r="AI3187" t="s">
        <v>1532</v>
      </c>
      <c r="AJ3187">
        <v>38.848686000000001</v>
      </c>
      <c r="AK3187" t="s">
        <v>1533</v>
      </c>
      <c r="AL3187">
        <v>-87.606997000000007</v>
      </c>
      <c r="AM3187">
        <v>100</v>
      </c>
      <c r="AN3187">
        <v>2300</v>
      </c>
      <c r="AO3187" t="s">
        <v>118</v>
      </c>
      <c r="AP3187">
        <v>17</v>
      </c>
      <c r="AQ3187">
        <v>-115</v>
      </c>
      <c r="AR3187">
        <v>-640</v>
      </c>
      <c r="AZ3187">
        <v>4552</v>
      </c>
      <c r="BA3187">
        <v>1</v>
      </c>
      <c r="BB3187" t="str">
        <f t="shared" si="1295"/>
        <v xml:space="preserve">N607SR  </v>
      </c>
      <c r="BC3187">
        <v>1</v>
      </c>
      <c r="BE3187">
        <v>0</v>
      </c>
      <c r="BF3187">
        <v>0</v>
      </c>
      <c r="BG3187">
        <v>0</v>
      </c>
      <c r="BH3187">
        <v>2075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 t="shared" si="1326"/>
        <v>06:21:11.062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6</v>
      </c>
      <c r="CP3187" t="s">
        <v>119</v>
      </c>
      <c r="CQ3187">
        <v>465</v>
      </c>
      <c r="CR3187">
        <v>0</v>
      </c>
      <c r="CW3187">
        <v>4729701</v>
      </c>
      <c r="CY3187">
        <v>1</v>
      </c>
      <c r="CZ3187">
        <v>0</v>
      </c>
      <c r="DA3187">
        <v>1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 t="shared" si="1323"/>
        <v>08/29/2020 06:21:07.834</v>
      </c>
      <c r="C3188" t="str">
        <f t="shared" si="1293"/>
        <v>FFDFD3C0</v>
      </c>
      <c r="D3188" t="s">
        <v>939</v>
      </c>
      <c r="E3188">
        <v>10</v>
      </c>
      <c r="H3188">
        <v>79</v>
      </c>
      <c r="I3188" t="s">
        <v>940</v>
      </c>
      <c r="J3188" t="s">
        <v>130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324"/>
        <v>06:21:11.055</v>
      </c>
      <c r="T3188" t="str">
        <f t="shared" si="1325"/>
        <v>06:21:10.555</v>
      </c>
      <c r="U3188" t="str">
        <f t="shared" si="1294"/>
        <v>A7E2E0</v>
      </c>
      <c r="V3188">
        <v>0</v>
      </c>
      <c r="W3188">
        <v>0</v>
      </c>
      <c r="X3188">
        <v>1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0</v>
      </c>
      <c r="AI3188" t="s">
        <v>1532</v>
      </c>
      <c r="AJ3188">
        <v>38.848686000000001</v>
      </c>
      <c r="AK3188" t="s">
        <v>1533</v>
      </c>
      <c r="AL3188">
        <v>-87.606997000000007</v>
      </c>
      <c r="AM3188">
        <v>100</v>
      </c>
      <c r="AN3188">
        <v>2300</v>
      </c>
      <c r="AO3188" t="s">
        <v>118</v>
      </c>
      <c r="AP3188">
        <v>17</v>
      </c>
      <c r="AQ3188">
        <v>-115</v>
      </c>
      <c r="AR3188">
        <v>-640</v>
      </c>
      <c r="AZ3188">
        <v>4552</v>
      </c>
      <c r="BA3188">
        <v>1</v>
      </c>
      <c r="BB3188" t="str">
        <f t="shared" si="1295"/>
        <v xml:space="preserve">N607SR  </v>
      </c>
      <c r="BC3188">
        <v>1</v>
      </c>
      <c r="BE3188">
        <v>0</v>
      </c>
      <c r="BF3188">
        <v>0</v>
      </c>
      <c r="BG3188">
        <v>0</v>
      </c>
      <c r="BH3188">
        <v>2075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 t="shared" si="1326"/>
        <v>06:21:11.062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6</v>
      </c>
      <c r="CP3188" t="s">
        <v>119</v>
      </c>
      <c r="CQ3188">
        <v>465</v>
      </c>
      <c r="CR3188">
        <v>0</v>
      </c>
      <c r="CW3188">
        <v>4729701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 t="shared" ref="A3189:A3194" si="1327">"08/29/2020 06:21:08.901"</f>
        <v>08/29/2020 06:21:08.901</v>
      </c>
      <c r="C3189" t="str">
        <f t="shared" si="1293"/>
        <v>FFDFD3C0</v>
      </c>
      <c r="D3189" t="s">
        <v>113</v>
      </c>
      <c r="E3189">
        <v>5</v>
      </c>
      <c r="H3189">
        <v>163</v>
      </c>
      <c r="I3189" t="s">
        <v>114</v>
      </c>
      <c r="J3189" t="s">
        <v>115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ref="S3189:S3194" si="1328">"06:21:12.117"</f>
        <v>06:21:12.117</v>
      </c>
      <c r="T3189" t="str">
        <f t="shared" ref="T3189:T3194" si="1329">"06:21:11.717"</f>
        <v>06:21:11.717</v>
      </c>
      <c r="U3189" t="str">
        <f t="shared" si="1294"/>
        <v>A7E2E0</v>
      </c>
      <c r="V3189">
        <v>0</v>
      </c>
      <c r="W3189">
        <v>0</v>
      </c>
      <c r="X3189">
        <v>1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0</v>
      </c>
      <c r="AI3189" t="s">
        <v>1534</v>
      </c>
      <c r="AJ3189">
        <v>38.848106999999999</v>
      </c>
      <c r="AK3189" t="s">
        <v>1535</v>
      </c>
      <c r="AL3189">
        <v>-87.606890000000007</v>
      </c>
      <c r="AM3189">
        <v>100</v>
      </c>
      <c r="AN3189">
        <v>2300</v>
      </c>
      <c r="AO3189" t="s">
        <v>118</v>
      </c>
      <c r="AP3189">
        <v>17</v>
      </c>
      <c r="AQ3189">
        <v>-116</v>
      </c>
      <c r="AR3189">
        <v>-512</v>
      </c>
      <c r="AZ3189">
        <v>4552</v>
      </c>
      <c r="BA3189">
        <v>1</v>
      </c>
      <c r="BB3189" t="str">
        <f t="shared" si="1295"/>
        <v xml:space="preserve">N607SR  </v>
      </c>
      <c r="BC3189">
        <v>1</v>
      </c>
      <c r="BE3189">
        <v>0</v>
      </c>
      <c r="BF3189">
        <v>0</v>
      </c>
      <c r="BG3189">
        <v>0</v>
      </c>
      <c r="BH3189">
        <v>2075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 t="shared" ref="BW3189:BW3194" si="1330">"06:21:12.120"</f>
        <v>06:21:12.120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119</v>
      </c>
      <c r="CQ3189">
        <v>465</v>
      </c>
      <c r="CR3189">
        <v>0</v>
      </c>
      <c r="CW3189">
        <v>4729729</v>
      </c>
      <c r="CY3189">
        <v>1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 t="shared" si="1327"/>
        <v>08/29/2020 06:21:08.901</v>
      </c>
      <c r="C3190" t="str">
        <f t="shared" si="1293"/>
        <v>FFDFD3C0</v>
      </c>
      <c r="D3190" t="s">
        <v>121</v>
      </c>
      <c r="E3190">
        <v>10</v>
      </c>
      <c r="F3190">
        <v>1010</v>
      </c>
      <c r="G3190" t="s">
        <v>114</v>
      </c>
      <c r="J3190" t="s">
        <v>123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328"/>
        <v>06:21:12.117</v>
      </c>
      <c r="T3190" t="str">
        <f t="shared" si="1329"/>
        <v>06:21:11.717</v>
      </c>
      <c r="U3190" t="str">
        <f t="shared" si="1294"/>
        <v>A7E2E0</v>
      </c>
      <c r="V3190">
        <v>0</v>
      </c>
      <c r="W3190">
        <v>0</v>
      </c>
      <c r="X3190">
        <v>1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0</v>
      </c>
      <c r="AI3190" t="s">
        <v>1534</v>
      </c>
      <c r="AJ3190">
        <v>38.848106999999999</v>
      </c>
      <c r="AK3190" t="s">
        <v>1535</v>
      </c>
      <c r="AL3190">
        <v>-87.606890000000007</v>
      </c>
      <c r="AM3190">
        <v>100</v>
      </c>
      <c r="AN3190">
        <v>2300</v>
      </c>
      <c r="AO3190" t="s">
        <v>118</v>
      </c>
      <c r="AP3190">
        <v>17</v>
      </c>
      <c r="AQ3190">
        <v>-116</v>
      </c>
      <c r="AR3190">
        <v>-512</v>
      </c>
      <c r="AZ3190">
        <v>4552</v>
      </c>
      <c r="BA3190">
        <v>1</v>
      </c>
      <c r="BB3190" t="str">
        <f t="shared" si="1295"/>
        <v xml:space="preserve">N607SR  </v>
      </c>
      <c r="BC3190">
        <v>1</v>
      </c>
      <c r="BE3190">
        <v>0</v>
      </c>
      <c r="BF3190">
        <v>0</v>
      </c>
      <c r="BG3190">
        <v>0</v>
      </c>
      <c r="BH3190">
        <v>2075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 t="shared" si="1330"/>
        <v>06:21:12.120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119</v>
      </c>
      <c r="CQ3190">
        <v>465</v>
      </c>
      <c r="CR3190">
        <v>0</v>
      </c>
      <c r="CW3190">
        <v>4729729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 t="shared" si="1327"/>
        <v>08/29/2020 06:21:08.901</v>
      </c>
      <c r="C3191" t="str">
        <f t="shared" si="1293"/>
        <v>FFDFD3C0</v>
      </c>
      <c r="D3191" t="s">
        <v>128</v>
      </c>
      <c r="E3191">
        <v>5</v>
      </c>
      <c r="H3191">
        <v>241</v>
      </c>
      <c r="I3191" t="s">
        <v>129</v>
      </c>
      <c r="J3191" t="s">
        <v>130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328"/>
        <v>06:21:12.117</v>
      </c>
      <c r="T3191" t="str">
        <f t="shared" si="1329"/>
        <v>06:21:11.717</v>
      </c>
      <c r="U3191" t="str">
        <f t="shared" si="1294"/>
        <v>A7E2E0</v>
      </c>
      <c r="V3191">
        <v>0</v>
      </c>
      <c r="W3191">
        <v>0</v>
      </c>
      <c r="X3191">
        <v>1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0</v>
      </c>
      <c r="AI3191" t="s">
        <v>1534</v>
      </c>
      <c r="AJ3191">
        <v>38.848106999999999</v>
      </c>
      <c r="AK3191" t="s">
        <v>1535</v>
      </c>
      <c r="AL3191">
        <v>-87.606890000000007</v>
      </c>
      <c r="AM3191">
        <v>100</v>
      </c>
      <c r="AN3191">
        <v>2300</v>
      </c>
      <c r="AO3191" t="s">
        <v>118</v>
      </c>
      <c r="AP3191">
        <v>17</v>
      </c>
      <c r="AQ3191">
        <v>-116</v>
      </c>
      <c r="AR3191">
        <v>-512</v>
      </c>
      <c r="AZ3191">
        <v>4552</v>
      </c>
      <c r="BA3191">
        <v>1</v>
      </c>
      <c r="BB3191" t="str">
        <f t="shared" si="1295"/>
        <v xml:space="preserve">N607SR  </v>
      </c>
      <c r="BC3191">
        <v>1</v>
      </c>
      <c r="BE3191">
        <v>0</v>
      </c>
      <c r="BF3191">
        <v>0</v>
      </c>
      <c r="BG3191">
        <v>0</v>
      </c>
      <c r="BH3191">
        <v>2075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 t="shared" si="1330"/>
        <v>06:21:12.120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119</v>
      </c>
      <c r="CQ3191">
        <v>465</v>
      </c>
      <c r="CR3191">
        <v>0</v>
      </c>
      <c r="CW3191">
        <v>4729729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 t="shared" si="1327"/>
        <v>08/29/2020 06:21:08.901</v>
      </c>
      <c r="C3192" t="str">
        <f t="shared" si="1293"/>
        <v>FFDFD3C0</v>
      </c>
      <c r="D3192" t="s">
        <v>121</v>
      </c>
      <c r="E3192">
        <v>13</v>
      </c>
      <c r="F3192">
        <v>1013</v>
      </c>
      <c r="G3192" t="s">
        <v>122</v>
      </c>
      <c r="J3192" t="s">
        <v>123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328"/>
        <v>06:21:12.117</v>
      </c>
      <c r="T3192" t="str">
        <f t="shared" si="1329"/>
        <v>06:21:11.717</v>
      </c>
      <c r="U3192" t="str">
        <f t="shared" si="1294"/>
        <v>A7E2E0</v>
      </c>
      <c r="V3192">
        <v>0</v>
      </c>
      <c r="W3192">
        <v>0</v>
      </c>
      <c r="X3192">
        <v>1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0</v>
      </c>
      <c r="AI3192" t="s">
        <v>1534</v>
      </c>
      <c r="AJ3192">
        <v>38.848106999999999</v>
      </c>
      <c r="AK3192" t="s">
        <v>1535</v>
      </c>
      <c r="AL3192">
        <v>-87.606890000000007</v>
      </c>
      <c r="AM3192">
        <v>100</v>
      </c>
      <c r="AN3192">
        <v>2300</v>
      </c>
      <c r="AO3192" t="s">
        <v>118</v>
      </c>
      <c r="AP3192">
        <v>17</v>
      </c>
      <c r="AQ3192">
        <v>-116</v>
      </c>
      <c r="AR3192">
        <v>-512</v>
      </c>
      <c r="AZ3192">
        <v>4552</v>
      </c>
      <c r="BA3192">
        <v>1</v>
      </c>
      <c r="BB3192" t="str">
        <f t="shared" si="1295"/>
        <v xml:space="preserve">N607SR  </v>
      </c>
      <c r="BC3192">
        <v>1</v>
      </c>
      <c r="BE3192">
        <v>0</v>
      </c>
      <c r="BF3192">
        <v>0</v>
      </c>
      <c r="BG3192">
        <v>0</v>
      </c>
      <c r="BH3192">
        <v>2075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 t="shared" si="1330"/>
        <v>06:21:12.120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465</v>
      </c>
      <c r="CR3192">
        <v>0</v>
      </c>
      <c r="CW3192">
        <v>4729729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 t="shared" si="1327"/>
        <v>08/29/2020 06:21:08.901</v>
      </c>
      <c r="C3193" t="str">
        <f t="shared" si="1293"/>
        <v>FFDFD3C0</v>
      </c>
      <c r="D3193" t="s">
        <v>939</v>
      </c>
      <c r="E3193">
        <v>10</v>
      </c>
      <c r="H3193">
        <v>79</v>
      </c>
      <c r="I3193" t="s">
        <v>940</v>
      </c>
      <c r="J3193" t="s">
        <v>130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328"/>
        <v>06:21:12.117</v>
      </c>
      <c r="T3193" t="str">
        <f t="shared" si="1329"/>
        <v>06:21:11.717</v>
      </c>
      <c r="U3193" t="str">
        <f t="shared" si="1294"/>
        <v>A7E2E0</v>
      </c>
      <c r="V3193">
        <v>0</v>
      </c>
      <c r="W3193">
        <v>0</v>
      </c>
      <c r="X3193">
        <v>1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0</v>
      </c>
      <c r="AI3193" t="s">
        <v>1534</v>
      </c>
      <c r="AJ3193">
        <v>38.848106999999999</v>
      </c>
      <c r="AK3193" t="s">
        <v>1535</v>
      </c>
      <c r="AL3193">
        <v>-87.606890000000007</v>
      </c>
      <c r="AM3193">
        <v>100</v>
      </c>
      <c r="AN3193">
        <v>2300</v>
      </c>
      <c r="AO3193" t="s">
        <v>118</v>
      </c>
      <c r="AP3193">
        <v>17</v>
      </c>
      <c r="AQ3193">
        <v>-116</v>
      </c>
      <c r="AR3193">
        <v>-512</v>
      </c>
      <c r="AZ3193">
        <v>4552</v>
      </c>
      <c r="BA3193">
        <v>1</v>
      </c>
      <c r="BB3193" t="str">
        <f t="shared" si="1295"/>
        <v xml:space="preserve">N607SR  </v>
      </c>
      <c r="BC3193">
        <v>1</v>
      </c>
      <c r="BE3193">
        <v>0</v>
      </c>
      <c r="BF3193">
        <v>0</v>
      </c>
      <c r="BG3193">
        <v>0</v>
      </c>
      <c r="BH3193">
        <v>2075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 t="shared" si="1330"/>
        <v>06:21:12.120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119</v>
      </c>
      <c r="CQ3193">
        <v>465</v>
      </c>
      <c r="CR3193">
        <v>0</v>
      </c>
      <c r="CW3193">
        <v>4729729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 t="shared" si="1327"/>
        <v>08/29/2020 06:21:08.901</v>
      </c>
      <c r="C3194" t="str">
        <f t="shared" si="1293"/>
        <v>FFDFD3C0</v>
      </c>
      <c r="D3194" t="s">
        <v>121</v>
      </c>
      <c r="E3194">
        <v>11</v>
      </c>
      <c r="F3194">
        <v>1011</v>
      </c>
      <c r="G3194" t="s">
        <v>125</v>
      </c>
      <c r="J3194" t="s">
        <v>123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1328"/>
        <v>06:21:12.117</v>
      </c>
      <c r="T3194" t="str">
        <f t="shared" si="1329"/>
        <v>06:21:11.717</v>
      </c>
      <c r="U3194" t="str">
        <f t="shared" si="1294"/>
        <v>A7E2E0</v>
      </c>
      <c r="V3194">
        <v>0</v>
      </c>
      <c r="W3194">
        <v>0</v>
      </c>
      <c r="X3194">
        <v>1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0</v>
      </c>
      <c r="AI3194" t="s">
        <v>1534</v>
      </c>
      <c r="AJ3194">
        <v>38.848106999999999</v>
      </c>
      <c r="AK3194" t="s">
        <v>1535</v>
      </c>
      <c r="AL3194">
        <v>-87.606890000000007</v>
      </c>
      <c r="AM3194">
        <v>100</v>
      </c>
      <c r="AN3194">
        <v>2300</v>
      </c>
      <c r="AO3194" t="s">
        <v>118</v>
      </c>
      <c r="AP3194">
        <v>17</v>
      </c>
      <c r="AQ3194">
        <v>-116</v>
      </c>
      <c r="AR3194">
        <v>-512</v>
      </c>
      <c r="AZ3194">
        <v>4552</v>
      </c>
      <c r="BA3194">
        <v>1</v>
      </c>
      <c r="BB3194" t="str">
        <f t="shared" si="1295"/>
        <v xml:space="preserve">N607SR  </v>
      </c>
      <c r="BC3194">
        <v>1</v>
      </c>
      <c r="BE3194">
        <v>0</v>
      </c>
      <c r="BF3194">
        <v>0</v>
      </c>
      <c r="BG3194">
        <v>0</v>
      </c>
      <c r="BH3194">
        <v>2075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 t="shared" si="1330"/>
        <v>06:21:12.120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5</v>
      </c>
      <c r="CP3194" t="s">
        <v>119</v>
      </c>
      <c r="CQ3194">
        <v>457</v>
      </c>
      <c r="CR3194">
        <v>0</v>
      </c>
      <c r="CW3194">
        <v>15524888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 t="shared" ref="A3195:A3200" si="1331">"08/29/2020 06:21:09.914"</f>
        <v>08/29/2020 06:21:09.914</v>
      </c>
      <c r="C3195" t="str">
        <f t="shared" si="1293"/>
        <v>FFDFD3C0</v>
      </c>
      <c r="D3195" t="s">
        <v>113</v>
      </c>
      <c r="E3195">
        <v>5</v>
      </c>
      <c r="H3195">
        <v>163</v>
      </c>
      <c r="I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ref="S3195:S3200" si="1332">"06:21:13.117"</f>
        <v>06:21:13.117</v>
      </c>
      <c r="T3195" t="str">
        <f t="shared" ref="T3195:T3200" si="1333">"06:21:12.617"</f>
        <v>06:21:12.617</v>
      </c>
      <c r="U3195" t="str">
        <f t="shared" si="1294"/>
        <v>A7E2E0</v>
      </c>
      <c r="V3195">
        <v>0</v>
      </c>
      <c r="W3195">
        <v>0</v>
      </c>
      <c r="X3195">
        <v>1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0</v>
      </c>
      <c r="AI3195" t="s">
        <v>1536</v>
      </c>
      <c r="AJ3195">
        <v>38.847527999999997</v>
      </c>
      <c r="AK3195" t="s">
        <v>1537</v>
      </c>
      <c r="AL3195">
        <v>-87.606761000000006</v>
      </c>
      <c r="AM3195">
        <v>100</v>
      </c>
      <c r="AN3195">
        <v>2300</v>
      </c>
      <c r="AO3195" t="s">
        <v>118</v>
      </c>
      <c r="AP3195">
        <v>17</v>
      </c>
      <c r="AQ3195">
        <v>-117</v>
      </c>
      <c r="AR3195">
        <v>-448</v>
      </c>
      <c r="AZ3195">
        <v>4552</v>
      </c>
      <c r="BA3195">
        <v>1</v>
      </c>
      <c r="BB3195" t="str">
        <f t="shared" si="1295"/>
        <v xml:space="preserve">N607SR  </v>
      </c>
      <c r="BC3195">
        <v>1</v>
      </c>
      <c r="BE3195">
        <v>0</v>
      </c>
      <c r="BF3195">
        <v>0</v>
      </c>
      <c r="BG3195">
        <v>0</v>
      </c>
      <c r="BH3195">
        <v>2075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 t="shared" ref="BW3195:BW3200" si="1334">"06:21:13.125"</f>
        <v>06:21:13.125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7</v>
      </c>
      <c r="CP3195" t="s">
        <v>119</v>
      </c>
      <c r="CQ3195">
        <v>465</v>
      </c>
      <c r="CR3195">
        <v>0</v>
      </c>
      <c r="CW3195">
        <v>4729761</v>
      </c>
      <c r="CY3195">
        <v>1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 t="shared" si="1331"/>
        <v>08/29/2020 06:21:09.914</v>
      </c>
      <c r="C3196" t="str">
        <f t="shared" si="1293"/>
        <v>FFDFD3C0</v>
      </c>
      <c r="D3196" t="s">
        <v>121</v>
      </c>
      <c r="E3196">
        <v>11</v>
      </c>
      <c r="F3196">
        <v>1011</v>
      </c>
      <c r="G3196" t="s">
        <v>125</v>
      </c>
      <c r="J3196" t="s">
        <v>123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332"/>
        <v>06:21:13.117</v>
      </c>
      <c r="T3196" t="str">
        <f t="shared" si="1333"/>
        <v>06:21:12.617</v>
      </c>
      <c r="U3196" t="str">
        <f t="shared" si="1294"/>
        <v>A7E2E0</v>
      </c>
      <c r="V3196">
        <v>0</v>
      </c>
      <c r="W3196">
        <v>0</v>
      </c>
      <c r="X3196">
        <v>1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0</v>
      </c>
      <c r="AI3196" t="s">
        <v>1536</v>
      </c>
      <c r="AJ3196">
        <v>38.847527999999997</v>
      </c>
      <c r="AK3196" t="s">
        <v>1537</v>
      </c>
      <c r="AL3196">
        <v>-87.606761000000006</v>
      </c>
      <c r="AM3196">
        <v>100</v>
      </c>
      <c r="AN3196">
        <v>2300</v>
      </c>
      <c r="AO3196" t="s">
        <v>118</v>
      </c>
      <c r="AP3196">
        <v>17</v>
      </c>
      <c r="AQ3196">
        <v>-117</v>
      </c>
      <c r="AR3196">
        <v>-448</v>
      </c>
      <c r="AZ3196">
        <v>4552</v>
      </c>
      <c r="BA3196">
        <v>1</v>
      </c>
      <c r="BB3196" t="str">
        <f t="shared" si="1295"/>
        <v xml:space="preserve">N607SR  </v>
      </c>
      <c r="BC3196">
        <v>1</v>
      </c>
      <c r="BE3196">
        <v>0</v>
      </c>
      <c r="BF3196">
        <v>0</v>
      </c>
      <c r="BG3196">
        <v>0</v>
      </c>
      <c r="BH3196">
        <v>2075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 t="shared" si="1334"/>
        <v>06:21:13.125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5</v>
      </c>
      <c r="CP3196" t="s">
        <v>119</v>
      </c>
      <c r="CQ3196">
        <v>457</v>
      </c>
      <c r="CR3196">
        <v>0</v>
      </c>
      <c r="CW3196">
        <v>15524924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 t="shared" si="1331"/>
        <v>08/29/2020 06:21:09.914</v>
      </c>
      <c r="C3197" t="str">
        <f t="shared" si="1293"/>
        <v>FFDFD3C0</v>
      </c>
      <c r="D3197" t="s">
        <v>121</v>
      </c>
      <c r="E3197">
        <v>10</v>
      </c>
      <c r="F3197">
        <v>1010</v>
      </c>
      <c r="G3197" t="s">
        <v>114</v>
      </c>
      <c r="J3197" t="s">
        <v>123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332"/>
        <v>06:21:13.117</v>
      </c>
      <c r="T3197" t="str">
        <f t="shared" si="1333"/>
        <v>06:21:12.617</v>
      </c>
      <c r="U3197" t="str">
        <f t="shared" si="1294"/>
        <v>A7E2E0</v>
      </c>
      <c r="V3197">
        <v>0</v>
      </c>
      <c r="W3197">
        <v>0</v>
      </c>
      <c r="X3197">
        <v>1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0</v>
      </c>
      <c r="AI3197" t="s">
        <v>1536</v>
      </c>
      <c r="AJ3197">
        <v>38.847527999999997</v>
      </c>
      <c r="AK3197" t="s">
        <v>1537</v>
      </c>
      <c r="AL3197">
        <v>-87.606761000000006</v>
      </c>
      <c r="AM3197">
        <v>100</v>
      </c>
      <c r="AN3197">
        <v>2300</v>
      </c>
      <c r="AO3197" t="s">
        <v>118</v>
      </c>
      <c r="AP3197">
        <v>17</v>
      </c>
      <c r="AQ3197">
        <v>-117</v>
      </c>
      <c r="AR3197">
        <v>-448</v>
      </c>
      <c r="AZ3197">
        <v>4552</v>
      </c>
      <c r="BA3197">
        <v>1</v>
      </c>
      <c r="BB3197" t="str">
        <f t="shared" si="1295"/>
        <v xml:space="preserve">N607SR  </v>
      </c>
      <c r="BC3197">
        <v>1</v>
      </c>
      <c r="BE3197">
        <v>0</v>
      </c>
      <c r="BF3197">
        <v>0</v>
      </c>
      <c r="BG3197">
        <v>0</v>
      </c>
      <c r="BH3197">
        <v>2075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 t="shared" si="1334"/>
        <v>06:21:13.125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7</v>
      </c>
      <c r="CP3197" t="s">
        <v>119</v>
      </c>
      <c r="CQ3197">
        <v>465</v>
      </c>
      <c r="CR3197">
        <v>0</v>
      </c>
      <c r="CW3197">
        <v>4729761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 t="shared" si="1331"/>
        <v>08/29/2020 06:21:09.914</v>
      </c>
      <c r="C3198" t="str">
        <f t="shared" si="1293"/>
        <v>FFDFD3C0</v>
      </c>
      <c r="D3198" t="s">
        <v>128</v>
      </c>
      <c r="E3198">
        <v>5</v>
      </c>
      <c r="H3198">
        <v>241</v>
      </c>
      <c r="I3198" t="s">
        <v>129</v>
      </c>
      <c r="J3198" t="s">
        <v>130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332"/>
        <v>06:21:13.117</v>
      </c>
      <c r="T3198" t="str">
        <f t="shared" si="1333"/>
        <v>06:21:12.617</v>
      </c>
      <c r="U3198" t="str">
        <f t="shared" si="1294"/>
        <v>A7E2E0</v>
      </c>
      <c r="V3198">
        <v>0</v>
      </c>
      <c r="W3198">
        <v>0</v>
      </c>
      <c r="X3198">
        <v>1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0</v>
      </c>
      <c r="AI3198" t="s">
        <v>1536</v>
      </c>
      <c r="AJ3198">
        <v>38.847527999999997</v>
      </c>
      <c r="AK3198" t="s">
        <v>1537</v>
      </c>
      <c r="AL3198">
        <v>-87.606761000000006</v>
      </c>
      <c r="AM3198">
        <v>100</v>
      </c>
      <c r="AN3198">
        <v>2300</v>
      </c>
      <c r="AO3198" t="s">
        <v>118</v>
      </c>
      <c r="AP3198">
        <v>17</v>
      </c>
      <c r="AQ3198">
        <v>-117</v>
      </c>
      <c r="AR3198">
        <v>-448</v>
      </c>
      <c r="AZ3198">
        <v>4552</v>
      </c>
      <c r="BA3198">
        <v>1</v>
      </c>
      <c r="BB3198" t="str">
        <f t="shared" si="1295"/>
        <v xml:space="preserve">N607SR  </v>
      </c>
      <c r="BC3198">
        <v>1</v>
      </c>
      <c r="BE3198">
        <v>0</v>
      </c>
      <c r="BF3198">
        <v>0</v>
      </c>
      <c r="BG3198">
        <v>0</v>
      </c>
      <c r="BH3198">
        <v>2075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 t="shared" si="1334"/>
        <v>06:21:13.125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7</v>
      </c>
      <c r="CP3198" t="s">
        <v>119</v>
      </c>
      <c r="CQ3198">
        <v>465</v>
      </c>
      <c r="CR3198">
        <v>0</v>
      </c>
      <c r="CW3198">
        <v>4729761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 t="shared" si="1331"/>
        <v>08/29/2020 06:21:09.914</v>
      </c>
      <c r="C3199" t="str">
        <f t="shared" si="1293"/>
        <v>FFDFD3C0</v>
      </c>
      <c r="D3199" t="s">
        <v>121</v>
      </c>
      <c r="E3199">
        <v>13</v>
      </c>
      <c r="F3199">
        <v>1013</v>
      </c>
      <c r="G3199" t="s">
        <v>122</v>
      </c>
      <c r="J3199" t="s">
        <v>123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si="1332"/>
        <v>06:21:13.117</v>
      </c>
      <c r="T3199" t="str">
        <f t="shared" si="1333"/>
        <v>06:21:12.617</v>
      </c>
      <c r="U3199" t="str">
        <f t="shared" si="1294"/>
        <v>A7E2E0</v>
      </c>
      <c r="V3199">
        <v>0</v>
      </c>
      <c r="W3199">
        <v>0</v>
      </c>
      <c r="X3199">
        <v>1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0</v>
      </c>
      <c r="AI3199" t="s">
        <v>1536</v>
      </c>
      <c r="AJ3199">
        <v>38.847527999999997</v>
      </c>
      <c r="AK3199" t="s">
        <v>1537</v>
      </c>
      <c r="AL3199">
        <v>-87.606761000000006</v>
      </c>
      <c r="AM3199">
        <v>100</v>
      </c>
      <c r="AN3199">
        <v>2300</v>
      </c>
      <c r="AO3199" t="s">
        <v>118</v>
      </c>
      <c r="AP3199">
        <v>17</v>
      </c>
      <c r="AQ3199">
        <v>-117</v>
      </c>
      <c r="AR3199">
        <v>-448</v>
      </c>
      <c r="AZ3199">
        <v>4552</v>
      </c>
      <c r="BA3199">
        <v>1</v>
      </c>
      <c r="BB3199" t="str">
        <f t="shared" si="1295"/>
        <v xml:space="preserve">N607SR  </v>
      </c>
      <c r="BC3199">
        <v>1</v>
      </c>
      <c r="BE3199">
        <v>0</v>
      </c>
      <c r="BF3199">
        <v>0</v>
      </c>
      <c r="BG3199">
        <v>0</v>
      </c>
      <c r="BH3199">
        <v>2075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 t="shared" si="1334"/>
        <v>06:21:13.125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7</v>
      </c>
      <c r="CP3199" t="s">
        <v>119</v>
      </c>
      <c r="CQ3199">
        <v>465</v>
      </c>
      <c r="CR3199">
        <v>0</v>
      </c>
      <c r="CW3199">
        <v>4729761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 t="shared" si="1331"/>
        <v>08/29/2020 06:21:09.914</v>
      </c>
      <c r="C3200" t="str">
        <f t="shared" si="1293"/>
        <v>FFDFD3C0</v>
      </c>
      <c r="D3200" t="s">
        <v>939</v>
      </c>
      <c r="E3200">
        <v>10</v>
      </c>
      <c r="H3200">
        <v>79</v>
      </c>
      <c r="I3200" t="s">
        <v>940</v>
      </c>
      <c r="J3200" t="s">
        <v>130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si="1332"/>
        <v>06:21:13.117</v>
      </c>
      <c r="T3200" t="str">
        <f t="shared" si="1333"/>
        <v>06:21:12.617</v>
      </c>
      <c r="U3200" t="str">
        <f t="shared" si="1294"/>
        <v>A7E2E0</v>
      </c>
      <c r="V3200">
        <v>0</v>
      </c>
      <c r="W3200">
        <v>0</v>
      </c>
      <c r="X3200">
        <v>1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0</v>
      </c>
      <c r="AI3200" t="s">
        <v>1536</v>
      </c>
      <c r="AJ3200">
        <v>38.847527999999997</v>
      </c>
      <c r="AK3200" t="s">
        <v>1537</v>
      </c>
      <c r="AL3200">
        <v>-87.606761000000006</v>
      </c>
      <c r="AM3200">
        <v>100</v>
      </c>
      <c r="AN3200">
        <v>2300</v>
      </c>
      <c r="AO3200" t="s">
        <v>118</v>
      </c>
      <c r="AP3200">
        <v>17</v>
      </c>
      <c r="AQ3200">
        <v>-117</v>
      </c>
      <c r="AR3200">
        <v>-448</v>
      </c>
      <c r="AZ3200">
        <v>4552</v>
      </c>
      <c r="BA3200">
        <v>1</v>
      </c>
      <c r="BB3200" t="str">
        <f t="shared" si="1295"/>
        <v xml:space="preserve">N607SR  </v>
      </c>
      <c r="BC3200">
        <v>1</v>
      </c>
      <c r="BE3200">
        <v>0</v>
      </c>
      <c r="BF3200">
        <v>0</v>
      </c>
      <c r="BG3200">
        <v>0</v>
      </c>
      <c r="BH3200">
        <v>2075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 t="shared" si="1334"/>
        <v>06:21:13.125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465</v>
      </c>
      <c r="CR3200">
        <v>0</v>
      </c>
      <c r="CW3200">
        <v>4729761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 t="shared" ref="A3201:A3206" si="1335">"08/29/2020 06:21:10.876"</f>
        <v>08/29/2020 06:21:10.876</v>
      </c>
      <c r="C3201" t="str">
        <f t="shared" si="1293"/>
        <v>FFDFD3C0</v>
      </c>
      <c r="D3201" t="s">
        <v>121</v>
      </c>
      <c r="E3201">
        <v>10</v>
      </c>
      <c r="F3201">
        <v>1010</v>
      </c>
      <c r="G3201" t="s">
        <v>114</v>
      </c>
      <c r="J3201" t="s">
        <v>123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ref="S3201:S3206" si="1336">"06:21:14.070"</f>
        <v>06:21:14.070</v>
      </c>
      <c r="T3201" t="str">
        <f t="shared" ref="T3201:T3206" si="1337">"06:21:13.670"</f>
        <v>06:21:13.670</v>
      </c>
      <c r="U3201" t="str">
        <f t="shared" si="1294"/>
        <v>A7E2E0</v>
      </c>
      <c r="V3201">
        <v>0</v>
      </c>
      <c r="W3201">
        <v>0</v>
      </c>
      <c r="X3201">
        <v>1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0</v>
      </c>
      <c r="AI3201" t="s">
        <v>1538</v>
      </c>
      <c r="AJ3201">
        <v>38.847054999999997</v>
      </c>
      <c r="AK3201" t="s">
        <v>1539</v>
      </c>
      <c r="AL3201">
        <v>-87.606696999999997</v>
      </c>
      <c r="AM3201">
        <v>100</v>
      </c>
      <c r="AN3201">
        <v>2300</v>
      </c>
      <c r="AO3201" t="s">
        <v>118</v>
      </c>
      <c r="AP3201">
        <v>18</v>
      </c>
      <c r="AQ3201">
        <v>-117</v>
      </c>
      <c r="AR3201">
        <v>-448</v>
      </c>
      <c r="AZ3201">
        <v>4552</v>
      </c>
      <c r="BA3201">
        <v>1</v>
      </c>
      <c r="BB3201" t="str">
        <f t="shared" si="1295"/>
        <v xml:space="preserve">N607SR  </v>
      </c>
      <c r="BC3201">
        <v>1</v>
      </c>
      <c r="BE3201">
        <v>0</v>
      </c>
      <c r="BF3201">
        <v>0</v>
      </c>
      <c r="BG3201">
        <v>0</v>
      </c>
      <c r="BH3201">
        <v>2050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 t="shared" ref="BW3201:BW3206" si="1338">"06:21:14.075"</f>
        <v>06:21:14.075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119</v>
      </c>
      <c r="CQ3201">
        <v>465</v>
      </c>
      <c r="CR3201">
        <v>0</v>
      </c>
      <c r="CW3201">
        <v>4729791</v>
      </c>
      <c r="CY3201">
        <v>1</v>
      </c>
      <c r="CZ3201">
        <v>0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 t="shared" si="1335"/>
        <v>08/29/2020 06:21:10.876</v>
      </c>
      <c r="C3202" t="str">
        <f t="shared" ref="C3202:C3265" si="1339">"FFDFD3C0"</f>
        <v>FFDFD3C0</v>
      </c>
      <c r="D3202" t="s">
        <v>121</v>
      </c>
      <c r="E3202">
        <v>11</v>
      </c>
      <c r="F3202">
        <v>1011</v>
      </c>
      <c r="G3202" t="s">
        <v>125</v>
      </c>
      <c r="J3202" t="s">
        <v>123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336"/>
        <v>06:21:14.070</v>
      </c>
      <c r="T3202" t="str">
        <f t="shared" si="1337"/>
        <v>06:21:13.670</v>
      </c>
      <c r="U3202" t="str">
        <f t="shared" ref="U3202:U3265" si="1340">"A7E2E0"</f>
        <v>A7E2E0</v>
      </c>
      <c r="V3202">
        <v>0</v>
      </c>
      <c r="W3202">
        <v>0</v>
      </c>
      <c r="X3202">
        <v>1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0</v>
      </c>
      <c r="AI3202" t="s">
        <v>1538</v>
      </c>
      <c r="AJ3202">
        <v>38.847054999999997</v>
      </c>
      <c r="AK3202" t="s">
        <v>1539</v>
      </c>
      <c r="AL3202">
        <v>-87.606696999999997</v>
      </c>
      <c r="AM3202">
        <v>100</v>
      </c>
      <c r="AN3202">
        <v>2300</v>
      </c>
      <c r="AO3202" t="s">
        <v>118</v>
      </c>
      <c r="AP3202">
        <v>18</v>
      </c>
      <c r="AQ3202">
        <v>-117</v>
      </c>
      <c r="AR3202">
        <v>-448</v>
      </c>
      <c r="AZ3202">
        <v>4552</v>
      </c>
      <c r="BA3202">
        <v>1</v>
      </c>
      <c r="BB3202" t="str">
        <f t="shared" ref="BB3202:BB3265" si="1341">"N607SR  "</f>
        <v xml:space="preserve">N607SR  </v>
      </c>
      <c r="BC3202">
        <v>1</v>
      </c>
      <c r="BE3202">
        <v>0</v>
      </c>
      <c r="BF3202">
        <v>0</v>
      </c>
      <c r="BG3202">
        <v>0</v>
      </c>
      <c r="BH3202">
        <v>2050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 t="shared" si="1338"/>
        <v>06:21:14.075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5</v>
      </c>
      <c r="CP3202" t="s">
        <v>119</v>
      </c>
      <c r="CQ3202">
        <v>457</v>
      </c>
      <c r="CR3202">
        <v>0</v>
      </c>
      <c r="CW3202">
        <v>15524955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 t="shared" si="1335"/>
        <v>08/29/2020 06:21:10.876</v>
      </c>
      <c r="C3203" t="str">
        <f t="shared" si="1339"/>
        <v>FFDFD3C0</v>
      </c>
      <c r="D3203" t="s">
        <v>113</v>
      </c>
      <c r="E3203">
        <v>5</v>
      </c>
      <c r="H3203">
        <v>163</v>
      </c>
      <c r="I3203" t="s">
        <v>114</v>
      </c>
      <c r="J3203" t="s">
        <v>115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336"/>
        <v>06:21:14.070</v>
      </c>
      <c r="T3203" t="str">
        <f t="shared" si="1337"/>
        <v>06:21:13.670</v>
      </c>
      <c r="U3203" t="str">
        <f t="shared" si="1340"/>
        <v>A7E2E0</v>
      </c>
      <c r="V3203">
        <v>0</v>
      </c>
      <c r="W3203">
        <v>0</v>
      </c>
      <c r="X3203">
        <v>1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0</v>
      </c>
      <c r="AI3203" t="s">
        <v>1538</v>
      </c>
      <c r="AJ3203">
        <v>38.847054999999997</v>
      </c>
      <c r="AK3203" t="s">
        <v>1539</v>
      </c>
      <c r="AL3203">
        <v>-87.606696999999997</v>
      </c>
      <c r="AM3203">
        <v>100</v>
      </c>
      <c r="AN3203">
        <v>2300</v>
      </c>
      <c r="AO3203" t="s">
        <v>118</v>
      </c>
      <c r="AP3203">
        <v>18</v>
      </c>
      <c r="AQ3203">
        <v>-117</v>
      </c>
      <c r="AR3203">
        <v>-448</v>
      </c>
      <c r="AZ3203">
        <v>4552</v>
      </c>
      <c r="BA3203">
        <v>1</v>
      </c>
      <c r="BB3203" t="str">
        <f t="shared" si="1341"/>
        <v xml:space="preserve">N607SR  </v>
      </c>
      <c r="BC3203">
        <v>1</v>
      </c>
      <c r="BE3203">
        <v>0</v>
      </c>
      <c r="BF3203">
        <v>0</v>
      </c>
      <c r="BG3203">
        <v>0</v>
      </c>
      <c r="BH3203">
        <v>2050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 t="shared" si="1338"/>
        <v>06:21:14.075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119</v>
      </c>
      <c r="CQ3203">
        <v>465</v>
      </c>
      <c r="CR3203">
        <v>0</v>
      </c>
      <c r="CW3203">
        <v>4729791</v>
      </c>
      <c r="CY3203">
        <v>1</v>
      </c>
      <c r="CZ3203">
        <v>0</v>
      </c>
      <c r="DA3203">
        <v>1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 t="shared" si="1335"/>
        <v>08/29/2020 06:21:10.876</v>
      </c>
      <c r="C3204" t="str">
        <f t="shared" si="1339"/>
        <v>FFDFD3C0</v>
      </c>
      <c r="D3204" t="s">
        <v>939</v>
      </c>
      <c r="E3204">
        <v>10</v>
      </c>
      <c r="H3204">
        <v>79</v>
      </c>
      <c r="I3204" t="s">
        <v>940</v>
      </c>
      <c r="J3204" t="s">
        <v>130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336"/>
        <v>06:21:14.070</v>
      </c>
      <c r="T3204" t="str">
        <f t="shared" si="1337"/>
        <v>06:21:13.670</v>
      </c>
      <c r="U3204" t="str">
        <f t="shared" si="1340"/>
        <v>A7E2E0</v>
      </c>
      <c r="V3204">
        <v>0</v>
      </c>
      <c r="W3204">
        <v>0</v>
      </c>
      <c r="X3204">
        <v>1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0</v>
      </c>
      <c r="AI3204" t="s">
        <v>1538</v>
      </c>
      <c r="AJ3204">
        <v>38.847054999999997</v>
      </c>
      <c r="AK3204" t="s">
        <v>1539</v>
      </c>
      <c r="AL3204">
        <v>-87.606696999999997</v>
      </c>
      <c r="AM3204">
        <v>100</v>
      </c>
      <c r="AN3204">
        <v>2300</v>
      </c>
      <c r="AO3204" t="s">
        <v>118</v>
      </c>
      <c r="AP3204">
        <v>18</v>
      </c>
      <c r="AQ3204">
        <v>-117</v>
      </c>
      <c r="AR3204">
        <v>-448</v>
      </c>
      <c r="AZ3204">
        <v>4552</v>
      </c>
      <c r="BA3204">
        <v>1</v>
      </c>
      <c r="BB3204" t="str">
        <f t="shared" si="1341"/>
        <v xml:space="preserve">N607SR  </v>
      </c>
      <c r="BC3204">
        <v>1</v>
      </c>
      <c r="BE3204">
        <v>0</v>
      </c>
      <c r="BF3204">
        <v>0</v>
      </c>
      <c r="BG3204">
        <v>0</v>
      </c>
      <c r="BH3204">
        <v>2050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 t="shared" si="1338"/>
        <v>06:21:14.075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119</v>
      </c>
      <c r="CQ3204">
        <v>465</v>
      </c>
      <c r="CR3204">
        <v>0</v>
      </c>
      <c r="CW3204">
        <v>4729791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 t="shared" si="1335"/>
        <v>08/29/2020 06:21:10.876</v>
      </c>
      <c r="C3205" t="str">
        <f t="shared" si="1339"/>
        <v>FFDFD3C0</v>
      </c>
      <c r="D3205" t="s">
        <v>128</v>
      </c>
      <c r="E3205">
        <v>5</v>
      </c>
      <c r="H3205">
        <v>241</v>
      </c>
      <c r="I3205" t="s">
        <v>129</v>
      </c>
      <c r="J3205" t="s">
        <v>130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si="1336"/>
        <v>06:21:14.070</v>
      </c>
      <c r="T3205" t="str">
        <f t="shared" si="1337"/>
        <v>06:21:13.670</v>
      </c>
      <c r="U3205" t="str">
        <f t="shared" si="1340"/>
        <v>A7E2E0</v>
      </c>
      <c r="V3205">
        <v>0</v>
      </c>
      <c r="W3205">
        <v>0</v>
      </c>
      <c r="X3205">
        <v>1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0</v>
      </c>
      <c r="AI3205" t="s">
        <v>1538</v>
      </c>
      <c r="AJ3205">
        <v>38.847054999999997</v>
      </c>
      <c r="AK3205" t="s">
        <v>1539</v>
      </c>
      <c r="AL3205">
        <v>-87.606696999999997</v>
      </c>
      <c r="AM3205">
        <v>100</v>
      </c>
      <c r="AN3205">
        <v>2300</v>
      </c>
      <c r="AO3205" t="s">
        <v>118</v>
      </c>
      <c r="AP3205">
        <v>18</v>
      </c>
      <c r="AQ3205">
        <v>-117</v>
      </c>
      <c r="AR3205">
        <v>-448</v>
      </c>
      <c r="AZ3205">
        <v>4552</v>
      </c>
      <c r="BA3205">
        <v>1</v>
      </c>
      <c r="BB3205" t="str">
        <f t="shared" si="1341"/>
        <v xml:space="preserve">N607SR  </v>
      </c>
      <c r="BC3205">
        <v>1</v>
      </c>
      <c r="BE3205">
        <v>0</v>
      </c>
      <c r="BF3205">
        <v>0</v>
      </c>
      <c r="BG3205">
        <v>0</v>
      </c>
      <c r="BH3205">
        <v>2050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 t="shared" si="1338"/>
        <v>06:21:14.075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465</v>
      </c>
      <c r="CR3205">
        <v>0</v>
      </c>
      <c r="CW3205">
        <v>4729791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 t="shared" si="1335"/>
        <v>08/29/2020 06:21:10.876</v>
      </c>
      <c r="C3206" t="str">
        <f t="shared" si="1339"/>
        <v>FFDFD3C0</v>
      </c>
      <c r="D3206" t="s">
        <v>121</v>
      </c>
      <c r="E3206">
        <v>13</v>
      </c>
      <c r="F3206">
        <v>1013</v>
      </c>
      <c r="G3206" t="s">
        <v>122</v>
      </c>
      <c r="J3206" t="s">
        <v>123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336"/>
        <v>06:21:14.070</v>
      </c>
      <c r="T3206" t="str">
        <f t="shared" si="1337"/>
        <v>06:21:13.670</v>
      </c>
      <c r="U3206" t="str">
        <f t="shared" si="1340"/>
        <v>A7E2E0</v>
      </c>
      <c r="V3206">
        <v>0</v>
      </c>
      <c r="W3206">
        <v>0</v>
      </c>
      <c r="X3206">
        <v>1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0</v>
      </c>
      <c r="AI3206" t="s">
        <v>1538</v>
      </c>
      <c r="AJ3206">
        <v>38.847054999999997</v>
      </c>
      <c r="AK3206" t="s">
        <v>1539</v>
      </c>
      <c r="AL3206">
        <v>-87.606696999999997</v>
      </c>
      <c r="AM3206">
        <v>100</v>
      </c>
      <c r="AN3206">
        <v>2300</v>
      </c>
      <c r="AO3206" t="s">
        <v>118</v>
      </c>
      <c r="AP3206">
        <v>18</v>
      </c>
      <c r="AQ3206">
        <v>-117</v>
      </c>
      <c r="AR3206">
        <v>-448</v>
      </c>
      <c r="AZ3206">
        <v>4552</v>
      </c>
      <c r="BA3206">
        <v>1</v>
      </c>
      <c r="BB3206" t="str">
        <f t="shared" si="1341"/>
        <v xml:space="preserve">N607SR  </v>
      </c>
      <c r="BC3206">
        <v>1</v>
      </c>
      <c r="BE3206">
        <v>0</v>
      </c>
      <c r="BF3206">
        <v>0</v>
      </c>
      <c r="BG3206">
        <v>0</v>
      </c>
      <c r="BH3206">
        <v>2050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 t="shared" si="1338"/>
        <v>06:21:14.075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119</v>
      </c>
      <c r="CQ3206">
        <v>465</v>
      </c>
      <c r="CR3206">
        <v>0</v>
      </c>
      <c r="CW3206">
        <v>4729791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 t="shared" ref="A3207:A3212" si="1342">"08/29/2020 06:21:11.786"</f>
        <v>08/29/2020 06:21:11.786</v>
      </c>
      <c r="C3207" t="str">
        <f t="shared" si="1339"/>
        <v>FFDFD3C0</v>
      </c>
      <c r="D3207" t="s">
        <v>121</v>
      </c>
      <c r="E3207">
        <v>10</v>
      </c>
      <c r="F3207">
        <v>1010</v>
      </c>
      <c r="G3207" t="s">
        <v>114</v>
      </c>
      <c r="J3207" t="s">
        <v>123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ref="S3207:S3212" si="1343">"06:21:15.008"</f>
        <v>06:21:15.008</v>
      </c>
      <c r="T3207" t="str">
        <f t="shared" ref="T3207:T3212" si="1344">"06:21:14.608"</f>
        <v>06:21:14.608</v>
      </c>
      <c r="U3207" t="str">
        <f t="shared" si="1340"/>
        <v>A7E2E0</v>
      </c>
      <c r="V3207">
        <v>0</v>
      </c>
      <c r="W3207">
        <v>0</v>
      </c>
      <c r="X3207">
        <v>1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0</v>
      </c>
      <c r="AI3207" t="s">
        <v>1540</v>
      </c>
      <c r="AJ3207">
        <v>38.846561999999999</v>
      </c>
      <c r="AK3207" t="s">
        <v>1541</v>
      </c>
      <c r="AL3207">
        <v>-87.606589999999997</v>
      </c>
      <c r="AM3207">
        <v>100</v>
      </c>
      <c r="AN3207">
        <v>2200</v>
      </c>
      <c r="AO3207" t="s">
        <v>118</v>
      </c>
      <c r="AP3207">
        <v>18</v>
      </c>
      <c r="AQ3207">
        <v>-118</v>
      </c>
      <c r="AR3207">
        <v>-448</v>
      </c>
      <c r="AZ3207">
        <v>4552</v>
      </c>
      <c r="BA3207">
        <v>1</v>
      </c>
      <c r="BB3207" t="str">
        <f t="shared" si="1341"/>
        <v xml:space="preserve">N607SR  </v>
      </c>
      <c r="BC3207">
        <v>1</v>
      </c>
      <c r="BE3207">
        <v>0</v>
      </c>
      <c r="BF3207">
        <v>0</v>
      </c>
      <c r="BG3207">
        <v>0</v>
      </c>
      <c r="BH3207">
        <v>1950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 t="shared" ref="BW3207:BW3212" si="1345">"06:21:15.010"</f>
        <v>06:21:15.010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465</v>
      </c>
      <c r="CR3207">
        <v>0</v>
      </c>
      <c r="CW3207">
        <v>4729820</v>
      </c>
      <c r="CY3207">
        <v>1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 t="shared" si="1342"/>
        <v>08/29/2020 06:21:11.786</v>
      </c>
      <c r="C3208" t="str">
        <f t="shared" si="1339"/>
        <v>FFDFD3C0</v>
      </c>
      <c r="D3208" t="s">
        <v>113</v>
      </c>
      <c r="E3208">
        <v>5</v>
      </c>
      <c r="H3208">
        <v>163</v>
      </c>
      <c r="I3208" t="s">
        <v>114</v>
      </c>
      <c r="J3208" t="s">
        <v>115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si="1343"/>
        <v>06:21:15.008</v>
      </c>
      <c r="T3208" t="str">
        <f t="shared" si="1344"/>
        <v>06:21:14.608</v>
      </c>
      <c r="U3208" t="str">
        <f t="shared" si="1340"/>
        <v>A7E2E0</v>
      </c>
      <c r="V3208">
        <v>0</v>
      </c>
      <c r="W3208">
        <v>0</v>
      </c>
      <c r="X3208">
        <v>1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0</v>
      </c>
      <c r="AI3208" t="s">
        <v>1540</v>
      </c>
      <c r="AJ3208">
        <v>38.846561999999999</v>
      </c>
      <c r="AK3208" t="s">
        <v>1541</v>
      </c>
      <c r="AL3208">
        <v>-87.606589999999997</v>
      </c>
      <c r="AM3208">
        <v>100</v>
      </c>
      <c r="AN3208">
        <v>2200</v>
      </c>
      <c r="AO3208" t="s">
        <v>118</v>
      </c>
      <c r="AP3208">
        <v>18</v>
      </c>
      <c r="AQ3208">
        <v>-118</v>
      </c>
      <c r="AR3208">
        <v>-448</v>
      </c>
      <c r="AZ3208">
        <v>4552</v>
      </c>
      <c r="BA3208">
        <v>1</v>
      </c>
      <c r="BB3208" t="str">
        <f t="shared" si="1341"/>
        <v xml:space="preserve">N607SR  </v>
      </c>
      <c r="BC3208">
        <v>1</v>
      </c>
      <c r="BE3208">
        <v>0</v>
      </c>
      <c r="BF3208">
        <v>0</v>
      </c>
      <c r="BG3208">
        <v>0</v>
      </c>
      <c r="BH3208">
        <v>1950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 t="shared" si="1345"/>
        <v>06:21:15.010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465</v>
      </c>
      <c r="CR3208">
        <v>0</v>
      </c>
      <c r="CW3208">
        <v>4729820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 t="shared" si="1342"/>
        <v>08/29/2020 06:21:11.786</v>
      </c>
      <c r="C3209" t="str">
        <f t="shared" si="1339"/>
        <v>FFDFD3C0</v>
      </c>
      <c r="D3209" t="s">
        <v>939</v>
      </c>
      <c r="E3209">
        <v>10</v>
      </c>
      <c r="H3209">
        <v>79</v>
      </c>
      <c r="I3209" t="s">
        <v>940</v>
      </c>
      <c r="J3209" t="s">
        <v>130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343"/>
        <v>06:21:15.008</v>
      </c>
      <c r="T3209" t="str">
        <f t="shared" si="1344"/>
        <v>06:21:14.608</v>
      </c>
      <c r="U3209" t="str">
        <f t="shared" si="1340"/>
        <v>A7E2E0</v>
      </c>
      <c r="V3209">
        <v>0</v>
      </c>
      <c r="W3209">
        <v>0</v>
      </c>
      <c r="X3209">
        <v>1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0</v>
      </c>
      <c r="AI3209" t="s">
        <v>1540</v>
      </c>
      <c r="AJ3209">
        <v>38.846561999999999</v>
      </c>
      <c r="AK3209" t="s">
        <v>1541</v>
      </c>
      <c r="AL3209">
        <v>-87.606589999999997</v>
      </c>
      <c r="AM3209">
        <v>100</v>
      </c>
      <c r="AN3209">
        <v>2200</v>
      </c>
      <c r="AO3209" t="s">
        <v>118</v>
      </c>
      <c r="AP3209">
        <v>18</v>
      </c>
      <c r="AQ3209">
        <v>-118</v>
      </c>
      <c r="AR3209">
        <v>-448</v>
      </c>
      <c r="AZ3209">
        <v>4552</v>
      </c>
      <c r="BA3209">
        <v>1</v>
      </c>
      <c r="BB3209" t="str">
        <f t="shared" si="1341"/>
        <v xml:space="preserve">N607SR  </v>
      </c>
      <c r="BC3209">
        <v>1</v>
      </c>
      <c r="BE3209">
        <v>0</v>
      </c>
      <c r="BF3209">
        <v>0</v>
      </c>
      <c r="BG3209">
        <v>0</v>
      </c>
      <c r="BH3209">
        <v>1950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 t="shared" si="1345"/>
        <v>06:21:15.010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465</v>
      </c>
      <c r="CR3209">
        <v>0</v>
      </c>
      <c r="CW3209">
        <v>4729820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 t="shared" si="1342"/>
        <v>08/29/2020 06:21:11.786</v>
      </c>
      <c r="C3210" t="str">
        <f t="shared" si="1339"/>
        <v>FFDFD3C0</v>
      </c>
      <c r="D3210" t="s">
        <v>128</v>
      </c>
      <c r="E3210">
        <v>5</v>
      </c>
      <c r="H3210">
        <v>241</v>
      </c>
      <c r="I3210" t="s">
        <v>129</v>
      </c>
      <c r="J3210" t="s">
        <v>130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343"/>
        <v>06:21:15.008</v>
      </c>
      <c r="T3210" t="str">
        <f t="shared" si="1344"/>
        <v>06:21:14.608</v>
      </c>
      <c r="U3210" t="str">
        <f t="shared" si="1340"/>
        <v>A7E2E0</v>
      </c>
      <c r="V3210">
        <v>0</v>
      </c>
      <c r="W3210">
        <v>0</v>
      </c>
      <c r="X3210">
        <v>1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0</v>
      </c>
      <c r="AI3210" t="s">
        <v>1540</v>
      </c>
      <c r="AJ3210">
        <v>38.846561999999999</v>
      </c>
      <c r="AK3210" t="s">
        <v>1541</v>
      </c>
      <c r="AL3210">
        <v>-87.606589999999997</v>
      </c>
      <c r="AM3210">
        <v>100</v>
      </c>
      <c r="AN3210">
        <v>2200</v>
      </c>
      <c r="AO3210" t="s">
        <v>118</v>
      </c>
      <c r="AP3210">
        <v>18</v>
      </c>
      <c r="AQ3210">
        <v>-118</v>
      </c>
      <c r="AR3210">
        <v>-448</v>
      </c>
      <c r="AZ3210">
        <v>4552</v>
      </c>
      <c r="BA3210">
        <v>1</v>
      </c>
      <c r="BB3210" t="str">
        <f t="shared" si="1341"/>
        <v xml:space="preserve">N607SR  </v>
      </c>
      <c r="BC3210">
        <v>1</v>
      </c>
      <c r="BE3210">
        <v>0</v>
      </c>
      <c r="BF3210">
        <v>0</v>
      </c>
      <c r="BG3210">
        <v>0</v>
      </c>
      <c r="BH3210">
        <v>1950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 t="shared" si="1345"/>
        <v>06:21:15.010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465</v>
      </c>
      <c r="CR3210">
        <v>0</v>
      </c>
      <c r="CW3210">
        <v>4729820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 t="shared" si="1342"/>
        <v>08/29/2020 06:21:11.786</v>
      </c>
      <c r="C3211" t="str">
        <f t="shared" si="1339"/>
        <v>FFDFD3C0</v>
      </c>
      <c r="D3211" t="s">
        <v>121</v>
      </c>
      <c r="E3211">
        <v>13</v>
      </c>
      <c r="F3211">
        <v>1013</v>
      </c>
      <c r="G3211" t="s">
        <v>122</v>
      </c>
      <c r="J3211" t="s">
        <v>123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si="1343"/>
        <v>06:21:15.008</v>
      </c>
      <c r="T3211" t="str">
        <f t="shared" si="1344"/>
        <v>06:21:14.608</v>
      </c>
      <c r="U3211" t="str">
        <f t="shared" si="1340"/>
        <v>A7E2E0</v>
      </c>
      <c r="V3211">
        <v>0</v>
      </c>
      <c r="W3211">
        <v>0</v>
      </c>
      <c r="X3211">
        <v>1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0</v>
      </c>
      <c r="AI3211" t="s">
        <v>1540</v>
      </c>
      <c r="AJ3211">
        <v>38.846561999999999</v>
      </c>
      <c r="AK3211" t="s">
        <v>1541</v>
      </c>
      <c r="AL3211">
        <v>-87.606589999999997</v>
      </c>
      <c r="AM3211">
        <v>100</v>
      </c>
      <c r="AN3211">
        <v>2200</v>
      </c>
      <c r="AO3211" t="s">
        <v>118</v>
      </c>
      <c r="AP3211">
        <v>18</v>
      </c>
      <c r="AQ3211">
        <v>-118</v>
      </c>
      <c r="AR3211">
        <v>-448</v>
      </c>
      <c r="AZ3211">
        <v>4552</v>
      </c>
      <c r="BA3211">
        <v>1</v>
      </c>
      <c r="BB3211" t="str">
        <f t="shared" si="1341"/>
        <v xml:space="preserve">N607SR  </v>
      </c>
      <c r="BC3211">
        <v>1</v>
      </c>
      <c r="BE3211">
        <v>0</v>
      </c>
      <c r="BF3211">
        <v>0</v>
      </c>
      <c r="BG3211">
        <v>0</v>
      </c>
      <c r="BH3211">
        <v>1950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 t="shared" si="1345"/>
        <v>06:21:15.010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465</v>
      </c>
      <c r="CR3211">
        <v>0</v>
      </c>
      <c r="CW3211">
        <v>4729820</v>
      </c>
      <c r="CY3211">
        <v>1</v>
      </c>
      <c r="CZ3211">
        <v>0</v>
      </c>
      <c r="DA3211">
        <v>1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 t="shared" si="1342"/>
        <v>08/29/2020 06:21:11.786</v>
      </c>
      <c r="C3212" t="str">
        <f t="shared" si="1339"/>
        <v>FFDFD3C0</v>
      </c>
      <c r="D3212" t="s">
        <v>121</v>
      </c>
      <c r="E3212">
        <v>11</v>
      </c>
      <c r="F3212">
        <v>1011</v>
      </c>
      <c r="G3212" t="s">
        <v>125</v>
      </c>
      <c r="J3212" t="s">
        <v>123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343"/>
        <v>06:21:15.008</v>
      </c>
      <c r="T3212" t="str">
        <f t="shared" si="1344"/>
        <v>06:21:14.608</v>
      </c>
      <c r="U3212" t="str">
        <f t="shared" si="1340"/>
        <v>A7E2E0</v>
      </c>
      <c r="V3212">
        <v>0</v>
      </c>
      <c r="W3212">
        <v>0</v>
      </c>
      <c r="X3212">
        <v>1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0</v>
      </c>
      <c r="AI3212" t="s">
        <v>1540</v>
      </c>
      <c r="AJ3212">
        <v>38.846561999999999</v>
      </c>
      <c r="AK3212" t="s">
        <v>1541</v>
      </c>
      <c r="AL3212">
        <v>-87.606589999999997</v>
      </c>
      <c r="AM3212">
        <v>100</v>
      </c>
      <c r="AN3212">
        <v>2200</v>
      </c>
      <c r="AO3212" t="s">
        <v>118</v>
      </c>
      <c r="AP3212">
        <v>18</v>
      </c>
      <c r="AQ3212">
        <v>-118</v>
      </c>
      <c r="AR3212">
        <v>-448</v>
      </c>
      <c r="AZ3212">
        <v>4552</v>
      </c>
      <c r="BA3212">
        <v>1</v>
      </c>
      <c r="BB3212" t="str">
        <f t="shared" si="1341"/>
        <v xml:space="preserve">N607SR  </v>
      </c>
      <c r="BC3212">
        <v>1</v>
      </c>
      <c r="BE3212">
        <v>0</v>
      </c>
      <c r="BF3212">
        <v>0</v>
      </c>
      <c r="BG3212">
        <v>0</v>
      </c>
      <c r="BH3212">
        <v>1950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 t="shared" si="1345"/>
        <v>06:21:15.010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5</v>
      </c>
      <c r="CP3212" t="s">
        <v>119</v>
      </c>
      <c r="CQ3212">
        <v>457</v>
      </c>
      <c r="CR3212">
        <v>0</v>
      </c>
      <c r="CW3212">
        <v>15524983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>"08/29/2020 06:21:12.895"</f>
        <v>08/29/2020 06:21:12.895</v>
      </c>
      <c r="C3213" t="str">
        <f t="shared" si="1339"/>
        <v>FFDFD3C0</v>
      </c>
      <c r="D3213" t="s">
        <v>121</v>
      </c>
      <c r="E3213">
        <v>11</v>
      </c>
      <c r="F3213">
        <v>1011</v>
      </c>
      <c r="G3213" t="s">
        <v>125</v>
      </c>
      <c r="J3213" t="s">
        <v>123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"06:21:16.133"</f>
        <v>06:21:16.133</v>
      </c>
      <c r="T3213" t="str">
        <f>"06:21:15.633"</f>
        <v>06:21:15.633</v>
      </c>
      <c r="U3213" t="str">
        <f t="shared" si="1340"/>
        <v>A7E2E0</v>
      </c>
      <c r="V3213">
        <v>0</v>
      </c>
      <c r="W3213">
        <v>0</v>
      </c>
      <c r="X3213">
        <v>1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0</v>
      </c>
      <c r="AI3213" t="s">
        <v>1542</v>
      </c>
      <c r="AJ3213">
        <v>38.845917999999998</v>
      </c>
      <c r="AK3213" t="s">
        <v>1543</v>
      </c>
      <c r="AL3213">
        <v>-87.606482999999997</v>
      </c>
      <c r="AM3213">
        <v>100</v>
      </c>
      <c r="AN3213">
        <v>2200</v>
      </c>
      <c r="AO3213" t="s">
        <v>118</v>
      </c>
      <c r="AP3213">
        <v>19</v>
      </c>
      <c r="AQ3213">
        <v>-118</v>
      </c>
      <c r="AR3213">
        <v>-512</v>
      </c>
      <c r="AZ3213">
        <v>4552</v>
      </c>
      <c r="BA3213">
        <v>1</v>
      </c>
      <c r="BB3213" t="str">
        <f t="shared" si="1341"/>
        <v xml:space="preserve">N607SR  </v>
      </c>
      <c r="BC3213">
        <v>1</v>
      </c>
      <c r="BE3213">
        <v>0</v>
      </c>
      <c r="BF3213">
        <v>0</v>
      </c>
      <c r="BG3213">
        <v>0</v>
      </c>
      <c r="BH3213">
        <v>2050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>"06:21:16.134"</f>
        <v>06:21:16.134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5</v>
      </c>
      <c r="CP3213" t="s">
        <v>119</v>
      </c>
      <c r="CQ3213">
        <v>457</v>
      </c>
      <c r="CR3213">
        <v>0</v>
      </c>
      <c r="CW3213">
        <v>15525018</v>
      </c>
      <c r="CY3213">
        <v>1</v>
      </c>
      <c r="CZ3213">
        <v>0</v>
      </c>
      <c r="DA3213">
        <v>0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>"08/29/2020 06:21:12.895"</f>
        <v>08/29/2020 06:21:12.895</v>
      </c>
      <c r="C3214" t="str">
        <f t="shared" si="1339"/>
        <v>FFDFD3C0</v>
      </c>
      <c r="D3214" t="s">
        <v>121</v>
      </c>
      <c r="E3214">
        <v>10</v>
      </c>
      <c r="F3214">
        <v>1010</v>
      </c>
      <c r="G3214" t="s">
        <v>114</v>
      </c>
      <c r="J3214" t="s">
        <v>123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"06:21:16.133"</f>
        <v>06:21:16.133</v>
      </c>
      <c r="T3214" t="str">
        <f>"06:21:15.633"</f>
        <v>06:21:15.633</v>
      </c>
      <c r="U3214" t="str">
        <f t="shared" si="1340"/>
        <v>A7E2E0</v>
      </c>
      <c r="V3214">
        <v>0</v>
      </c>
      <c r="W3214">
        <v>0</v>
      </c>
      <c r="X3214">
        <v>1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0</v>
      </c>
      <c r="AI3214" t="s">
        <v>1542</v>
      </c>
      <c r="AJ3214">
        <v>38.845917999999998</v>
      </c>
      <c r="AK3214" t="s">
        <v>1543</v>
      </c>
      <c r="AL3214">
        <v>-87.606482999999997</v>
      </c>
      <c r="AM3214">
        <v>100</v>
      </c>
      <c r="AN3214">
        <v>2200</v>
      </c>
      <c r="AO3214" t="s">
        <v>118</v>
      </c>
      <c r="AP3214">
        <v>19</v>
      </c>
      <c r="AQ3214">
        <v>-118</v>
      </c>
      <c r="AR3214">
        <v>-512</v>
      </c>
      <c r="AZ3214">
        <v>4552</v>
      </c>
      <c r="BA3214">
        <v>1</v>
      </c>
      <c r="BB3214" t="str">
        <f t="shared" si="1341"/>
        <v xml:space="preserve">N607SR  </v>
      </c>
      <c r="BC3214">
        <v>1</v>
      </c>
      <c r="BE3214">
        <v>0</v>
      </c>
      <c r="BF3214">
        <v>0</v>
      </c>
      <c r="BG3214">
        <v>0</v>
      </c>
      <c r="BH3214">
        <v>2050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>"06:21:16.134"</f>
        <v>06:21:16.134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5</v>
      </c>
      <c r="CP3214" t="s">
        <v>119</v>
      </c>
      <c r="CQ3214">
        <v>457</v>
      </c>
      <c r="CR3214">
        <v>0</v>
      </c>
      <c r="CW3214">
        <v>15525018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>"08/29/2020 06:21:12.895"</f>
        <v>08/29/2020 06:21:12.895</v>
      </c>
      <c r="C3215" t="str">
        <f t="shared" si="1339"/>
        <v>FFDFD3C0</v>
      </c>
      <c r="D3215" t="s">
        <v>113</v>
      </c>
      <c r="E3215">
        <v>5</v>
      </c>
      <c r="H3215">
        <v>163</v>
      </c>
      <c r="I3215" t="s">
        <v>114</v>
      </c>
      <c r="J3215" t="s">
        <v>115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"06:21:16.133"</f>
        <v>06:21:16.133</v>
      </c>
      <c r="T3215" t="str">
        <f>"06:21:15.633"</f>
        <v>06:21:15.633</v>
      </c>
      <c r="U3215" t="str">
        <f t="shared" si="1340"/>
        <v>A7E2E0</v>
      </c>
      <c r="V3215">
        <v>0</v>
      </c>
      <c r="W3215">
        <v>0</v>
      </c>
      <c r="X3215">
        <v>1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0</v>
      </c>
      <c r="AI3215" t="s">
        <v>1542</v>
      </c>
      <c r="AJ3215">
        <v>38.845917999999998</v>
      </c>
      <c r="AK3215" t="s">
        <v>1543</v>
      </c>
      <c r="AL3215">
        <v>-87.606482999999997</v>
      </c>
      <c r="AM3215">
        <v>100</v>
      </c>
      <c r="AN3215">
        <v>2200</v>
      </c>
      <c r="AO3215" t="s">
        <v>118</v>
      </c>
      <c r="AP3215">
        <v>19</v>
      </c>
      <c r="AQ3215">
        <v>-118</v>
      </c>
      <c r="AR3215">
        <v>-512</v>
      </c>
      <c r="AZ3215">
        <v>4552</v>
      </c>
      <c r="BA3215">
        <v>1</v>
      </c>
      <c r="BB3215" t="str">
        <f t="shared" si="1341"/>
        <v xml:space="preserve">N607SR  </v>
      </c>
      <c r="BC3215">
        <v>1</v>
      </c>
      <c r="BE3215">
        <v>0</v>
      </c>
      <c r="BF3215">
        <v>0</v>
      </c>
      <c r="BG3215">
        <v>0</v>
      </c>
      <c r="BH3215">
        <v>2050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>"06:21:16.134"</f>
        <v>06:21:16.134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5</v>
      </c>
      <c r="CP3215" t="s">
        <v>119</v>
      </c>
      <c r="CQ3215">
        <v>457</v>
      </c>
      <c r="CR3215">
        <v>0</v>
      </c>
      <c r="CW3215">
        <v>15525018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>"08/29/2020 06:21:12.895"</f>
        <v>08/29/2020 06:21:12.895</v>
      </c>
      <c r="C3216" t="str">
        <f t="shared" si="1339"/>
        <v>FFDFD3C0</v>
      </c>
      <c r="D3216" t="s">
        <v>128</v>
      </c>
      <c r="E3216">
        <v>5</v>
      </c>
      <c r="H3216">
        <v>241</v>
      </c>
      <c r="I3216" t="s">
        <v>129</v>
      </c>
      <c r="J3216" t="s">
        <v>130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"06:21:16.133"</f>
        <v>06:21:16.133</v>
      </c>
      <c r="T3216" t="str">
        <f>"06:21:15.633"</f>
        <v>06:21:15.633</v>
      </c>
      <c r="U3216" t="str">
        <f t="shared" si="1340"/>
        <v>A7E2E0</v>
      </c>
      <c r="V3216">
        <v>0</v>
      </c>
      <c r="W3216">
        <v>0</v>
      </c>
      <c r="X3216">
        <v>1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0</v>
      </c>
      <c r="AI3216" t="s">
        <v>1542</v>
      </c>
      <c r="AJ3216">
        <v>38.845917999999998</v>
      </c>
      <c r="AK3216" t="s">
        <v>1543</v>
      </c>
      <c r="AL3216">
        <v>-87.606482999999997</v>
      </c>
      <c r="AM3216">
        <v>100</v>
      </c>
      <c r="AN3216">
        <v>2200</v>
      </c>
      <c r="AO3216" t="s">
        <v>118</v>
      </c>
      <c r="AP3216">
        <v>19</v>
      </c>
      <c r="AQ3216">
        <v>-118</v>
      </c>
      <c r="AR3216">
        <v>-512</v>
      </c>
      <c r="AZ3216">
        <v>4552</v>
      </c>
      <c r="BA3216">
        <v>1</v>
      </c>
      <c r="BB3216" t="str">
        <f t="shared" si="1341"/>
        <v xml:space="preserve">N607SR  </v>
      </c>
      <c r="BC3216">
        <v>1</v>
      </c>
      <c r="BE3216">
        <v>0</v>
      </c>
      <c r="BF3216">
        <v>0</v>
      </c>
      <c r="BG3216">
        <v>0</v>
      </c>
      <c r="BH3216">
        <v>2050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>"06:21:16.134"</f>
        <v>06:21:16.134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5</v>
      </c>
      <c r="CP3216" t="s">
        <v>119</v>
      </c>
      <c r="CQ3216">
        <v>457</v>
      </c>
      <c r="CR3216">
        <v>0</v>
      </c>
      <c r="CW3216">
        <v>15525018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>"08/29/2020 06:21:12.895"</f>
        <v>08/29/2020 06:21:12.895</v>
      </c>
      <c r="C3217" t="str">
        <f t="shared" si="1339"/>
        <v>FFDFD3C0</v>
      </c>
      <c r="D3217" t="s">
        <v>121</v>
      </c>
      <c r="E3217">
        <v>13</v>
      </c>
      <c r="F3217">
        <v>1013</v>
      </c>
      <c r="G3217" t="s">
        <v>122</v>
      </c>
      <c r="J3217" t="s">
        <v>123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"06:21:16.133"</f>
        <v>06:21:16.133</v>
      </c>
      <c r="T3217" t="str">
        <f>"06:21:15.633"</f>
        <v>06:21:15.633</v>
      </c>
      <c r="U3217" t="str">
        <f t="shared" si="1340"/>
        <v>A7E2E0</v>
      </c>
      <c r="V3217">
        <v>0</v>
      </c>
      <c r="W3217">
        <v>0</v>
      </c>
      <c r="X3217">
        <v>1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0</v>
      </c>
      <c r="AI3217" t="s">
        <v>1542</v>
      </c>
      <c r="AJ3217">
        <v>38.845917999999998</v>
      </c>
      <c r="AK3217" t="s">
        <v>1543</v>
      </c>
      <c r="AL3217">
        <v>-87.606482999999997</v>
      </c>
      <c r="AM3217">
        <v>100</v>
      </c>
      <c r="AN3217">
        <v>2200</v>
      </c>
      <c r="AO3217" t="s">
        <v>118</v>
      </c>
      <c r="AP3217">
        <v>19</v>
      </c>
      <c r="AQ3217">
        <v>-118</v>
      </c>
      <c r="AR3217">
        <v>-512</v>
      </c>
      <c r="AZ3217">
        <v>4552</v>
      </c>
      <c r="BA3217">
        <v>1</v>
      </c>
      <c r="BB3217" t="str">
        <f t="shared" si="1341"/>
        <v xml:space="preserve">N607SR  </v>
      </c>
      <c r="BC3217">
        <v>1</v>
      </c>
      <c r="BE3217">
        <v>0</v>
      </c>
      <c r="BF3217">
        <v>0</v>
      </c>
      <c r="BG3217">
        <v>0</v>
      </c>
      <c r="BH3217">
        <v>2050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>"06:21:16.134"</f>
        <v>06:21:16.134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5</v>
      </c>
      <c r="CP3217" t="s">
        <v>119</v>
      </c>
      <c r="CQ3217">
        <v>457</v>
      </c>
      <c r="CR3217">
        <v>0</v>
      </c>
      <c r="CW3217">
        <v>15525018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 t="shared" ref="A3218:A3223" si="1346">"08/29/2020 06:21:13.804"</f>
        <v>08/29/2020 06:21:13.804</v>
      </c>
      <c r="C3218" t="str">
        <f t="shared" si="1339"/>
        <v>FFDFD3C0</v>
      </c>
      <c r="D3218" t="s">
        <v>939</v>
      </c>
      <c r="E3218">
        <v>10</v>
      </c>
      <c r="H3218">
        <v>79</v>
      </c>
      <c r="I3218" t="s">
        <v>940</v>
      </c>
      <c r="J3218" t="s">
        <v>130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ref="S3218:S3223" si="1347">"06:21:17.047"</f>
        <v>06:21:17.047</v>
      </c>
      <c r="T3218" t="str">
        <f t="shared" ref="T3218:T3223" si="1348">"06:21:16.547"</f>
        <v>06:21:16.547</v>
      </c>
      <c r="U3218" t="str">
        <f t="shared" si="1340"/>
        <v>A7E2E0</v>
      </c>
      <c r="V3218">
        <v>0</v>
      </c>
      <c r="W3218">
        <v>0</v>
      </c>
      <c r="X3218">
        <v>1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0</v>
      </c>
      <c r="AI3218" t="s">
        <v>1544</v>
      </c>
      <c r="AJ3218">
        <v>38.845424999999999</v>
      </c>
      <c r="AK3218" t="s">
        <v>1545</v>
      </c>
      <c r="AL3218">
        <v>-87.606331999999995</v>
      </c>
      <c r="AM3218">
        <v>100</v>
      </c>
      <c r="AN3218">
        <v>2200</v>
      </c>
      <c r="AO3218" t="s">
        <v>118</v>
      </c>
      <c r="AP3218">
        <v>20</v>
      </c>
      <c r="AQ3218">
        <v>-119</v>
      </c>
      <c r="AR3218">
        <v>-576</v>
      </c>
      <c r="AZ3218">
        <v>4552</v>
      </c>
      <c r="BA3218">
        <v>1</v>
      </c>
      <c r="BB3218" t="str">
        <f t="shared" si="1341"/>
        <v xml:space="preserve">N607SR  </v>
      </c>
      <c r="BC3218">
        <v>1</v>
      </c>
      <c r="BE3218">
        <v>0</v>
      </c>
      <c r="BF3218">
        <v>0</v>
      </c>
      <c r="BG3218">
        <v>0</v>
      </c>
      <c r="BH3218">
        <v>2025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 t="shared" ref="BW3218:BW3223" si="1349">"06:21:17.049"</f>
        <v>06:21:17.049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6</v>
      </c>
      <c r="CP3218" t="s">
        <v>119</v>
      </c>
      <c r="CQ3218">
        <v>465</v>
      </c>
      <c r="CR3218">
        <v>0</v>
      </c>
      <c r="CW3218">
        <v>4729878</v>
      </c>
      <c r="CY3218">
        <v>1</v>
      </c>
      <c r="CZ3218">
        <v>0</v>
      </c>
      <c r="DA3218">
        <v>0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 t="shared" si="1346"/>
        <v>08/29/2020 06:21:13.804</v>
      </c>
      <c r="C3219" t="str">
        <f t="shared" si="1339"/>
        <v>FFDFD3C0</v>
      </c>
      <c r="D3219" t="s">
        <v>121</v>
      </c>
      <c r="E3219">
        <v>11</v>
      </c>
      <c r="F3219">
        <v>1011</v>
      </c>
      <c r="G3219" t="s">
        <v>125</v>
      </c>
      <c r="J3219" t="s">
        <v>123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347"/>
        <v>06:21:17.047</v>
      </c>
      <c r="T3219" t="str">
        <f t="shared" si="1348"/>
        <v>06:21:16.547</v>
      </c>
      <c r="U3219" t="str">
        <f t="shared" si="1340"/>
        <v>A7E2E0</v>
      </c>
      <c r="V3219">
        <v>0</v>
      </c>
      <c r="W3219">
        <v>0</v>
      </c>
      <c r="X3219">
        <v>1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0</v>
      </c>
      <c r="AI3219" t="s">
        <v>1544</v>
      </c>
      <c r="AJ3219">
        <v>38.845424999999999</v>
      </c>
      <c r="AK3219" t="s">
        <v>1545</v>
      </c>
      <c r="AL3219">
        <v>-87.606331999999995</v>
      </c>
      <c r="AM3219">
        <v>100</v>
      </c>
      <c r="AN3219">
        <v>2200</v>
      </c>
      <c r="AO3219" t="s">
        <v>118</v>
      </c>
      <c r="AP3219">
        <v>20</v>
      </c>
      <c r="AQ3219">
        <v>-119</v>
      </c>
      <c r="AR3219">
        <v>-576</v>
      </c>
      <c r="AZ3219">
        <v>4552</v>
      </c>
      <c r="BA3219">
        <v>1</v>
      </c>
      <c r="BB3219" t="str">
        <f t="shared" si="1341"/>
        <v xml:space="preserve">N607SR  </v>
      </c>
      <c r="BC3219">
        <v>1</v>
      </c>
      <c r="BE3219">
        <v>0</v>
      </c>
      <c r="BF3219">
        <v>0</v>
      </c>
      <c r="BG3219">
        <v>0</v>
      </c>
      <c r="BH3219">
        <v>2025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 t="shared" si="1349"/>
        <v>06:21:17.049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5</v>
      </c>
      <c r="CP3219" t="s">
        <v>119</v>
      </c>
      <c r="CQ3219">
        <v>457</v>
      </c>
      <c r="CR3219">
        <v>0</v>
      </c>
      <c r="CW3219">
        <v>15525046</v>
      </c>
      <c r="CY3219">
        <v>1</v>
      </c>
      <c r="CZ3219">
        <v>0</v>
      </c>
      <c r="DA3219">
        <v>1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 t="shared" si="1346"/>
        <v>08/29/2020 06:21:13.804</v>
      </c>
      <c r="C3220" t="str">
        <f t="shared" si="1339"/>
        <v>FFDFD3C0</v>
      </c>
      <c r="D3220" t="s">
        <v>113</v>
      </c>
      <c r="E3220">
        <v>5</v>
      </c>
      <c r="H3220">
        <v>163</v>
      </c>
      <c r="I3220" t="s">
        <v>114</v>
      </c>
      <c r="J3220" t="s">
        <v>115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347"/>
        <v>06:21:17.047</v>
      </c>
      <c r="T3220" t="str">
        <f t="shared" si="1348"/>
        <v>06:21:16.547</v>
      </c>
      <c r="U3220" t="str">
        <f t="shared" si="1340"/>
        <v>A7E2E0</v>
      </c>
      <c r="V3220">
        <v>0</v>
      </c>
      <c r="W3220">
        <v>0</v>
      </c>
      <c r="X3220">
        <v>1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0</v>
      </c>
      <c r="AI3220" t="s">
        <v>1544</v>
      </c>
      <c r="AJ3220">
        <v>38.845424999999999</v>
      </c>
      <c r="AK3220" t="s">
        <v>1545</v>
      </c>
      <c r="AL3220">
        <v>-87.606331999999995</v>
      </c>
      <c r="AM3220">
        <v>100</v>
      </c>
      <c r="AN3220">
        <v>2200</v>
      </c>
      <c r="AO3220" t="s">
        <v>118</v>
      </c>
      <c r="AP3220">
        <v>20</v>
      </c>
      <c r="AQ3220">
        <v>-119</v>
      </c>
      <c r="AR3220">
        <v>-576</v>
      </c>
      <c r="AZ3220">
        <v>4552</v>
      </c>
      <c r="BA3220">
        <v>1</v>
      </c>
      <c r="BB3220" t="str">
        <f t="shared" si="1341"/>
        <v xml:space="preserve">N607SR  </v>
      </c>
      <c r="BC3220">
        <v>1</v>
      </c>
      <c r="BE3220">
        <v>0</v>
      </c>
      <c r="BF3220">
        <v>0</v>
      </c>
      <c r="BG3220">
        <v>0</v>
      </c>
      <c r="BH3220">
        <v>2025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 t="shared" si="1349"/>
        <v>06:21:17.049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6</v>
      </c>
      <c r="CP3220" t="s">
        <v>119</v>
      </c>
      <c r="CQ3220">
        <v>465</v>
      </c>
      <c r="CR3220">
        <v>0</v>
      </c>
      <c r="CW3220">
        <v>4729878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 t="shared" si="1346"/>
        <v>08/29/2020 06:21:13.804</v>
      </c>
      <c r="C3221" t="str">
        <f t="shared" si="1339"/>
        <v>FFDFD3C0</v>
      </c>
      <c r="D3221" t="s">
        <v>121</v>
      </c>
      <c r="E3221">
        <v>10</v>
      </c>
      <c r="F3221">
        <v>1010</v>
      </c>
      <c r="G3221" t="s">
        <v>114</v>
      </c>
      <c r="J3221" t="s">
        <v>123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si="1347"/>
        <v>06:21:17.047</v>
      </c>
      <c r="T3221" t="str">
        <f t="shared" si="1348"/>
        <v>06:21:16.547</v>
      </c>
      <c r="U3221" t="str">
        <f t="shared" si="1340"/>
        <v>A7E2E0</v>
      </c>
      <c r="V3221">
        <v>0</v>
      </c>
      <c r="W3221">
        <v>0</v>
      </c>
      <c r="X3221">
        <v>1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0</v>
      </c>
      <c r="AI3221" t="s">
        <v>1544</v>
      </c>
      <c r="AJ3221">
        <v>38.845424999999999</v>
      </c>
      <c r="AK3221" t="s">
        <v>1545</v>
      </c>
      <c r="AL3221">
        <v>-87.606331999999995</v>
      </c>
      <c r="AM3221">
        <v>100</v>
      </c>
      <c r="AN3221">
        <v>2200</v>
      </c>
      <c r="AO3221" t="s">
        <v>118</v>
      </c>
      <c r="AP3221">
        <v>20</v>
      </c>
      <c r="AQ3221">
        <v>-119</v>
      </c>
      <c r="AR3221">
        <v>-576</v>
      </c>
      <c r="AZ3221">
        <v>4552</v>
      </c>
      <c r="BA3221">
        <v>1</v>
      </c>
      <c r="BB3221" t="str">
        <f t="shared" si="1341"/>
        <v xml:space="preserve">N607SR  </v>
      </c>
      <c r="BC3221">
        <v>1</v>
      </c>
      <c r="BE3221">
        <v>0</v>
      </c>
      <c r="BF3221">
        <v>0</v>
      </c>
      <c r="BG3221">
        <v>0</v>
      </c>
      <c r="BH3221">
        <v>2025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 t="shared" si="1349"/>
        <v>06:21:17.049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6</v>
      </c>
      <c r="CP3221" t="s">
        <v>119</v>
      </c>
      <c r="CQ3221">
        <v>465</v>
      </c>
      <c r="CR3221">
        <v>0</v>
      </c>
      <c r="CW3221">
        <v>4729878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 t="shared" si="1346"/>
        <v>08/29/2020 06:21:13.804</v>
      </c>
      <c r="C3222" t="str">
        <f t="shared" si="1339"/>
        <v>FFDFD3C0</v>
      </c>
      <c r="D3222" t="s">
        <v>128</v>
      </c>
      <c r="E3222">
        <v>5</v>
      </c>
      <c r="H3222">
        <v>241</v>
      </c>
      <c r="I3222" t="s">
        <v>129</v>
      </c>
      <c r="J3222" t="s">
        <v>130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si="1347"/>
        <v>06:21:17.047</v>
      </c>
      <c r="T3222" t="str">
        <f t="shared" si="1348"/>
        <v>06:21:16.547</v>
      </c>
      <c r="U3222" t="str">
        <f t="shared" si="1340"/>
        <v>A7E2E0</v>
      </c>
      <c r="V3222">
        <v>0</v>
      </c>
      <c r="W3222">
        <v>0</v>
      </c>
      <c r="X3222">
        <v>1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0</v>
      </c>
      <c r="AI3222" t="s">
        <v>1544</v>
      </c>
      <c r="AJ3222">
        <v>38.845424999999999</v>
      </c>
      <c r="AK3222" t="s">
        <v>1545</v>
      </c>
      <c r="AL3222">
        <v>-87.606331999999995</v>
      </c>
      <c r="AM3222">
        <v>100</v>
      </c>
      <c r="AN3222">
        <v>2200</v>
      </c>
      <c r="AO3222" t="s">
        <v>118</v>
      </c>
      <c r="AP3222">
        <v>20</v>
      </c>
      <c r="AQ3222">
        <v>-119</v>
      </c>
      <c r="AR3222">
        <v>-576</v>
      </c>
      <c r="AZ3222">
        <v>4552</v>
      </c>
      <c r="BA3222">
        <v>1</v>
      </c>
      <c r="BB3222" t="str">
        <f t="shared" si="1341"/>
        <v xml:space="preserve">N607SR  </v>
      </c>
      <c r="BC3222">
        <v>1</v>
      </c>
      <c r="BE3222">
        <v>0</v>
      </c>
      <c r="BF3222">
        <v>0</v>
      </c>
      <c r="BG3222">
        <v>0</v>
      </c>
      <c r="BH3222">
        <v>2025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 t="shared" si="1349"/>
        <v>06:21:17.049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6</v>
      </c>
      <c r="CP3222" t="s">
        <v>119</v>
      </c>
      <c r="CQ3222">
        <v>465</v>
      </c>
      <c r="CR3222">
        <v>0</v>
      </c>
      <c r="CW3222">
        <v>4729878</v>
      </c>
      <c r="CY3222">
        <v>1</v>
      </c>
      <c r="CZ3222">
        <v>0</v>
      </c>
      <c r="DA3222">
        <v>1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 t="shared" si="1346"/>
        <v>08/29/2020 06:21:13.804</v>
      </c>
      <c r="C3223" t="str">
        <f t="shared" si="1339"/>
        <v>FFDFD3C0</v>
      </c>
      <c r="D3223" t="s">
        <v>121</v>
      </c>
      <c r="E3223">
        <v>13</v>
      </c>
      <c r="F3223">
        <v>1013</v>
      </c>
      <c r="G3223" t="s">
        <v>122</v>
      </c>
      <c r="J3223" t="s">
        <v>123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si="1347"/>
        <v>06:21:17.047</v>
      </c>
      <c r="T3223" t="str">
        <f t="shared" si="1348"/>
        <v>06:21:16.547</v>
      </c>
      <c r="U3223" t="str">
        <f t="shared" si="1340"/>
        <v>A7E2E0</v>
      </c>
      <c r="V3223">
        <v>0</v>
      </c>
      <c r="W3223">
        <v>0</v>
      </c>
      <c r="X3223">
        <v>1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0</v>
      </c>
      <c r="AI3223" t="s">
        <v>1544</v>
      </c>
      <c r="AJ3223">
        <v>38.845424999999999</v>
      </c>
      <c r="AK3223" t="s">
        <v>1545</v>
      </c>
      <c r="AL3223">
        <v>-87.606331999999995</v>
      </c>
      <c r="AM3223">
        <v>100</v>
      </c>
      <c r="AN3223">
        <v>2200</v>
      </c>
      <c r="AO3223" t="s">
        <v>118</v>
      </c>
      <c r="AP3223">
        <v>20</v>
      </c>
      <c r="AQ3223">
        <v>-119</v>
      </c>
      <c r="AR3223">
        <v>-576</v>
      </c>
      <c r="AZ3223">
        <v>4552</v>
      </c>
      <c r="BA3223">
        <v>1</v>
      </c>
      <c r="BB3223" t="str">
        <f t="shared" si="1341"/>
        <v xml:space="preserve">N607SR  </v>
      </c>
      <c r="BC3223">
        <v>1</v>
      </c>
      <c r="BE3223">
        <v>0</v>
      </c>
      <c r="BF3223">
        <v>0</v>
      </c>
      <c r="BG3223">
        <v>0</v>
      </c>
      <c r="BH3223">
        <v>2025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 t="shared" si="1349"/>
        <v>06:21:17.049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6</v>
      </c>
      <c r="CP3223" t="s">
        <v>119</v>
      </c>
      <c r="CQ3223">
        <v>465</v>
      </c>
      <c r="CR3223">
        <v>0</v>
      </c>
      <c r="CW3223">
        <v>4729878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 t="shared" ref="A3224:A3229" si="1350">"08/29/2020 06:21:14.759"</f>
        <v>08/29/2020 06:21:14.759</v>
      </c>
      <c r="C3224" t="str">
        <f t="shared" si="1339"/>
        <v>FFDFD3C0</v>
      </c>
      <c r="D3224" t="s">
        <v>939</v>
      </c>
      <c r="E3224">
        <v>10</v>
      </c>
      <c r="H3224">
        <v>79</v>
      </c>
      <c r="I3224" t="s">
        <v>940</v>
      </c>
      <c r="J3224" t="s">
        <v>130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ref="S3224:S3229" si="1351">"06:21:18.000"</f>
        <v>06:21:18.000</v>
      </c>
      <c r="T3224" t="str">
        <f t="shared" ref="T3224:T3229" si="1352">"06:21:17.500"</f>
        <v>06:21:17.500</v>
      </c>
      <c r="U3224" t="str">
        <f t="shared" si="1340"/>
        <v>A7E2E0</v>
      </c>
      <c r="V3224">
        <v>0</v>
      </c>
      <c r="W3224">
        <v>0</v>
      </c>
      <c r="X3224">
        <v>1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0</v>
      </c>
      <c r="AI3224" t="s">
        <v>1546</v>
      </c>
      <c r="AJ3224">
        <v>38.844909999999999</v>
      </c>
      <c r="AK3224" t="s">
        <v>1547</v>
      </c>
      <c r="AL3224">
        <v>-87.606224999999995</v>
      </c>
      <c r="AM3224">
        <v>100</v>
      </c>
      <c r="AN3224">
        <v>2200</v>
      </c>
      <c r="AO3224" t="s">
        <v>118</v>
      </c>
      <c r="AP3224">
        <v>20</v>
      </c>
      <c r="AQ3224">
        <v>-119</v>
      </c>
      <c r="AR3224">
        <v>-576</v>
      </c>
      <c r="AZ3224">
        <v>4552</v>
      </c>
      <c r="BA3224">
        <v>1</v>
      </c>
      <c r="BB3224" t="str">
        <f t="shared" si="1341"/>
        <v xml:space="preserve">N607SR  </v>
      </c>
      <c r="BC3224">
        <v>1</v>
      </c>
      <c r="BE3224">
        <v>0</v>
      </c>
      <c r="BF3224">
        <v>0</v>
      </c>
      <c r="BG3224">
        <v>0</v>
      </c>
      <c r="BH3224">
        <v>2025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>"06:21:18.006"</f>
        <v>06:21:18.006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465</v>
      </c>
      <c r="CR3224">
        <v>0</v>
      </c>
      <c r="CW3224">
        <v>4729905</v>
      </c>
      <c r="CY3224">
        <v>1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 t="shared" si="1350"/>
        <v>08/29/2020 06:21:14.759</v>
      </c>
      <c r="C3225" t="str">
        <f t="shared" si="1339"/>
        <v>FFDFD3C0</v>
      </c>
      <c r="D3225" t="s">
        <v>121</v>
      </c>
      <c r="E3225">
        <v>10</v>
      </c>
      <c r="F3225">
        <v>1010</v>
      </c>
      <c r="G3225" t="s">
        <v>114</v>
      </c>
      <c r="J3225" t="s">
        <v>123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351"/>
        <v>06:21:18.000</v>
      </c>
      <c r="T3225" t="str">
        <f t="shared" si="1352"/>
        <v>06:21:17.500</v>
      </c>
      <c r="U3225" t="str">
        <f t="shared" si="1340"/>
        <v>A7E2E0</v>
      </c>
      <c r="V3225">
        <v>0</v>
      </c>
      <c r="W3225">
        <v>0</v>
      </c>
      <c r="X3225">
        <v>1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0</v>
      </c>
      <c r="AI3225" t="s">
        <v>1546</v>
      </c>
      <c r="AJ3225">
        <v>38.844909999999999</v>
      </c>
      <c r="AK3225" t="s">
        <v>1547</v>
      </c>
      <c r="AL3225">
        <v>-87.606224999999995</v>
      </c>
      <c r="AM3225">
        <v>100</v>
      </c>
      <c r="AN3225">
        <v>2200</v>
      </c>
      <c r="AO3225" t="s">
        <v>118</v>
      </c>
      <c r="AP3225">
        <v>20</v>
      </c>
      <c r="AQ3225">
        <v>-119</v>
      </c>
      <c r="AR3225">
        <v>-576</v>
      </c>
      <c r="AZ3225">
        <v>4552</v>
      </c>
      <c r="BA3225">
        <v>1</v>
      </c>
      <c r="BB3225" t="str">
        <f t="shared" si="1341"/>
        <v xml:space="preserve">N607SR  </v>
      </c>
      <c r="BC3225">
        <v>1</v>
      </c>
      <c r="BE3225">
        <v>0</v>
      </c>
      <c r="BF3225">
        <v>0</v>
      </c>
      <c r="BG3225">
        <v>0</v>
      </c>
      <c r="BH3225">
        <v>2025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>"06:21:18.006"</f>
        <v>06:21:18.006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465</v>
      </c>
      <c r="CR3225">
        <v>0</v>
      </c>
      <c r="CW3225">
        <v>4729905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 t="shared" si="1350"/>
        <v>08/29/2020 06:21:14.759</v>
      </c>
      <c r="C3226" t="str">
        <f t="shared" si="1339"/>
        <v>FFDFD3C0</v>
      </c>
      <c r="D3226" t="s">
        <v>121</v>
      </c>
      <c r="E3226">
        <v>11</v>
      </c>
      <c r="F3226">
        <v>1011</v>
      </c>
      <c r="G3226" t="s">
        <v>125</v>
      </c>
      <c r="J3226" t="s">
        <v>123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351"/>
        <v>06:21:18.000</v>
      </c>
      <c r="T3226" t="str">
        <f t="shared" si="1352"/>
        <v>06:21:17.500</v>
      </c>
      <c r="U3226" t="str">
        <f t="shared" si="1340"/>
        <v>A7E2E0</v>
      </c>
      <c r="V3226">
        <v>0</v>
      </c>
      <c r="W3226">
        <v>0</v>
      </c>
      <c r="X3226">
        <v>1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0</v>
      </c>
      <c r="AI3226" t="s">
        <v>1546</v>
      </c>
      <c r="AJ3226">
        <v>38.844909999999999</v>
      </c>
      <c r="AK3226" t="s">
        <v>1547</v>
      </c>
      <c r="AL3226">
        <v>-87.606224999999995</v>
      </c>
      <c r="AM3226">
        <v>100</v>
      </c>
      <c r="AN3226">
        <v>2200</v>
      </c>
      <c r="AO3226" t="s">
        <v>118</v>
      </c>
      <c r="AP3226">
        <v>20</v>
      </c>
      <c r="AQ3226">
        <v>-119</v>
      </c>
      <c r="AR3226">
        <v>-576</v>
      </c>
      <c r="AZ3226">
        <v>4552</v>
      </c>
      <c r="BA3226">
        <v>1</v>
      </c>
      <c r="BB3226" t="str">
        <f t="shared" si="1341"/>
        <v xml:space="preserve">N607SR  </v>
      </c>
      <c r="BC3226">
        <v>1</v>
      </c>
      <c r="BE3226">
        <v>0</v>
      </c>
      <c r="BF3226">
        <v>0</v>
      </c>
      <c r="BG3226">
        <v>0</v>
      </c>
      <c r="BH3226">
        <v>2025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>"06:21:18.005"</f>
        <v>06:21:18.005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5</v>
      </c>
      <c r="CP3226" t="s">
        <v>119</v>
      </c>
      <c r="CQ3226">
        <v>457</v>
      </c>
      <c r="CR3226">
        <v>0</v>
      </c>
      <c r="CW3226">
        <v>15525078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 t="shared" si="1350"/>
        <v>08/29/2020 06:21:14.759</v>
      </c>
      <c r="C3227" t="str">
        <f t="shared" si="1339"/>
        <v>FFDFD3C0</v>
      </c>
      <c r="D3227" t="s">
        <v>113</v>
      </c>
      <c r="E3227">
        <v>5</v>
      </c>
      <c r="H3227">
        <v>163</v>
      </c>
      <c r="I3227" t="s">
        <v>114</v>
      </c>
      <c r="J3227" t="s">
        <v>115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351"/>
        <v>06:21:18.000</v>
      </c>
      <c r="T3227" t="str">
        <f t="shared" si="1352"/>
        <v>06:21:17.500</v>
      </c>
      <c r="U3227" t="str">
        <f t="shared" si="1340"/>
        <v>A7E2E0</v>
      </c>
      <c r="V3227">
        <v>0</v>
      </c>
      <c r="W3227">
        <v>0</v>
      </c>
      <c r="X3227">
        <v>1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0</v>
      </c>
      <c r="AI3227" t="s">
        <v>1546</v>
      </c>
      <c r="AJ3227">
        <v>38.844909999999999</v>
      </c>
      <c r="AK3227" t="s">
        <v>1547</v>
      </c>
      <c r="AL3227">
        <v>-87.606224999999995</v>
      </c>
      <c r="AM3227">
        <v>100</v>
      </c>
      <c r="AN3227">
        <v>2200</v>
      </c>
      <c r="AO3227" t="s">
        <v>118</v>
      </c>
      <c r="AP3227">
        <v>20</v>
      </c>
      <c r="AQ3227">
        <v>-119</v>
      </c>
      <c r="AR3227">
        <v>-576</v>
      </c>
      <c r="AZ3227">
        <v>4552</v>
      </c>
      <c r="BA3227">
        <v>1</v>
      </c>
      <c r="BB3227" t="str">
        <f t="shared" si="1341"/>
        <v xml:space="preserve">N607SR  </v>
      </c>
      <c r="BC3227">
        <v>1</v>
      </c>
      <c r="BE3227">
        <v>0</v>
      </c>
      <c r="BF3227">
        <v>0</v>
      </c>
      <c r="BG3227">
        <v>0</v>
      </c>
      <c r="BH3227">
        <v>2025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>"06:21:18.006"</f>
        <v>06:21:18.006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465</v>
      </c>
      <c r="CR3227">
        <v>0</v>
      </c>
      <c r="CW3227">
        <v>4729905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 t="shared" si="1350"/>
        <v>08/29/2020 06:21:14.759</v>
      </c>
      <c r="C3228" t="str">
        <f t="shared" si="1339"/>
        <v>FFDFD3C0</v>
      </c>
      <c r="D3228" t="s">
        <v>128</v>
      </c>
      <c r="E3228">
        <v>5</v>
      </c>
      <c r="H3228">
        <v>241</v>
      </c>
      <c r="I3228" t="s">
        <v>129</v>
      </c>
      <c r="J3228" t="s">
        <v>130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351"/>
        <v>06:21:18.000</v>
      </c>
      <c r="T3228" t="str">
        <f t="shared" si="1352"/>
        <v>06:21:17.500</v>
      </c>
      <c r="U3228" t="str">
        <f t="shared" si="1340"/>
        <v>A7E2E0</v>
      </c>
      <c r="V3228">
        <v>0</v>
      </c>
      <c r="W3228">
        <v>0</v>
      </c>
      <c r="X3228">
        <v>1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0</v>
      </c>
      <c r="AI3228" t="s">
        <v>1546</v>
      </c>
      <c r="AJ3228">
        <v>38.844909999999999</v>
      </c>
      <c r="AK3228" t="s">
        <v>1547</v>
      </c>
      <c r="AL3228">
        <v>-87.606224999999995</v>
      </c>
      <c r="AM3228">
        <v>100</v>
      </c>
      <c r="AN3228">
        <v>2200</v>
      </c>
      <c r="AO3228" t="s">
        <v>118</v>
      </c>
      <c r="AP3228">
        <v>20</v>
      </c>
      <c r="AQ3228">
        <v>-119</v>
      </c>
      <c r="AR3228">
        <v>-576</v>
      </c>
      <c r="AZ3228">
        <v>4552</v>
      </c>
      <c r="BA3228">
        <v>1</v>
      </c>
      <c r="BB3228" t="str">
        <f t="shared" si="1341"/>
        <v xml:space="preserve">N607SR  </v>
      </c>
      <c r="BC3228">
        <v>1</v>
      </c>
      <c r="BE3228">
        <v>0</v>
      </c>
      <c r="BF3228">
        <v>0</v>
      </c>
      <c r="BG3228">
        <v>0</v>
      </c>
      <c r="BH3228">
        <v>2025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>"06:21:18.006"</f>
        <v>06:21:18.006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465</v>
      </c>
      <c r="CR3228">
        <v>0</v>
      </c>
      <c r="CW3228">
        <v>4729905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 t="shared" si="1350"/>
        <v>08/29/2020 06:21:14.759</v>
      </c>
      <c r="C3229" t="str">
        <f t="shared" si="1339"/>
        <v>FFDFD3C0</v>
      </c>
      <c r="D3229" t="s">
        <v>121</v>
      </c>
      <c r="E3229">
        <v>13</v>
      </c>
      <c r="F3229">
        <v>1013</v>
      </c>
      <c r="G3229" t="s">
        <v>122</v>
      </c>
      <c r="J3229" t="s">
        <v>123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si="1351"/>
        <v>06:21:18.000</v>
      </c>
      <c r="T3229" t="str">
        <f t="shared" si="1352"/>
        <v>06:21:17.500</v>
      </c>
      <c r="U3229" t="str">
        <f t="shared" si="1340"/>
        <v>A7E2E0</v>
      </c>
      <c r="V3229">
        <v>0</v>
      </c>
      <c r="W3229">
        <v>0</v>
      </c>
      <c r="X3229">
        <v>1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0</v>
      </c>
      <c r="AI3229" t="s">
        <v>1546</v>
      </c>
      <c r="AJ3229">
        <v>38.844909999999999</v>
      </c>
      <c r="AK3229" t="s">
        <v>1547</v>
      </c>
      <c r="AL3229">
        <v>-87.606224999999995</v>
      </c>
      <c r="AM3229">
        <v>100</v>
      </c>
      <c r="AN3229">
        <v>2200</v>
      </c>
      <c r="AO3229" t="s">
        <v>118</v>
      </c>
      <c r="AP3229">
        <v>20</v>
      </c>
      <c r="AQ3229">
        <v>-119</v>
      </c>
      <c r="AR3229">
        <v>-576</v>
      </c>
      <c r="AZ3229">
        <v>4552</v>
      </c>
      <c r="BA3229">
        <v>1</v>
      </c>
      <c r="BB3229" t="str">
        <f t="shared" si="1341"/>
        <v xml:space="preserve">N607SR  </v>
      </c>
      <c r="BC3229">
        <v>1</v>
      </c>
      <c r="BE3229">
        <v>0</v>
      </c>
      <c r="BF3229">
        <v>0</v>
      </c>
      <c r="BG3229">
        <v>0</v>
      </c>
      <c r="BH3229">
        <v>2025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>"06:21:18.006"</f>
        <v>06:21:18.006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465</v>
      </c>
      <c r="CR3229">
        <v>0</v>
      </c>
      <c r="CW3229">
        <v>4729905</v>
      </c>
      <c r="CY3229">
        <v>1</v>
      </c>
      <c r="CZ3229">
        <v>0</v>
      </c>
      <c r="DA3229">
        <v>1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 t="shared" ref="A3230:A3235" si="1353">"08/29/2020 06:21:15.680"</f>
        <v>08/29/2020 06:21:15.680</v>
      </c>
      <c r="C3230" t="str">
        <f t="shared" si="1339"/>
        <v>FFDFD3C0</v>
      </c>
      <c r="D3230" t="s">
        <v>121</v>
      </c>
      <c r="E3230">
        <v>10</v>
      </c>
      <c r="F3230">
        <v>1010</v>
      </c>
      <c r="G3230" t="s">
        <v>114</v>
      </c>
      <c r="J3230" t="s">
        <v>123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ref="S3230:S3235" si="1354">"06:21:18.922"</f>
        <v>06:21:18.922</v>
      </c>
      <c r="T3230" t="str">
        <f t="shared" ref="T3230:T3235" si="1355">"06:21:18.422"</f>
        <v>06:21:18.422</v>
      </c>
      <c r="U3230" t="str">
        <f t="shared" si="1340"/>
        <v>A7E2E0</v>
      </c>
      <c r="V3230">
        <v>0</v>
      </c>
      <c r="W3230">
        <v>0</v>
      </c>
      <c r="X3230">
        <v>1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0</v>
      </c>
      <c r="AI3230" t="s">
        <v>1548</v>
      </c>
      <c r="AJ3230">
        <v>38.844352000000001</v>
      </c>
      <c r="AK3230" t="s">
        <v>1549</v>
      </c>
      <c r="AL3230">
        <v>-87.606117999999995</v>
      </c>
      <c r="AM3230">
        <v>100</v>
      </c>
      <c r="AN3230">
        <v>2200</v>
      </c>
      <c r="AO3230" t="s">
        <v>118</v>
      </c>
      <c r="AP3230">
        <v>21</v>
      </c>
      <c r="AQ3230">
        <v>-120</v>
      </c>
      <c r="AR3230">
        <v>-640</v>
      </c>
      <c r="AZ3230">
        <v>4552</v>
      </c>
      <c r="BA3230">
        <v>1</v>
      </c>
      <c r="BB3230" t="str">
        <f t="shared" si="1341"/>
        <v xml:space="preserve">N607SR  </v>
      </c>
      <c r="BC3230">
        <v>1</v>
      </c>
      <c r="BE3230">
        <v>0</v>
      </c>
      <c r="BF3230">
        <v>0</v>
      </c>
      <c r="BG3230">
        <v>0</v>
      </c>
      <c r="BH3230">
        <v>2025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 t="shared" ref="BW3230:BW3235" si="1356">"06:21:18.928"</f>
        <v>06:21:18.928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465</v>
      </c>
      <c r="CR3230">
        <v>0</v>
      </c>
      <c r="CW3230">
        <v>4729928</v>
      </c>
      <c r="CY3230">
        <v>1</v>
      </c>
      <c r="CZ3230">
        <v>0</v>
      </c>
      <c r="DA3230">
        <v>0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 t="shared" si="1353"/>
        <v>08/29/2020 06:21:15.680</v>
      </c>
      <c r="C3231" t="str">
        <f t="shared" si="1339"/>
        <v>FFDFD3C0</v>
      </c>
      <c r="D3231" t="s">
        <v>113</v>
      </c>
      <c r="E3231">
        <v>5</v>
      </c>
      <c r="H3231">
        <v>163</v>
      </c>
      <c r="I3231" t="s">
        <v>114</v>
      </c>
      <c r="J3231" t="s">
        <v>115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354"/>
        <v>06:21:18.922</v>
      </c>
      <c r="T3231" t="str">
        <f t="shared" si="1355"/>
        <v>06:21:18.422</v>
      </c>
      <c r="U3231" t="str">
        <f t="shared" si="1340"/>
        <v>A7E2E0</v>
      </c>
      <c r="V3231">
        <v>0</v>
      </c>
      <c r="W3231">
        <v>0</v>
      </c>
      <c r="X3231">
        <v>1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0</v>
      </c>
      <c r="AI3231" t="s">
        <v>1548</v>
      </c>
      <c r="AJ3231">
        <v>38.844352000000001</v>
      </c>
      <c r="AK3231" t="s">
        <v>1549</v>
      </c>
      <c r="AL3231">
        <v>-87.606117999999995</v>
      </c>
      <c r="AM3231">
        <v>100</v>
      </c>
      <c r="AN3231">
        <v>2200</v>
      </c>
      <c r="AO3231" t="s">
        <v>118</v>
      </c>
      <c r="AP3231">
        <v>21</v>
      </c>
      <c r="AQ3231">
        <v>-120</v>
      </c>
      <c r="AR3231">
        <v>-640</v>
      </c>
      <c r="AZ3231">
        <v>4552</v>
      </c>
      <c r="BA3231">
        <v>1</v>
      </c>
      <c r="BB3231" t="str">
        <f t="shared" si="1341"/>
        <v xml:space="preserve">N607SR  </v>
      </c>
      <c r="BC3231">
        <v>1</v>
      </c>
      <c r="BE3231">
        <v>0</v>
      </c>
      <c r="BF3231">
        <v>0</v>
      </c>
      <c r="BG3231">
        <v>0</v>
      </c>
      <c r="BH3231">
        <v>2025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 t="shared" si="1356"/>
        <v>06:21:18.928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465</v>
      </c>
      <c r="CR3231">
        <v>0</v>
      </c>
      <c r="CW3231">
        <v>4729928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 t="shared" si="1353"/>
        <v>08/29/2020 06:21:15.680</v>
      </c>
      <c r="C3232" t="str">
        <f t="shared" si="1339"/>
        <v>FFDFD3C0</v>
      </c>
      <c r="D3232" t="s">
        <v>121</v>
      </c>
      <c r="E3232">
        <v>11</v>
      </c>
      <c r="F3232">
        <v>1011</v>
      </c>
      <c r="G3232" t="s">
        <v>125</v>
      </c>
      <c r="J3232" t="s">
        <v>123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354"/>
        <v>06:21:18.922</v>
      </c>
      <c r="T3232" t="str">
        <f t="shared" si="1355"/>
        <v>06:21:18.422</v>
      </c>
      <c r="U3232" t="str">
        <f t="shared" si="1340"/>
        <v>A7E2E0</v>
      </c>
      <c r="V3232">
        <v>0</v>
      </c>
      <c r="W3232">
        <v>0</v>
      </c>
      <c r="X3232">
        <v>1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0</v>
      </c>
      <c r="AI3232" t="s">
        <v>1548</v>
      </c>
      <c r="AJ3232">
        <v>38.844352000000001</v>
      </c>
      <c r="AK3232" t="s">
        <v>1549</v>
      </c>
      <c r="AL3232">
        <v>-87.606117999999995</v>
      </c>
      <c r="AM3232">
        <v>100</v>
      </c>
      <c r="AN3232">
        <v>2200</v>
      </c>
      <c r="AO3232" t="s">
        <v>118</v>
      </c>
      <c r="AP3232">
        <v>21</v>
      </c>
      <c r="AQ3232">
        <v>-120</v>
      </c>
      <c r="AR3232">
        <v>-640</v>
      </c>
      <c r="AZ3232">
        <v>4552</v>
      </c>
      <c r="BA3232">
        <v>1</v>
      </c>
      <c r="BB3232" t="str">
        <f t="shared" si="1341"/>
        <v xml:space="preserve">N607SR  </v>
      </c>
      <c r="BC3232">
        <v>1</v>
      </c>
      <c r="BE3232">
        <v>0</v>
      </c>
      <c r="BF3232">
        <v>0</v>
      </c>
      <c r="BG3232">
        <v>0</v>
      </c>
      <c r="BH3232">
        <v>2025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 t="shared" si="1356"/>
        <v>06:21:18.928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5</v>
      </c>
      <c r="CP3232" t="s">
        <v>119</v>
      </c>
      <c r="CQ3232">
        <v>457</v>
      </c>
      <c r="CR3232">
        <v>0</v>
      </c>
      <c r="CW3232">
        <v>15525108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 t="shared" si="1353"/>
        <v>08/29/2020 06:21:15.680</v>
      </c>
      <c r="C3233" t="str">
        <f t="shared" si="1339"/>
        <v>FFDFD3C0</v>
      </c>
      <c r="D3233" t="s">
        <v>128</v>
      </c>
      <c r="E3233">
        <v>5</v>
      </c>
      <c r="H3233">
        <v>241</v>
      </c>
      <c r="I3233" t="s">
        <v>129</v>
      </c>
      <c r="J3233" t="s">
        <v>130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354"/>
        <v>06:21:18.922</v>
      </c>
      <c r="T3233" t="str">
        <f t="shared" si="1355"/>
        <v>06:21:18.422</v>
      </c>
      <c r="U3233" t="str">
        <f t="shared" si="1340"/>
        <v>A7E2E0</v>
      </c>
      <c r="V3233">
        <v>0</v>
      </c>
      <c r="W3233">
        <v>0</v>
      </c>
      <c r="X3233">
        <v>1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0</v>
      </c>
      <c r="AI3233" t="s">
        <v>1548</v>
      </c>
      <c r="AJ3233">
        <v>38.844352000000001</v>
      </c>
      <c r="AK3233" t="s">
        <v>1549</v>
      </c>
      <c r="AL3233">
        <v>-87.606117999999995</v>
      </c>
      <c r="AM3233">
        <v>100</v>
      </c>
      <c r="AN3233">
        <v>2200</v>
      </c>
      <c r="AO3233" t="s">
        <v>118</v>
      </c>
      <c r="AP3233">
        <v>21</v>
      </c>
      <c r="AQ3233">
        <v>-120</v>
      </c>
      <c r="AR3233">
        <v>-640</v>
      </c>
      <c r="AZ3233">
        <v>4552</v>
      </c>
      <c r="BA3233">
        <v>1</v>
      </c>
      <c r="BB3233" t="str">
        <f t="shared" si="1341"/>
        <v xml:space="preserve">N607SR  </v>
      </c>
      <c r="BC3233">
        <v>1</v>
      </c>
      <c r="BE3233">
        <v>0</v>
      </c>
      <c r="BF3233">
        <v>0</v>
      </c>
      <c r="BG3233">
        <v>0</v>
      </c>
      <c r="BH3233">
        <v>2025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 t="shared" si="1356"/>
        <v>06:21:18.928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465</v>
      </c>
      <c r="CR3233">
        <v>0</v>
      </c>
      <c r="CW3233">
        <v>4729928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 t="shared" si="1353"/>
        <v>08/29/2020 06:21:15.680</v>
      </c>
      <c r="C3234" t="str">
        <f t="shared" si="1339"/>
        <v>FFDFD3C0</v>
      </c>
      <c r="D3234" t="s">
        <v>121</v>
      </c>
      <c r="E3234">
        <v>13</v>
      </c>
      <c r="F3234">
        <v>1013</v>
      </c>
      <c r="G3234" t="s">
        <v>122</v>
      </c>
      <c r="J3234" t="s">
        <v>123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354"/>
        <v>06:21:18.922</v>
      </c>
      <c r="T3234" t="str">
        <f t="shared" si="1355"/>
        <v>06:21:18.422</v>
      </c>
      <c r="U3234" t="str">
        <f t="shared" si="1340"/>
        <v>A7E2E0</v>
      </c>
      <c r="V3234">
        <v>0</v>
      </c>
      <c r="W3234">
        <v>0</v>
      </c>
      <c r="X3234">
        <v>1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0</v>
      </c>
      <c r="AI3234" t="s">
        <v>1548</v>
      </c>
      <c r="AJ3234">
        <v>38.844352000000001</v>
      </c>
      <c r="AK3234" t="s">
        <v>1549</v>
      </c>
      <c r="AL3234">
        <v>-87.606117999999995</v>
      </c>
      <c r="AM3234">
        <v>100</v>
      </c>
      <c r="AN3234">
        <v>2200</v>
      </c>
      <c r="AO3234" t="s">
        <v>118</v>
      </c>
      <c r="AP3234">
        <v>21</v>
      </c>
      <c r="AQ3234">
        <v>-120</v>
      </c>
      <c r="AR3234">
        <v>-640</v>
      </c>
      <c r="AZ3234">
        <v>4552</v>
      </c>
      <c r="BA3234">
        <v>1</v>
      </c>
      <c r="BB3234" t="str">
        <f t="shared" si="1341"/>
        <v xml:space="preserve">N607SR  </v>
      </c>
      <c r="BC3234">
        <v>1</v>
      </c>
      <c r="BE3234">
        <v>0</v>
      </c>
      <c r="BF3234">
        <v>0</v>
      </c>
      <c r="BG3234">
        <v>0</v>
      </c>
      <c r="BH3234">
        <v>2025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 t="shared" si="1356"/>
        <v>06:21:18.928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465</v>
      </c>
      <c r="CR3234">
        <v>0</v>
      </c>
      <c r="CW3234">
        <v>4729928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 t="shared" si="1353"/>
        <v>08/29/2020 06:21:15.680</v>
      </c>
      <c r="C3235" t="str">
        <f t="shared" si="1339"/>
        <v>FFDFD3C0</v>
      </c>
      <c r="D3235" t="s">
        <v>939</v>
      </c>
      <c r="E3235">
        <v>10</v>
      </c>
      <c r="H3235">
        <v>79</v>
      </c>
      <c r="I3235" t="s">
        <v>940</v>
      </c>
      <c r="J3235" t="s">
        <v>130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1354"/>
        <v>06:21:18.922</v>
      </c>
      <c r="T3235" t="str">
        <f t="shared" si="1355"/>
        <v>06:21:18.422</v>
      </c>
      <c r="U3235" t="str">
        <f t="shared" si="1340"/>
        <v>A7E2E0</v>
      </c>
      <c r="V3235">
        <v>0</v>
      </c>
      <c r="W3235">
        <v>0</v>
      </c>
      <c r="X3235">
        <v>1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0</v>
      </c>
      <c r="AI3235" t="s">
        <v>1548</v>
      </c>
      <c r="AJ3235">
        <v>38.844352000000001</v>
      </c>
      <c r="AK3235" t="s">
        <v>1549</v>
      </c>
      <c r="AL3235">
        <v>-87.606117999999995</v>
      </c>
      <c r="AM3235">
        <v>100</v>
      </c>
      <c r="AN3235">
        <v>2200</v>
      </c>
      <c r="AO3235" t="s">
        <v>118</v>
      </c>
      <c r="AP3235">
        <v>21</v>
      </c>
      <c r="AQ3235">
        <v>-120</v>
      </c>
      <c r="AR3235">
        <v>-640</v>
      </c>
      <c r="AZ3235">
        <v>4552</v>
      </c>
      <c r="BA3235">
        <v>1</v>
      </c>
      <c r="BB3235" t="str">
        <f t="shared" si="1341"/>
        <v xml:space="preserve">N607SR  </v>
      </c>
      <c r="BC3235">
        <v>1</v>
      </c>
      <c r="BE3235">
        <v>0</v>
      </c>
      <c r="BF3235">
        <v>0</v>
      </c>
      <c r="BG3235">
        <v>0</v>
      </c>
      <c r="BH3235">
        <v>2025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 t="shared" si="1356"/>
        <v>06:21:18.928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465</v>
      </c>
      <c r="CR3235">
        <v>0</v>
      </c>
      <c r="CW3235">
        <v>4729928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 t="shared" ref="A3236:A3241" si="1357">"08/29/2020 06:21:16.651"</f>
        <v>08/29/2020 06:21:16.651</v>
      </c>
      <c r="C3236" t="str">
        <f t="shared" si="1339"/>
        <v>FFDFD3C0</v>
      </c>
      <c r="D3236" t="s">
        <v>113</v>
      </c>
      <c r="E3236">
        <v>5</v>
      </c>
      <c r="H3236">
        <v>163</v>
      </c>
      <c r="I3236" t="s">
        <v>114</v>
      </c>
      <c r="J3236" t="s">
        <v>115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ref="S3236:S3241" si="1358">"06:21:19.914"</f>
        <v>06:21:19.914</v>
      </c>
      <c r="T3236" t="str">
        <f t="shared" ref="T3236:T3241" si="1359">"06:21:19.414"</f>
        <v>06:21:19.414</v>
      </c>
      <c r="U3236" t="str">
        <f t="shared" si="1340"/>
        <v>A7E2E0</v>
      </c>
      <c r="V3236">
        <v>0</v>
      </c>
      <c r="W3236">
        <v>0</v>
      </c>
      <c r="X3236">
        <v>1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0</v>
      </c>
      <c r="AI3236" t="s">
        <v>1550</v>
      </c>
      <c r="AJ3236">
        <v>38.843814999999999</v>
      </c>
      <c r="AK3236" t="s">
        <v>1551</v>
      </c>
      <c r="AL3236">
        <v>-87.605988999999994</v>
      </c>
      <c r="AM3236">
        <v>100</v>
      </c>
      <c r="AN3236">
        <v>2200</v>
      </c>
      <c r="AO3236" t="s">
        <v>118</v>
      </c>
      <c r="AP3236">
        <v>21</v>
      </c>
      <c r="AQ3236">
        <v>-121</v>
      </c>
      <c r="AR3236">
        <v>-640</v>
      </c>
      <c r="AZ3236">
        <v>4552</v>
      </c>
      <c r="BA3236">
        <v>1</v>
      </c>
      <c r="BB3236" t="str">
        <f t="shared" si="1341"/>
        <v xml:space="preserve">N607SR  </v>
      </c>
      <c r="BC3236">
        <v>1</v>
      </c>
      <c r="BE3236">
        <v>0</v>
      </c>
      <c r="BF3236">
        <v>0</v>
      </c>
      <c r="BG3236">
        <v>0</v>
      </c>
      <c r="BH3236">
        <v>2000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 t="shared" ref="BW3236:BW3241" si="1360">"06:21:19.914"</f>
        <v>06:21:19.914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119</v>
      </c>
      <c r="CQ3236">
        <v>465</v>
      </c>
      <c r="CR3236">
        <v>0</v>
      </c>
      <c r="CW3236">
        <v>4729955</v>
      </c>
      <c r="CY3236">
        <v>1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 t="shared" si="1357"/>
        <v>08/29/2020 06:21:16.651</v>
      </c>
      <c r="C3237" t="str">
        <f t="shared" si="1339"/>
        <v>FFDFD3C0</v>
      </c>
      <c r="D3237" t="s">
        <v>121</v>
      </c>
      <c r="E3237">
        <v>11</v>
      </c>
      <c r="F3237">
        <v>1011</v>
      </c>
      <c r="G3237" t="s">
        <v>125</v>
      </c>
      <c r="J3237" t="s">
        <v>123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si="1358"/>
        <v>06:21:19.914</v>
      </c>
      <c r="T3237" t="str">
        <f t="shared" si="1359"/>
        <v>06:21:19.414</v>
      </c>
      <c r="U3237" t="str">
        <f t="shared" si="1340"/>
        <v>A7E2E0</v>
      </c>
      <c r="V3237">
        <v>0</v>
      </c>
      <c r="W3237">
        <v>0</v>
      </c>
      <c r="X3237">
        <v>1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0</v>
      </c>
      <c r="AI3237" t="s">
        <v>1550</v>
      </c>
      <c r="AJ3237">
        <v>38.843814999999999</v>
      </c>
      <c r="AK3237" t="s">
        <v>1551</v>
      </c>
      <c r="AL3237">
        <v>-87.605988999999994</v>
      </c>
      <c r="AM3237">
        <v>100</v>
      </c>
      <c r="AN3237">
        <v>2200</v>
      </c>
      <c r="AO3237" t="s">
        <v>118</v>
      </c>
      <c r="AP3237">
        <v>21</v>
      </c>
      <c r="AQ3237">
        <v>-121</v>
      </c>
      <c r="AR3237">
        <v>-640</v>
      </c>
      <c r="AZ3237">
        <v>4552</v>
      </c>
      <c r="BA3237">
        <v>1</v>
      </c>
      <c r="BB3237" t="str">
        <f t="shared" si="1341"/>
        <v xml:space="preserve">N607SR  </v>
      </c>
      <c r="BC3237">
        <v>1</v>
      </c>
      <c r="BE3237">
        <v>0</v>
      </c>
      <c r="BF3237">
        <v>0</v>
      </c>
      <c r="BG3237">
        <v>0</v>
      </c>
      <c r="BH3237">
        <v>2000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 t="shared" si="1360"/>
        <v>06:21:19.914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5</v>
      </c>
      <c r="CP3237" t="s">
        <v>119</v>
      </c>
      <c r="CQ3237">
        <v>457</v>
      </c>
      <c r="CR3237">
        <v>0</v>
      </c>
      <c r="CW3237">
        <v>15525141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 t="shared" si="1357"/>
        <v>08/29/2020 06:21:16.651</v>
      </c>
      <c r="C3238" t="str">
        <f t="shared" si="1339"/>
        <v>FFDFD3C0</v>
      </c>
      <c r="D3238" t="s">
        <v>128</v>
      </c>
      <c r="E3238">
        <v>5</v>
      </c>
      <c r="H3238">
        <v>241</v>
      </c>
      <c r="I3238" t="s">
        <v>129</v>
      </c>
      <c r="J3238" t="s">
        <v>130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358"/>
        <v>06:21:19.914</v>
      </c>
      <c r="T3238" t="str">
        <f t="shared" si="1359"/>
        <v>06:21:19.414</v>
      </c>
      <c r="U3238" t="str">
        <f t="shared" si="1340"/>
        <v>A7E2E0</v>
      </c>
      <c r="V3238">
        <v>0</v>
      </c>
      <c r="W3238">
        <v>0</v>
      </c>
      <c r="X3238">
        <v>1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0</v>
      </c>
      <c r="AI3238" t="s">
        <v>1550</v>
      </c>
      <c r="AJ3238">
        <v>38.843814999999999</v>
      </c>
      <c r="AK3238" t="s">
        <v>1551</v>
      </c>
      <c r="AL3238">
        <v>-87.605988999999994</v>
      </c>
      <c r="AM3238">
        <v>100</v>
      </c>
      <c r="AN3238">
        <v>2200</v>
      </c>
      <c r="AO3238" t="s">
        <v>118</v>
      </c>
      <c r="AP3238">
        <v>21</v>
      </c>
      <c r="AQ3238">
        <v>-121</v>
      </c>
      <c r="AR3238">
        <v>-640</v>
      </c>
      <c r="AZ3238">
        <v>4552</v>
      </c>
      <c r="BA3238">
        <v>1</v>
      </c>
      <c r="BB3238" t="str">
        <f t="shared" si="1341"/>
        <v xml:space="preserve">N607SR  </v>
      </c>
      <c r="BC3238">
        <v>1</v>
      </c>
      <c r="BE3238">
        <v>0</v>
      </c>
      <c r="BF3238">
        <v>0</v>
      </c>
      <c r="BG3238">
        <v>0</v>
      </c>
      <c r="BH3238">
        <v>2000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 t="shared" si="1360"/>
        <v>06:21:19.914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119</v>
      </c>
      <c r="CQ3238">
        <v>465</v>
      </c>
      <c r="CR3238">
        <v>0</v>
      </c>
      <c r="CW3238">
        <v>4729955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 t="shared" si="1357"/>
        <v>08/29/2020 06:21:16.651</v>
      </c>
      <c r="C3239" t="str">
        <f t="shared" si="1339"/>
        <v>FFDFD3C0</v>
      </c>
      <c r="D3239" t="s">
        <v>121</v>
      </c>
      <c r="E3239">
        <v>13</v>
      </c>
      <c r="F3239">
        <v>1013</v>
      </c>
      <c r="G3239" t="s">
        <v>122</v>
      </c>
      <c r="J3239" t="s">
        <v>123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358"/>
        <v>06:21:19.914</v>
      </c>
      <c r="T3239" t="str">
        <f t="shared" si="1359"/>
        <v>06:21:19.414</v>
      </c>
      <c r="U3239" t="str">
        <f t="shared" si="1340"/>
        <v>A7E2E0</v>
      </c>
      <c r="V3239">
        <v>0</v>
      </c>
      <c r="W3239">
        <v>0</v>
      </c>
      <c r="X3239">
        <v>1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0</v>
      </c>
      <c r="AI3239" t="s">
        <v>1550</v>
      </c>
      <c r="AJ3239">
        <v>38.843814999999999</v>
      </c>
      <c r="AK3239" t="s">
        <v>1551</v>
      </c>
      <c r="AL3239">
        <v>-87.605988999999994</v>
      </c>
      <c r="AM3239">
        <v>100</v>
      </c>
      <c r="AN3239">
        <v>2200</v>
      </c>
      <c r="AO3239" t="s">
        <v>118</v>
      </c>
      <c r="AP3239">
        <v>21</v>
      </c>
      <c r="AQ3239">
        <v>-121</v>
      </c>
      <c r="AR3239">
        <v>-640</v>
      </c>
      <c r="AZ3239">
        <v>4552</v>
      </c>
      <c r="BA3239">
        <v>1</v>
      </c>
      <c r="BB3239" t="str">
        <f t="shared" si="1341"/>
        <v xml:space="preserve">N607SR  </v>
      </c>
      <c r="BC3239">
        <v>1</v>
      </c>
      <c r="BE3239">
        <v>0</v>
      </c>
      <c r="BF3239">
        <v>0</v>
      </c>
      <c r="BG3239">
        <v>0</v>
      </c>
      <c r="BH3239">
        <v>2000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 t="shared" si="1360"/>
        <v>06:21:19.914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465</v>
      </c>
      <c r="CR3239">
        <v>0</v>
      </c>
      <c r="CW3239">
        <v>4729955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 t="shared" si="1357"/>
        <v>08/29/2020 06:21:16.651</v>
      </c>
      <c r="C3240" t="str">
        <f t="shared" si="1339"/>
        <v>FFDFD3C0</v>
      </c>
      <c r="D3240" t="s">
        <v>939</v>
      </c>
      <c r="E3240">
        <v>10</v>
      </c>
      <c r="H3240">
        <v>79</v>
      </c>
      <c r="I3240" t="s">
        <v>940</v>
      </c>
      <c r="J3240" t="s">
        <v>130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358"/>
        <v>06:21:19.914</v>
      </c>
      <c r="T3240" t="str">
        <f t="shared" si="1359"/>
        <v>06:21:19.414</v>
      </c>
      <c r="U3240" t="str">
        <f t="shared" si="1340"/>
        <v>A7E2E0</v>
      </c>
      <c r="V3240">
        <v>0</v>
      </c>
      <c r="W3240">
        <v>0</v>
      </c>
      <c r="X3240">
        <v>1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0</v>
      </c>
      <c r="AI3240" t="s">
        <v>1550</v>
      </c>
      <c r="AJ3240">
        <v>38.843814999999999</v>
      </c>
      <c r="AK3240" t="s">
        <v>1551</v>
      </c>
      <c r="AL3240">
        <v>-87.605988999999994</v>
      </c>
      <c r="AM3240">
        <v>100</v>
      </c>
      <c r="AN3240">
        <v>2200</v>
      </c>
      <c r="AO3240" t="s">
        <v>118</v>
      </c>
      <c r="AP3240">
        <v>21</v>
      </c>
      <c r="AQ3240">
        <v>-121</v>
      </c>
      <c r="AR3240">
        <v>-640</v>
      </c>
      <c r="AZ3240">
        <v>4552</v>
      </c>
      <c r="BA3240">
        <v>1</v>
      </c>
      <c r="BB3240" t="str">
        <f t="shared" si="1341"/>
        <v xml:space="preserve">N607SR  </v>
      </c>
      <c r="BC3240">
        <v>1</v>
      </c>
      <c r="BE3240">
        <v>0</v>
      </c>
      <c r="BF3240">
        <v>0</v>
      </c>
      <c r="BG3240">
        <v>0</v>
      </c>
      <c r="BH3240">
        <v>2000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 t="shared" si="1360"/>
        <v>06:21:19.914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119</v>
      </c>
      <c r="CQ3240">
        <v>465</v>
      </c>
      <c r="CR3240">
        <v>0</v>
      </c>
      <c r="CW3240">
        <v>4729955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 t="shared" si="1357"/>
        <v>08/29/2020 06:21:16.651</v>
      </c>
      <c r="C3241" t="str">
        <f t="shared" si="1339"/>
        <v>FFDFD3C0</v>
      </c>
      <c r="D3241" t="s">
        <v>121</v>
      </c>
      <c r="E3241">
        <v>10</v>
      </c>
      <c r="F3241">
        <v>1010</v>
      </c>
      <c r="G3241" t="s">
        <v>114</v>
      </c>
      <c r="J3241" t="s">
        <v>123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358"/>
        <v>06:21:19.914</v>
      </c>
      <c r="T3241" t="str">
        <f t="shared" si="1359"/>
        <v>06:21:19.414</v>
      </c>
      <c r="U3241" t="str">
        <f t="shared" si="1340"/>
        <v>A7E2E0</v>
      </c>
      <c r="V3241">
        <v>0</v>
      </c>
      <c r="W3241">
        <v>0</v>
      </c>
      <c r="X3241">
        <v>1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0</v>
      </c>
      <c r="AI3241" t="s">
        <v>1550</v>
      </c>
      <c r="AJ3241">
        <v>38.843814999999999</v>
      </c>
      <c r="AK3241" t="s">
        <v>1551</v>
      </c>
      <c r="AL3241">
        <v>-87.605988999999994</v>
      </c>
      <c r="AM3241">
        <v>100</v>
      </c>
      <c r="AN3241">
        <v>2200</v>
      </c>
      <c r="AO3241" t="s">
        <v>118</v>
      </c>
      <c r="AP3241">
        <v>21</v>
      </c>
      <c r="AQ3241">
        <v>-121</v>
      </c>
      <c r="AR3241">
        <v>-640</v>
      </c>
      <c r="AZ3241">
        <v>4552</v>
      </c>
      <c r="BA3241">
        <v>1</v>
      </c>
      <c r="BB3241" t="str">
        <f t="shared" si="1341"/>
        <v xml:space="preserve">N607SR  </v>
      </c>
      <c r="BC3241">
        <v>1</v>
      </c>
      <c r="BE3241">
        <v>0</v>
      </c>
      <c r="BF3241">
        <v>0</v>
      </c>
      <c r="BG3241">
        <v>0</v>
      </c>
      <c r="BH3241">
        <v>2000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 t="shared" si="1360"/>
        <v>06:21:19.914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465</v>
      </c>
      <c r="CR3241">
        <v>0</v>
      </c>
      <c r="CW3241">
        <v>4729955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 t="shared" ref="A3242:A3247" si="1361">"08/29/2020 06:21:17.664"</f>
        <v>08/29/2020 06:21:17.664</v>
      </c>
      <c r="C3242" t="str">
        <f t="shared" si="1339"/>
        <v>FFDFD3C0</v>
      </c>
      <c r="D3242" t="s">
        <v>113</v>
      </c>
      <c r="E3242">
        <v>5</v>
      </c>
      <c r="H3242">
        <v>163</v>
      </c>
      <c r="I3242" t="s">
        <v>114</v>
      </c>
      <c r="J3242" t="s">
        <v>115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ref="S3242:S3247" si="1362">"06:21:20.883"</f>
        <v>06:21:20.883</v>
      </c>
      <c r="T3242" t="str">
        <f t="shared" ref="T3242:T3247" si="1363">"06:21:20.383"</f>
        <v>06:21:20.383</v>
      </c>
      <c r="U3242" t="str">
        <f t="shared" si="1340"/>
        <v>A7E2E0</v>
      </c>
      <c r="V3242">
        <v>0</v>
      </c>
      <c r="W3242">
        <v>0</v>
      </c>
      <c r="X3242">
        <v>1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0</v>
      </c>
      <c r="AI3242" t="s">
        <v>1552</v>
      </c>
      <c r="AJ3242">
        <v>38.843279000000003</v>
      </c>
      <c r="AK3242" t="s">
        <v>1553</v>
      </c>
      <c r="AL3242">
        <v>-87.605902999999998</v>
      </c>
      <c r="AM3242">
        <v>100</v>
      </c>
      <c r="AN3242">
        <v>2200</v>
      </c>
      <c r="AO3242" t="s">
        <v>118</v>
      </c>
      <c r="AP3242">
        <v>22</v>
      </c>
      <c r="AQ3242">
        <v>-121</v>
      </c>
      <c r="AR3242">
        <v>-640</v>
      </c>
      <c r="AZ3242">
        <v>4552</v>
      </c>
      <c r="BA3242">
        <v>1</v>
      </c>
      <c r="BB3242" t="str">
        <f t="shared" si="1341"/>
        <v xml:space="preserve">N607SR  </v>
      </c>
      <c r="BC3242">
        <v>1</v>
      </c>
      <c r="BE3242">
        <v>0</v>
      </c>
      <c r="BF3242">
        <v>0</v>
      </c>
      <c r="BG3242">
        <v>0</v>
      </c>
      <c r="BH3242">
        <v>2000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 t="shared" ref="BW3242:BW3247" si="1364">"06:21:20.889"</f>
        <v>06:21:20.889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119</v>
      </c>
      <c r="CQ3242">
        <v>465</v>
      </c>
      <c r="CR3242">
        <v>0</v>
      </c>
      <c r="CW3242">
        <v>4729987</v>
      </c>
      <c r="CY3242">
        <v>1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 t="shared" si="1361"/>
        <v>08/29/2020 06:21:17.664</v>
      </c>
      <c r="C3243" t="str">
        <f t="shared" si="1339"/>
        <v>FFDFD3C0</v>
      </c>
      <c r="D3243" t="s">
        <v>121</v>
      </c>
      <c r="E3243">
        <v>11</v>
      </c>
      <c r="F3243">
        <v>1011</v>
      </c>
      <c r="G3243" t="s">
        <v>125</v>
      </c>
      <c r="J3243" t="s">
        <v>123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si="1362"/>
        <v>06:21:20.883</v>
      </c>
      <c r="T3243" t="str">
        <f t="shared" si="1363"/>
        <v>06:21:20.383</v>
      </c>
      <c r="U3243" t="str">
        <f t="shared" si="1340"/>
        <v>A7E2E0</v>
      </c>
      <c r="V3243">
        <v>0</v>
      </c>
      <c r="W3243">
        <v>0</v>
      </c>
      <c r="X3243">
        <v>1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0</v>
      </c>
      <c r="AI3243" t="s">
        <v>1552</v>
      </c>
      <c r="AJ3243">
        <v>38.843279000000003</v>
      </c>
      <c r="AK3243" t="s">
        <v>1553</v>
      </c>
      <c r="AL3243">
        <v>-87.605902999999998</v>
      </c>
      <c r="AM3243">
        <v>100</v>
      </c>
      <c r="AN3243">
        <v>2200</v>
      </c>
      <c r="AO3243" t="s">
        <v>118</v>
      </c>
      <c r="AP3243">
        <v>22</v>
      </c>
      <c r="AQ3243">
        <v>-121</v>
      </c>
      <c r="AR3243">
        <v>-640</v>
      </c>
      <c r="AZ3243">
        <v>4552</v>
      </c>
      <c r="BA3243">
        <v>1</v>
      </c>
      <c r="BB3243" t="str">
        <f t="shared" si="1341"/>
        <v xml:space="preserve">N607SR  </v>
      </c>
      <c r="BC3243">
        <v>1</v>
      </c>
      <c r="BE3243">
        <v>0</v>
      </c>
      <c r="BF3243">
        <v>0</v>
      </c>
      <c r="BG3243">
        <v>0</v>
      </c>
      <c r="BH3243">
        <v>2000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 t="shared" si="1364"/>
        <v>06:21:20.889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5</v>
      </c>
      <c r="CP3243" t="s">
        <v>119</v>
      </c>
      <c r="CQ3243">
        <v>457</v>
      </c>
      <c r="CR3243">
        <v>0</v>
      </c>
      <c r="CW3243">
        <v>15525178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 t="shared" si="1361"/>
        <v>08/29/2020 06:21:17.664</v>
      </c>
      <c r="C3244" t="str">
        <f t="shared" si="1339"/>
        <v>FFDFD3C0</v>
      </c>
      <c r="D3244" t="s">
        <v>939</v>
      </c>
      <c r="E3244">
        <v>10</v>
      </c>
      <c r="H3244">
        <v>79</v>
      </c>
      <c r="I3244" t="s">
        <v>940</v>
      </c>
      <c r="J3244" t="s">
        <v>130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362"/>
        <v>06:21:20.883</v>
      </c>
      <c r="T3244" t="str">
        <f t="shared" si="1363"/>
        <v>06:21:20.383</v>
      </c>
      <c r="U3244" t="str">
        <f t="shared" si="1340"/>
        <v>A7E2E0</v>
      </c>
      <c r="V3244">
        <v>0</v>
      </c>
      <c r="W3244">
        <v>0</v>
      </c>
      <c r="X3244">
        <v>1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0</v>
      </c>
      <c r="AI3244" t="s">
        <v>1552</v>
      </c>
      <c r="AJ3244">
        <v>38.843279000000003</v>
      </c>
      <c r="AK3244" t="s">
        <v>1553</v>
      </c>
      <c r="AL3244">
        <v>-87.605902999999998</v>
      </c>
      <c r="AM3244">
        <v>100</v>
      </c>
      <c r="AN3244">
        <v>2200</v>
      </c>
      <c r="AO3244" t="s">
        <v>118</v>
      </c>
      <c r="AP3244">
        <v>22</v>
      </c>
      <c r="AQ3244">
        <v>-121</v>
      </c>
      <c r="AR3244">
        <v>-640</v>
      </c>
      <c r="AZ3244">
        <v>4552</v>
      </c>
      <c r="BA3244">
        <v>1</v>
      </c>
      <c r="BB3244" t="str">
        <f t="shared" si="1341"/>
        <v xml:space="preserve">N607SR  </v>
      </c>
      <c r="BC3244">
        <v>1</v>
      </c>
      <c r="BE3244">
        <v>0</v>
      </c>
      <c r="BF3244">
        <v>0</v>
      </c>
      <c r="BG3244">
        <v>0</v>
      </c>
      <c r="BH3244">
        <v>2000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 t="shared" si="1364"/>
        <v>06:21:20.889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465</v>
      </c>
      <c r="CR3244">
        <v>0</v>
      </c>
      <c r="CW3244">
        <v>4729987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 t="shared" si="1361"/>
        <v>08/29/2020 06:21:17.664</v>
      </c>
      <c r="C3245" t="str">
        <f t="shared" si="1339"/>
        <v>FFDFD3C0</v>
      </c>
      <c r="D3245" t="s">
        <v>128</v>
      </c>
      <c r="E3245">
        <v>5</v>
      </c>
      <c r="H3245">
        <v>241</v>
      </c>
      <c r="I3245" t="s">
        <v>129</v>
      </c>
      <c r="J3245" t="s">
        <v>130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362"/>
        <v>06:21:20.883</v>
      </c>
      <c r="T3245" t="str">
        <f t="shared" si="1363"/>
        <v>06:21:20.383</v>
      </c>
      <c r="U3245" t="str">
        <f t="shared" si="1340"/>
        <v>A7E2E0</v>
      </c>
      <c r="V3245">
        <v>0</v>
      </c>
      <c r="W3245">
        <v>0</v>
      </c>
      <c r="X3245">
        <v>1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0</v>
      </c>
      <c r="AI3245" t="s">
        <v>1552</v>
      </c>
      <c r="AJ3245">
        <v>38.843279000000003</v>
      </c>
      <c r="AK3245" t="s">
        <v>1553</v>
      </c>
      <c r="AL3245">
        <v>-87.605902999999998</v>
      </c>
      <c r="AM3245">
        <v>100</v>
      </c>
      <c r="AN3245">
        <v>2200</v>
      </c>
      <c r="AO3245" t="s">
        <v>118</v>
      </c>
      <c r="AP3245">
        <v>22</v>
      </c>
      <c r="AQ3245">
        <v>-121</v>
      </c>
      <c r="AR3245">
        <v>-640</v>
      </c>
      <c r="AZ3245">
        <v>4552</v>
      </c>
      <c r="BA3245">
        <v>1</v>
      </c>
      <c r="BB3245" t="str">
        <f t="shared" si="1341"/>
        <v xml:space="preserve">N607SR  </v>
      </c>
      <c r="BC3245">
        <v>1</v>
      </c>
      <c r="BE3245">
        <v>0</v>
      </c>
      <c r="BF3245">
        <v>0</v>
      </c>
      <c r="BG3245">
        <v>0</v>
      </c>
      <c r="BH3245">
        <v>2000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 t="shared" si="1364"/>
        <v>06:21:20.889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465</v>
      </c>
      <c r="CR3245">
        <v>0</v>
      </c>
      <c r="CW3245">
        <v>4729987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 t="shared" si="1361"/>
        <v>08/29/2020 06:21:17.664</v>
      </c>
      <c r="C3246" t="str">
        <f t="shared" si="1339"/>
        <v>FFDFD3C0</v>
      </c>
      <c r="D3246" t="s">
        <v>121</v>
      </c>
      <c r="E3246">
        <v>13</v>
      </c>
      <c r="F3246">
        <v>1013</v>
      </c>
      <c r="G3246" t="s">
        <v>122</v>
      </c>
      <c r="J3246" t="s">
        <v>123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362"/>
        <v>06:21:20.883</v>
      </c>
      <c r="T3246" t="str">
        <f t="shared" si="1363"/>
        <v>06:21:20.383</v>
      </c>
      <c r="U3246" t="str">
        <f t="shared" si="1340"/>
        <v>A7E2E0</v>
      </c>
      <c r="V3246">
        <v>0</v>
      </c>
      <c r="W3246">
        <v>0</v>
      </c>
      <c r="X3246">
        <v>1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0</v>
      </c>
      <c r="AI3246" t="s">
        <v>1552</v>
      </c>
      <c r="AJ3246">
        <v>38.843279000000003</v>
      </c>
      <c r="AK3246" t="s">
        <v>1553</v>
      </c>
      <c r="AL3246">
        <v>-87.605902999999998</v>
      </c>
      <c r="AM3246">
        <v>100</v>
      </c>
      <c r="AN3246">
        <v>2200</v>
      </c>
      <c r="AO3246" t="s">
        <v>118</v>
      </c>
      <c r="AP3246">
        <v>22</v>
      </c>
      <c r="AQ3246">
        <v>-121</v>
      </c>
      <c r="AR3246">
        <v>-640</v>
      </c>
      <c r="AZ3246">
        <v>4552</v>
      </c>
      <c r="BA3246">
        <v>1</v>
      </c>
      <c r="BB3246" t="str">
        <f t="shared" si="1341"/>
        <v xml:space="preserve">N607SR  </v>
      </c>
      <c r="BC3246">
        <v>1</v>
      </c>
      <c r="BE3246">
        <v>0</v>
      </c>
      <c r="BF3246">
        <v>0</v>
      </c>
      <c r="BG3246">
        <v>0</v>
      </c>
      <c r="BH3246">
        <v>2000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 t="shared" si="1364"/>
        <v>06:21:20.889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465</v>
      </c>
      <c r="CR3246">
        <v>0</v>
      </c>
      <c r="CW3246">
        <v>4729987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 t="shared" si="1361"/>
        <v>08/29/2020 06:21:17.664</v>
      </c>
      <c r="C3247" t="str">
        <f t="shared" si="1339"/>
        <v>FFDFD3C0</v>
      </c>
      <c r="D3247" t="s">
        <v>121</v>
      </c>
      <c r="E3247">
        <v>10</v>
      </c>
      <c r="F3247">
        <v>1010</v>
      </c>
      <c r="G3247" t="s">
        <v>114</v>
      </c>
      <c r="J3247" t="s">
        <v>123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362"/>
        <v>06:21:20.883</v>
      </c>
      <c r="T3247" t="str">
        <f t="shared" si="1363"/>
        <v>06:21:20.383</v>
      </c>
      <c r="U3247" t="str">
        <f t="shared" si="1340"/>
        <v>A7E2E0</v>
      </c>
      <c r="V3247">
        <v>0</v>
      </c>
      <c r="W3247">
        <v>0</v>
      </c>
      <c r="X3247">
        <v>1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0</v>
      </c>
      <c r="AI3247" t="s">
        <v>1552</v>
      </c>
      <c r="AJ3247">
        <v>38.843279000000003</v>
      </c>
      <c r="AK3247" t="s">
        <v>1553</v>
      </c>
      <c r="AL3247">
        <v>-87.605902999999998</v>
      </c>
      <c r="AM3247">
        <v>100</v>
      </c>
      <c r="AN3247">
        <v>2200</v>
      </c>
      <c r="AO3247" t="s">
        <v>118</v>
      </c>
      <c r="AP3247">
        <v>22</v>
      </c>
      <c r="AQ3247">
        <v>-121</v>
      </c>
      <c r="AR3247">
        <v>-640</v>
      </c>
      <c r="AZ3247">
        <v>4552</v>
      </c>
      <c r="BA3247">
        <v>1</v>
      </c>
      <c r="BB3247" t="str">
        <f t="shared" si="1341"/>
        <v xml:space="preserve">N607SR  </v>
      </c>
      <c r="BC3247">
        <v>1</v>
      </c>
      <c r="BE3247">
        <v>0</v>
      </c>
      <c r="BF3247">
        <v>0</v>
      </c>
      <c r="BG3247">
        <v>0</v>
      </c>
      <c r="BH3247">
        <v>2000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 t="shared" si="1364"/>
        <v>06:21:20.889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465</v>
      </c>
      <c r="CR3247">
        <v>0</v>
      </c>
      <c r="CW3247">
        <v>4729987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 t="shared" ref="A3248:A3253" si="1365">"08/29/2020 06:21:18.663"</f>
        <v>08/29/2020 06:21:18.663</v>
      </c>
      <c r="C3248" t="str">
        <f t="shared" si="1339"/>
        <v>FFDFD3C0</v>
      </c>
      <c r="D3248" t="s">
        <v>121</v>
      </c>
      <c r="E3248">
        <v>10</v>
      </c>
      <c r="F3248">
        <v>1010</v>
      </c>
      <c r="G3248" t="s">
        <v>114</v>
      </c>
      <c r="J3248" t="s">
        <v>123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ref="S3248:S3253" si="1366">"06:21:21.891"</f>
        <v>06:21:21.891</v>
      </c>
      <c r="T3248" t="str">
        <f t="shared" ref="T3248:T3253" si="1367">"06:21:21.491"</f>
        <v>06:21:21.491</v>
      </c>
      <c r="U3248" t="str">
        <f t="shared" si="1340"/>
        <v>A7E2E0</v>
      </c>
      <c r="V3248">
        <v>0</v>
      </c>
      <c r="W3248">
        <v>0</v>
      </c>
      <c r="X3248">
        <v>1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0</v>
      </c>
      <c r="AI3248" t="s">
        <v>1554</v>
      </c>
      <c r="AJ3248">
        <v>38.842720999999997</v>
      </c>
      <c r="AK3248" t="s">
        <v>1555</v>
      </c>
      <c r="AL3248">
        <v>-87.605710000000002</v>
      </c>
      <c r="AM3248">
        <v>100</v>
      </c>
      <c r="AN3248">
        <v>2200</v>
      </c>
      <c r="AO3248" t="s">
        <v>118</v>
      </c>
      <c r="AP3248">
        <v>22</v>
      </c>
      <c r="AQ3248">
        <v>-122</v>
      </c>
      <c r="AR3248">
        <v>-512</v>
      </c>
      <c r="AZ3248">
        <v>4552</v>
      </c>
      <c r="BA3248">
        <v>1</v>
      </c>
      <c r="BB3248" t="str">
        <f t="shared" si="1341"/>
        <v xml:space="preserve">N607SR  </v>
      </c>
      <c r="BC3248">
        <v>1</v>
      </c>
      <c r="BE3248">
        <v>0</v>
      </c>
      <c r="BF3248">
        <v>0</v>
      </c>
      <c r="BG3248">
        <v>0</v>
      </c>
      <c r="BH3248">
        <v>2000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 t="shared" ref="BW3248:BW3253" si="1368">"06:21:21.897"</f>
        <v>06:21:21.897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6</v>
      </c>
      <c r="CP3248" t="s">
        <v>119</v>
      </c>
      <c r="CQ3248">
        <v>465</v>
      </c>
      <c r="CR3248">
        <v>0</v>
      </c>
      <c r="CW3248">
        <v>4730015</v>
      </c>
      <c r="CY3248">
        <v>1</v>
      </c>
      <c r="CZ3248">
        <v>0</v>
      </c>
      <c r="DA3248">
        <v>0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 t="shared" si="1365"/>
        <v>08/29/2020 06:21:18.663</v>
      </c>
      <c r="C3249" t="str">
        <f t="shared" si="1339"/>
        <v>FFDFD3C0</v>
      </c>
      <c r="D3249" t="s">
        <v>121</v>
      </c>
      <c r="E3249">
        <v>11</v>
      </c>
      <c r="F3249">
        <v>1011</v>
      </c>
      <c r="G3249" t="s">
        <v>125</v>
      </c>
      <c r="J3249" t="s">
        <v>123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366"/>
        <v>06:21:21.891</v>
      </c>
      <c r="T3249" t="str">
        <f t="shared" si="1367"/>
        <v>06:21:21.491</v>
      </c>
      <c r="U3249" t="str">
        <f t="shared" si="1340"/>
        <v>A7E2E0</v>
      </c>
      <c r="V3249">
        <v>0</v>
      </c>
      <c r="W3249">
        <v>0</v>
      </c>
      <c r="X3249">
        <v>1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0</v>
      </c>
      <c r="AI3249" t="s">
        <v>1554</v>
      </c>
      <c r="AJ3249">
        <v>38.842720999999997</v>
      </c>
      <c r="AK3249" t="s">
        <v>1555</v>
      </c>
      <c r="AL3249">
        <v>-87.605710000000002</v>
      </c>
      <c r="AM3249">
        <v>100</v>
      </c>
      <c r="AN3249">
        <v>2200</v>
      </c>
      <c r="AO3249" t="s">
        <v>118</v>
      </c>
      <c r="AP3249">
        <v>22</v>
      </c>
      <c r="AQ3249">
        <v>-122</v>
      </c>
      <c r="AR3249">
        <v>-512</v>
      </c>
      <c r="AZ3249">
        <v>4552</v>
      </c>
      <c r="BA3249">
        <v>1</v>
      </c>
      <c r="BB3249" t="str">
        <f t="shared" si="1341"/>
        <v xml:space="preserve">N607SR  </v>
      </c>
      <c r="BC3249">
        <v>1</v>
      </c>
      <c r="BE3249">
        <v>0</v>
      </c>
      <c r="BF3249">
        <v>0</v>
      </c>
      <c r="BG3249">
        <v>0</v>
      </c>
      <c r="BH3249">
        <v>2000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 t="shared" si="1368"/>
        <v>06:21:21.897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5</v>
      </c>
      <c r="CP3249" t="s">
        <v>119</v>
      </c>
      <c r="CQ3249">
        <v>457</v>
      </c>
      <c r="CR3249">
        <v>0</v>
      </c>
      <c r="CW3249">
        <v>15525209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 t="shared" si="1365"/>
        <v>08/29/2020 06:21:18.663</v>
      </c>
      <c r="C3250" t="str">
        <f t="shared" si="1339"/>
        <v>FFDFD3C0</v>
      </c>
      <c r="D3250" t="s">
        <v>113</v>
      </c>
      <c r="E3250">
        <v>5</v>
      </c>
      <c r="H3250">
        <v>163</v>
      </c>
      <c r="I3250" t="s">
        <v>114</v>
      </c>
      <c r="J3250" t="s">
        <v>115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si="1366"/>
        <v>06:21:21.891</v>
      </c>
      <c r="T3250" t="str">
        <f t="shared" si="1367"/>
        <v>06:21:21.491</v>
      </c>
      <c r="U3250" t="str">
        <f t="shared" si="1340"/>
        <v>A7E2E0</v>
      </c>
      <c r="V3250">
        <v>0</v>
      </c>
      <c r="W3250">
        <v>0</v>
      </c>
      <c r="X3250">
        <v>1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0</v>
      </c>
      <c r="AI3250" t="s">
        <v>1554</v>
      </c>
      <c r="AJ3250">
        <v>38.842720999999997</v>
      </c>
      <c r="AK3250" t="s">
        <v>1555</v>
      </c>
      <c r="AL3250">
        <v>-87.605710000000002</v>
      </c>
      <c r="AM3250">
        <v>100</v>
      </c>
      <c r="AN3250">
        <v>2200</v>
      </c>
      <c r="AO3250" t="s">
        <v>118</v>
      </c>
      <c r="AP3250">
        <v>22</v>
      </c>
      <c r="AQ3250">
        <v>-122</v>
      </c>
      <c r="AR3250">
        <v>-512</v>
      </c>
      <c r="AZ3250">
        <v>4552</v>
      </c>
      <c r="BA3250">
        <v>1</v>
      </c>
      <c r="BB3250" t="str">
        <f t="shared" si="1341"/>
        <v xml:space="preserve">N607SR  </v>
      </c>
      <c r="BC3250">
        <v>1</v>
      </c>
      <c r="BE3250">
        <v>0</v>
      </c>
      <c r="BF3250">
        <v>0</v>
      </c>
      <c r="BG3250">
        <v>0</v>
      </c>
      <c r="BH3250">
        <v>2000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 t="shared" si="1368"/>
        <v>06:21:21.897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6</v>
      </c>
      <c r="CP3250" t="s">
        <v>119</v>
      </c>
      <c r="CQ3250">
        <v>465</v>
      </c>
      <c r="CR3250">
        <v>0</v>
      </c>
      <c r="CW3250">
        <v>4730015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 t="shared" si="1365"/>
        <v>08/29/2020 06:21:18.663</v>
      </c>
      <c r="C3251" t="str">
        <f t="shared" si="1339"/>
        <v>FFDFD3C0</v>
      </c>
      <c r="D3251" t="s">
        <v>939</v>
      </c>
      <c r="E3251">
        <v>10</v>
      </c>
      <c r="H3251">
        <v>79</v>
      </c>
      <c r="I3251" t="s">
        <v>940</v>
      </c>
      <c r="J3251" t="s">
        <v>130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366"/>
        <v>06:21:21.891</v>
      </c>
      <c r="T3251" t="str">
        <f t="shared" si="1367"/>
        <v>06:21:21.491</v>
      </c>
      <c r="U3251" t="str">
        <f t="shared" si="1340"/>
        <v>A7E2E0</v>
      </c>
      <c r="V3251">
        <v>0</v>
      </c>
      <c r="W3251">
        <v>0</v>
      </c>
      <c r="X3251">
        <v>1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0</v>
      </c>
      <c r="AI3251" t="s">
        <v>1554</v>
      </c>
      <c r="AJ3251">
        <v>38.842720999999997</v>
      </c>
      <c r="AK3251" t="s">
        <v>1555</v>
      </c>
      <c r="AL3251">
        <v>-87.605710000000002</v>
      </c>
      <c r="AM3251">
        <v>100</v>
      </c>
      <c r="AN3251">
        <v>2200</v>
      </c>
      <c r="AO3251" t="s">
        <v>118</v>
      </c>
      <c r="AP3251">
        <v>22</v>
      </c>
      <c r="AQ3251">
        <v>-122</v>
      </c>
      <c r="AR3251">
        <v>-512</v>
      </c>
      <c r="AZ3251">
        <v>4552</v>
      </c>
      <c r="BA3251">
        <v>1</v>
      </c>
      <c r="BB3251" t="str">
        <f t="shared" si="1341"/>
        <v xml:space="preserve">N607SR  </v>
      </c>
      <c r="BC3251">
        <v>1</v>
      </c>
      <c r="BE3251">
        <v>0</v>
      </c>
      <c r="BF3251">
        <v>0</v>
      </c>
      <c r="BG3251">
        <v>0</v>
      </c>
      <c r="BH3251">
        <v>2000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 t="shared" si="1368"/>
        <v>06:21:21.897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6</v>
      </c>
      <c r="CP3251" t="s">
        <v>119</v>
      </c>
      <c r="CQ3251">
        <v>465</v>
      </c>
      <c r="CR3251">
        <v>0</v>
      </c>
      <c r="CW3251">
        <v>4730015</v>
      </c>
      <c r="CY3251">
        <v>1</v>
      </c>
      <c r="CZ3251">
        <v>0</v>
      </c>
      <c r="DA3251">
        <v>1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 t="shared" si="1365"/>
        <v>08/29/2020 06:21:18.663</v>
      </c>
      <c r="C3252" t="str">
        <f t="shared" si="1339"/>
        <v>FFDFD3C0</v>
      </c>
      <c r="D3252" t="s">
        <v>128</v>
      </c>
      <c r="E3252">
        <v>5</v>
      </c>
      <c r="H3252">
        <v>241</v>
      </c>
      <c r="I3252" t="s">
        <v>129</v>
      </c>
      <c r="J3252" t="s">
        <v>130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366"/>
        <v>06:21:21.891</v>
      </c>
      <c r="T3252" t="str">
        <f t="shared" si="1367"/>
        <v>06:21:21.491</v>
      </c>
      <c r="U3252" t="str">
        <f t="shared" si="1340"/>
        <v>A7E2E0</v>
      </c>
      <c r="V3252">
        <v>0</v>
      </c>
      <c r="W3252">
        <v>0</v>
      </c>
      <c r="X3252">
        <v>1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0</v>
      </c>
      <c r="AI3252" t="s">
        <v>1554</v>
      </c>
      <c r="AJ3252">
        <v>38.842720999999997</v>
      </c>
      <c r="AK3252" t="s">
        <v>1555</v>
      </c>
      <c r="AL3252">
        <v>-87.605710000000002</v>
      </c>
      <c r="AM3252">
        <v>100</v>
      </c>
      <c r="AN3252">
        <v>2200</v>
      </c>
      <c r="AO3252" t="s">
        <v>118</v>
      </c>
      <c r="AP3252">
        <v>22</v>
      </c>
      <c r="AQ3252">
        <v>-122</v>
      </c>
      <c r="AR3252">
        <v>-512</v>
      </c>
      <c r="AZ3252">
        <v>4552</v>
      </c>
      <c r="BA3252">
        <v>1</v>
      </c>
      <c r="BB3252" t="str">
        <f t="shared" si="1341"/>
        <v xml:space="preserve">N607SR  </v>
      </c>
      <c r="BC3252">
        <v>1</v>
      </c>
      <c r="BE3252">
        <v>0</v>
      </c>
      <c r="BF3252">
        <v>0</v>
      </c>
      <c r="BG3252">
        <v>0</v>
      </c>
      <c r="BH3252">
        <v>2000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 t="shared" si="1368"/>
        <v>06:21:21.897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6</v>
      </c>
      <c r="CP3252" t="s">
        <v>119</v>
      </c>
      <c r="CQ3252">
        <v>465</v>
      </c>
      <c r="CR3252">
        <v>0</v>
      </c>
      <c r="CW3252">
        <v>4730015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 t="shared" si="1365"/>
        <v>08/29/2020 06:21:18.663</v>
      </c>
      <c r="C3253" t="str">
        <f t="shared" si="1339"/>
        <v>FFDFD3C0</v>
      </c>
      <c r="D3253" t="s">
        <v>121</v>
      </c>
      <c r="E3253">
        <v>13</v>
      </c>
      <c r="F3253">
        <v>1013</v>
      </c>
      <c r="G3253" t="s">
        <v>122</v>
      </c>
      <c r="J3253" t="s">
        <v>123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si="1366"/>
        <v>06:21:21.891</v>
      </c>
      <c r="T3253" t="str">
        <f t="shared" si="1367"/>
        <v>06:21:21.491</v>
      </c>
      <c r="U3253" t="str">
        <f t="shared" si="1340"/>
        <v>A7E2E0</v>
      </c>
      <c r="V3253">
        <v>0</v>
      </c>
      <c r="W3253">
        <v>0</v>
      </c>
      <c r="X3253">
        <v>1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0</v>
      </c>
      <c r="AI3253" t="s">
        <v>1554</v>
      </c>
      <c r="AJ3253">
        <v>38.842720999999997</v>
      </c>
      <c r="AK3253" t="s">
        <v>1555</v>
      </c>
      <c r="AL3253">
        <v>-87.605710000000002</v>
      </c>
      <c r="AM3253">
        <v>100</v>
      </c>
      <c r="AN3253">
        <v>2200</v>
      </c>
      <c r="AO3253" t="s">
        <v>118</v>
      </c>
      <c r="AP3253">
        <v>22</v>
      </c>
      <c r="AQ3253">
        <v>-122</v>
      </c>
      <c r="AR3253">
        <v>-512</v>
      </c>
      <c r="AZ3253">
        <v>4552</v>
      </c>
      <c r="BA3253">
        <v>1</v>
      </c>
      <c r="BB3253" t="str">
        <f t="shared" si="1341"/>
        <v xml:space="preserve">N607SR  </v>
      </c>
      <c r="BC3253">
        <v>1</v>
      </c>
      <c r="BE3253">
        <v>0</v>
      </c>
      <c r="BF3253">
        <v>0</v>
      </c>
      <c r="BG3253">
        <v>0</v>
      </c>
      <c r="BH3253">
        <v>2000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 t="shared" si="1368"/>
        <v>06:21:21.897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6</v>
      </c>
      <c r="CP3253" t="s">
        <v>119</v>
      </c>
      <c r="CQ3253">
        <v>465</v>
      </c>
      <c r="CR3253">
        <v>0</v>
      </c>
      <c r="CW3253">
        <v>4730015</v>
      </c>
      <c r="CY3253">
        <v>1</v>
      </c>
      <c r="CZ3253">
        <v>0</v>
      </c>
      <c r="DA3253">
        <v>1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 t="shared" ref="A3254:A3259" si="1369">"08/29/2020 06:21:19.623"</f>
        <v>08/29/2020 06:21:19.623</v>
      </c>
      <c r="C3254" t="str">
        <f t="shared" si="1339"/>
        <v>FFDFD3C0</v>
      </c>
      <c r="D3254" t="s">
        <v>121</v>
      </c>
      <c r="E3254">
        <v>10</v>
      </c>
      <c r="F3254">
        <v>1010</v>
      </c>
      <c r="G3254" t="s">
        <v>114</v>
      </c>
      <c r="J3254" t="s">
        <v>123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ref="S3254:S3259" si="1370">"06:21:22.852"</f>
        <v>06:21:22.852</v>
      </c>
      <c r="T3254" t="str">
        <f t="shared" ref="T3254:T3259" si="1371">"06:21:22.352"</f>
        <v>06:21:22.352</v>
      </c>
      <c r="U3254" t="str">
        <f t="shared" si="1340"/>
        <v>A7E2E0</v>
      </c>
      <c r="V3254">
        <v>0</v>
      </c>
      <c r="W3254">
        <v>0</v>
      </c>
      <c r="X3254">
        <v>1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0</v>
      </c>
      <c r="AI3254" t="s">
        <v>1556</v>
      </c>
      <c r="AJ3254">
        <v>38.842162999999999</v>
      </c>
      <c r="AK3254" t="s">
        <v>1557</v>
      </c>
      <c r="AL3254">
        <v>-87.605581000000001</v>
      </c>
      <c r="AM3254">
        <v>100</v>
      </c>
      <c r="AN3254">
        <v>2200</v>
      </c>
      <c r="AO3254" t="s">
        <v>118</v>
      </c>
      <c r="AP3254">
        <v>22</v>
      </c>
      <c r="AQ3254">
        <v>-122</v>
      </c>
      <c r="AR3254">
        <v>-448</v>
      </c>
      <c r="AZ3254">
        <v>4552</v>
      </c>
      <c r="BA3254">
        <v>1</v>
      </c>
      <c r="BB3254" t="str">
        <f t="shared" si="1341"/>
        <v xml:space="preserve">N607SR  </v>
      </c>
      <c r="BC3254">
        <v>1</v>
      </c>
      <c r="BE3254">
        <v>0</v>
      </c>
      <c r="BF3254">
        <v>0</v>
      </c>
      <c r="BG3254">
        <v>0</v>
      </c>
      <c r="BH3254">
        <v>1975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 t="shared" ref="BW3254:BW3259" si="1372">"06:21:22.859"</f>
        <v>06:21:22.859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6</v>
      </c>
      <c r="CP3254" t="s">
        <v>119</v>
      </c>
      <c r="CQ3254">
        <v>465</v>
      </c>
      <c r="CR3254">
        <v>0</v>
      </c>
      <c r="CW3254">
        <v>4730047</v>
      </c>
      <c r="CY3254">
        <v>1</v>
      </c>
      <c r="CZ3254">
        <v>0</v>
      </c>
      <c r="DA3254">
        <v>0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 t="shared" si="1369"/>
        <v>08/29/2020 06:21:19.623</v>
      </c>
      <c r="C3255" t="str">
        <f t="shared" si="1339"/>
        <v>FFDFD3C0</v>
      </c>
      <c r="D3255" t="s">
        <v>939</v>
      </c>
      <c r="E3255">
        <v>10</v>
      </c>
      <c r="H3255">
        <v>79</v>
      </c>
      <c r="I3255" t="s">
        <v>940</v>
      </c>
      <c r="J3255" t="s">
        <v>130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370"/>
        <v>06:21:22.852</v>
      </c>
      <c r="T3255" t="str">
        <f t="shared" si="1371"/>
        <v>06:21:22.352</v>
      </c>
      <c r="U3255" t="str">
        <f t="shared" si="1340"/>
        <v>A7E2E0</v>
      </c>
      <c r="V3255">
        <v>0</v>
      </c>
      <c r="W3255">
        <v>0</v>
      </c>
      <c r="X3255">
        <v>1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0</v>
      </c>
      <c r="AI3255" t="s">
        <v>1556</v>
      </c>
      <c r="AJ3255">
        <v>38.842162999999999</v>
      </c>
      <c r="AK3255" t="s">
        <v>1557</v>
      </c>
      <c r="AL3255">
        <v>-87.605581000000001</v>
      </c>
      <c r="AM3255">
        <v>100</v>
      </c>
      <c r="AN3255">
        <v>2200</v>
      </c>
      <c r="AO3255" t="s">
        <v>118</v>
      </c>
      <c r="AP3255">
        <v>22</v>
      </c>
      <c r="AQ3255">
        <v>-122</v>
      </c>
      <c r="AR3255">
        <v>-448</v>
      </c>
      <c r="AZ3255">
        <v>4552</v>
      </c>
      <c r="BA3255">
        <v>1</v>
      </c>
      <c r="BB3255" t="str">
        <f t="shared" si="1341"/>
        <v xml:space="preserve">N607SR  </v>
      </c>
      <c r="BC3255">
        <v>1</v>
      </c>
      <c r="BE3255">
        <v>0</v>
      </c>
      <c r="BF3255">
        <v>0</v>
      </c>
      <c r="BG3255">
        <v>0</v>
      </c>
      <c r="BH3255">
        <v>1975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 t="shared" si="1372"/>
        <v>06:21:22.859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6</v>
      </c>
      <c r="CP3255" t="s">
        <v>119</v>
      </c>
      <c r="CQ3255">
        <v>465</v>
      </c>
      <c r="CR3255">
        <v>0</v>
      </c>
      <c r="CW3255">
        <v>4730047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 t="shared" si="1369"/>
        <v>08/29/2020 06:21:19.623</v>
      </c>
      <c r="C3256" t="str">
        <f t="shared" si="1339"/>
        <v>FFDFD3C0</v>
      </c>
      <c r="D3256" t="s">
        <v>121</v>
      </c>
      <c r="E3256">
        <v>11</v>
      </c>
      <c r="F3256">
        <v>1011</v>
      </c>
      <c r="G3256" t="s">
        <v>125</v>
      </c>
      <c r="J3256" t="s">
        <v>123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370"/>
        <v>06:21:22.852</v>
      </c>
      <c r="T3256" t="str">
        <f t="shared" si="1371"/>
        <v>06:21:22.352</v>
      </c>
      <c r="U3256" t="str">
        <f t="shared" si="1340"/>
        <v>A7E2E0</v>
      </c>
      <c r="V3256">
        <v>0</v>
      </c>
      <c r="W3256">
        <v>0</v>
      </c>
      <c r="X3256">
        <v>1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0</v>
      </c>
      <c r="AI3256" t="s">
        <v>1556</v>
      </c>
      <c r="AJ3256">
        <v>38.842162999999999</v>
      </c>
      <c r="AK3256" t="s">
        <v>1557</v>
      </c>
      <c r="AL3256">
        <v>-87.605581000000001</v>
      </c>
      <c r="AM3256">
        <v>100</v>
      </c>
      <c r="AN3256">
        <v>2200</v>
      </c>
      <c r="AO3256" t="s">
        <v>118</v>
      </c>
      <c r="AP3256">
        <v>22</v>
      </c>
      <c r="AQ3256">
        <v>-122</v>
      </c>
      <c r="AR3256">
        <v>-448</v>
      </c>
      <c r="AZ3256">
        <v>4552</v>
      </c>
      <c r="BA3256">
        <v>1</v>
      </c>
      <c r="BB3256" t="str">
        <f t="shared" si="1341"/>
        <v xml:space="preserve">N607SR  </v>
      </c>
      <c r="BC3256">
        <v>1</v>
      </c>
      <c r="BE3256">
        <v>0</v>
      </c>
      <c r="BF3256">
        <v>0</v>
      </c>
      <c r="BG3256">
        <v>0</v>
      </c>
      <c r="BH3256">
        <v>1975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 t="shared" si="1372"/>
        <v>06:21:22.859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5</v>
      </c>
      <c r="CP3256" t="s">
        <v>119</v>
      </c>
      <c r="CQ3256">
        <v>457</v>
      </c>
      <c r="CR3256">
        <v>0</v>
      </c>
      <c r="CW3256">
        <v>15525238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 t="shared" si="1369"/>
        <v>08/29/2020 06:21:19.623</v>
      </c>
      <c r="C3257" t="str">
        <f t="shared" si="1339"/>
        <v>FFDFD3C0</v>
      </c>
      <c r="D3257" t="s">
        <v>113</v>
      </c>
      <c r="E3257">
        <v>5</v>
      </c>
      <c r="H3257">
        <v>163</v>
      </c>
      <c r="I3257" t="s">
        <v>114</v>
      </c>
      <c r="J3257" t="s">
        <v>115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370"/>
        <v>06:21:22.852</v>
      </c>
      <c r="T3257" t="str">
        <f t="shared" si="1371"/>
        <v>06:21:22.352</v>
      </c>
      <c r="U3257" t="str">
        <f t="shared" si="1340"/>
        <v>A7E2E0</v>
      </c>
      <c r="V3257">
        <v>0</v>
      </c>
      <c r="W3257">
        <v>0</v>
      </c>
      <c r="X3257">
        <v>1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0</v>
      </c>
      <c r="AI3257" t="s">
        <v>1556</v>
      </c>
      <c r="AJ3257">
        <v>38.842162999999999</v>
      </c>
      <c r="AK3257" t="s">
        <v>1557</v>
      </c>
      <c r="AL3257">
        <v>-87.605581000000001</v>
      </c>
      <c r="AM3257">
        <v>100</v>
      </c>
      <c r="AN3257">
        <v>2200</v>
      </c>
      <c r="AO3257" t="s">
        <v>118</v>
      </c>
      <c r="AP3257">
        <v>22</v>
      </c>
      <c r="AQ3257">
        <v>-122</v>
      </c>
      <c r="AR3257">
        <v>-448</v>
      </c>
      <c r="AZ3257">
        <v>4552</v>
      </c>
      <c r="BA3257">
        <v>1</v>
      </c>
      <c r="BB3257" t="str">
        <f t="shared" si="1341"/>
        <v xml:space="preserve">N607SR  </v>
      </c>
      <c r="BC3257">
        <v>1</v>
      </c>
      <c r="BE3257">
        <v>0</v>
      </c>
      <c r="BF3257">
        <v>0</v>
      </c>
      <c r="BG3257">
        <v>0</v>
      </c>
      <c r="BH3257">
        <v>1975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 t="shared" si="1372"/>
        <v>06:21:22.859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6</v>
      </c>
      <c r="CP3257" t="s">
        <v>119</v>
      </c>
      <c r="CQ3257">
        <v>465</v>
      </c>
      <c r="CR3257">
        <v>0</v>
      </c>
      <c r="CW3257">
        <v>4730047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 t="shared" si="1369"/>
        <v>08/29/2020 06:21:19.623</v>
      </c>
      <c r="C3258" t="str">
        <f t="shared" si="1339"/>
        <v>FFDFD3C0</v>
      </c>
      <c r="D3258" t="s">
        <v>128</v>
      </c>
      <c r="E3258">
        <v>5</v>
      </c>
      <c r="H3258">
        <v>241</v>
      </c>
      <c r="I3258" t="s">
        <v>129</v>
      </c>
      <c r="J3258" t="s">
        <v>130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370"/>
        <v>06:21:22.852</v>
      </c>
      <c r="T3258" t="str">
        <f t="shared" si="1371"/>
        <v>06:21:22.352</v>
      </c>
      <c r="U3258" t="str">
        <f t="shared" si="1340"/>
        <v>A7E2E0</v>
      </c>
      <c r="V3258">
        <v>0</v>
      </c>
      <c r="W3258">
        <v>0</v>
      </c>
      <c r="X3258">
        <v>1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0</v>
      </c>
      <c r="AI3258" t="s">
        <v>1556</v>
      </c>
      <c r="AJ3258">
        <v>38.842162999999999</v>
      </c>
      <c r="AK3258" t="s">
        <v>1557</v>
      </c>
      <c r="AL3258">
        <v>-87.605581000000001</v>
      </c>
      <c r="AM3258">
        <v>100</v>
      </c>
      <c r="AN3258">
        <v>2200</v>
      </c>
      <c r="AO3258" t="s">
        <v>118</v>
      </c>
      <c r="AP3258">
        <v>22</v>
      </c>
      <c r="AQ3258">
        <v>-122</v>
      </c>
      <c r="AR3258">
        <v>-448</v>
      </c>
      <c r="AZ3258">
        <v>4552</v>
      </c>
      <c r="BA3258">
        <v>1</v>
      </c>
      <c r="BB3258" t="str">
        <f t="shared" si="1341"/>
        <v xml:space="preserve">N607SR  </v>
      </c>
      <c r="BC3258">
        <v>1</v>
      </c>
      <c r="BE3258">
        <v>0</v>
      </c>
      <c r="BF3258">
        <v>0</v>
      </c>
      <c r="BG3258">
        <v>0</v>
      </c>
      <c r="BH3258">
        <v>1975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 t="shared" si="1372"/>
        <v>06:21:22.859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6</v>
      </c>
      <c r="CP3258" t="s">
        <v>119</v>
      </c>
      <c r="CQ3258">
        <v>465</v>
      </c>
      <c r="CR3258">
        <v>0</v>
      </c>
      <c r="CW3258">
        <v>4730047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 t="shared" si="1369"/>
        <v>08/29/2020 06:21:19.623</v>
      </c>
      <c r="C3259" t="str">
        <f t="shared" si="1339"/>
        <v>FFDFD3C0</v>
      </c>
      <c r="D3259" t="s">
        <v>121</v>
      </c>
      <c r="E3259">
        <v>13</v>
      </c>
      <c r="F3259">
        <v>1013</v>
      </c>
      <c r="G3259" t="s">
        <v>122</v>
      </c>
      <c r="J3259" t="s">
        <v>123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370"/>
        <v>06:21:22.852</v>
      </c>
      <c r="T3259" t="str">
        <f t="shared" si="1371"/>
        <v>06:21:22.352</v>
      </c>
      <c r="U3259" t="str">
        <f t="shared" si="1340"/>
        <v>A7E2E0</v>
      </c>
      <c r="V3259">
        <v>0</v>
      </c>
      <c r="W3259">
        <v>0</v>
      </c>
      <c r="X3259">
        <v>1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0</v>
      </c>
      <c r="AI3259" t="s">
        <v>1556</v>
      </c>
      <c r="AJ3259">
        <v>38.842162999999999</v>
      </c>
      <c r="AK3259" t="s">
        <v>1557</v>
      </c>
      <c r="AL3259">
        <v>-87.605581000000001</v>
      </c>
      <c r="AM3259">
        <v>100</v>
      </c>
      <c r="AN3259">
        <v>2200</v>
      </c>
      <c r="AO3259" t="s">
        <v>118</v>
      </c>
      <c r="AP3259">
        <v>22</v>
      </c>
      <c r="AQ3259">
        <v>-122</v>
      </c>
      <c r="AR3259">
        <v>-448</v>
      </c>
      <c r="AZ3259">
        <v>4552</v>
      </c>
      <c r="BA3259">
        <v>1</v>
      </c>
      <c r="BB3259" t="str">
        <f t="shared" si="1341"/>
        <v xml:space="preserve">N607SR  </v>
      </c>
      <c r="BC3259">
        <v>1</v>
      </c>
      <c r="BE3259">
        <v>0</v>
      </c>
      <c r="BF3259">
        <v>0</v>
      </c>
      <c r="BG3259">
        <v>0</v>
      </c>
      <c r="BH3259">
        <v>1975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 t="shared" si="1372"/>
        <v>06:21:22.859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6</v>
      </c>
      <c r="CP3259" t="s">
        <v>119</v>
      </c>
      <c r="CQ3259">
        <v>465</v>
      </c>
      <c r="CR3259">
        <v>0</v>
      </c>
      <c r="CW3259">
        <v>4730047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 t="shared" ref="A3260:A3265" si="1373">"08/29/2020 06:21:20.713"</f>
        <v>08/29/2020 06:21:20.713</v>
      </c>
      <c r="C3260" t="str">
        <f t="shared" si="1339"/>
        <v>FFDFD3C0</v>
      </c>
      <c r="D3260" t="s">
        <v>128</v>
      </c>
      <c r="E3260">
        <v>5</v>
      </c>
      <c r="H3260">
        <v>241</v>
      </c>
      <c r="I3260" t="s">
        <v>129</v>
      </c>
      <c r="J3260" t="s">
        <v>130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ref="S3260:S3265" si="1374">"06:21:23.945"</f>
        <v>06:21:23.945</v>
      </c>
      <c r="T3260" t="str">
        <f t="shared" ref="T3260:T3265" si="1375">"06:21:23.545"</f>
        <v>06:21:23.545</v>
      </c>
      <c r="U3260" t="str">
        <f t="shared" si="1340"/>
        <v>A7E2E0</v>
      </c>
      <c r="V3260">
        <v>0</v>
      </c>
      <c r="W3260">
        <v>0</v>
      </c>
      <c r="X3260">
        <v>1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0</v>
      </c>
      <c r="AI3260" t="s">
        <v>1558</v>
      </c>
      <c r="AJ3260">
        <v>38.841518999999998</v>
      </c>
      <c r="AK3260" t="s">
        <v>1559</v>
      </c>
      <c r="AL3260">
        <v>-87.605452999999997</v>
      </c>
      <c r="AM3260">
        <v>100</v>
      </c>
      <c r="AN3260">
        <v>2200</v>
      </c>
      <c r="AO3260" t="s">
        <v>118</v>
      </c>
      <c r="AP3260">
        <v>23</v>
      </c>
      <c r="AQ3260">
        <v>-122</v>
      </c>
      <c r="AR3260">
        <v>-256</v>
      </c>
      <c r="AZ3260">
        <v>4552</v>
      </c>
      <c r="BA3260">
        <v>1</v>
      </c>
      <c r="BB3260" t="str">
        <f t="shared" si="1341"/>
        <v xml:space="preserve">N607SR  </v>
      </c>
      <c r="BC3260">
        <v>1</v>
      </c>
      <c r="BE3260">
        <v>0</v>
      </c>
      <c r="BF3260">
        <v>0</v>
      </c>
      <c r="BG3260">
        <v>0</v>
      </c>
      <c r="BH3260">
        <v>1975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 t="shared" ref="BW3260:BW3265" si="1376">"06:21:23.953"</f>
        <v>06:21:23.953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6</v>
      </c>
      <c r="CP3260" t="s">
        <v>119</v>
      </c>
      <c r="CQ3260">
        <v>465</v>
      </c>
      <c r="CR3260">
        <v>0</v>
      </c>
      <c r="CW3260">
        <v>4730083</v>
      </c>
      <c r="CY3260">
        <v>1</v>
      </c>
      <c r="CZ3260">
        <v>0</v>
      </c>
      <c r="DA3260">
        <v>0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 t="shared" si="1373"/>
        <v>08/29/2020 06:21:20.713</v>
      </c>
      <c r="C3261" t="str">
        <f t="shared" si="1339"/>
        <v>FFDFD3C0</v>
      </c>
      <c r="D3261" t="s">
        <v>121</v>
      </c>
      <c r="E3261">
        <v>13</v>
      </c>
      <c r="F3261">
        <v>1013</v>
      </c>
      <c r="G3261" t="s">
        <v>122</v>
      </c>
      <c r="J3261" t="s">
        <v>123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374"/>
        <v>06:21:23.945</v>
      </c>
      <c r="T3261" t="str">
        <f t="shared" si="1375"/>
        <v>06:21:23.545</v>
      </c>
      <c r="U3261" t="str">
        <f t="shared" si="1340"/>
        <v>A7E2E0</v>
      </c>
      <c r="V3261">
        <v>0</v>
      </c>
      <c r="W3261">
        <v>0</v>
      </c>
      <c r="X3261">
        <v>1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0</v>
      </c>
      <c r="AI3261" t="s">
        <v>1558</v>
      </c>
      <c r="AJ3261">
        <v>38.841518999999998</v>
      </c>
      <c r="AK3261" t="s">
        <v>1559</v>
      </c>
      <c r="AL3261">
        <v>-87.605452999999997</v>
      </c>
      <c r="AM3261">
        <v>100</v>
      </c>
      <c r="AN3261">
        <v>2200</v>
      </c>
      <c r="AO3261" t="s">
        <v>118</v>
      </c>
      <c r="AP3261">
        <v>23</v>
      </c>
      <c r="AQ3261">
        <v>-122</v>
      </c>
      <c r="AR3261">
        <v>-256</v>
      </c>
      <c r="AZ3261">
        <v>4552</v>
      </c>
      <c r="BA3261">
        <v>1</v>
      </c>
      <c r="BB3261" t="str">
        <f t="shared" si="1341"/>
        <v xml:space="preserve">N607SR  </v>
      </c>
      <c r="BC3261">
        <v>1</v>
      </c>
      <c r="BE3261">
        <v>0</v>
      </c>
      <c r="BF3261">
        <v>0</v>
      </c>
      <c r="BG3261">
        <v>0</v>
      </c>
      <c r="BH3261">
        <v>1975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 t="shared" si="1376"/>
        <v>06:21:23.953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6</v>
      </c>
      <c r="CP3261" t="s">
        <v>119</v>
      </c>
      <c r="CQ3261">
        <v>465</v>
      </c>
      <c r="CR3261">
        <v>0</v>
      </c>
      <c r="CW3261">
        <v>4730083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 t="shared" si="1373"/>
        <v>08/29/2020 06:21:20.713</v>
      </c>
      <c r="C3262" t="str">
        <f t="shared" si="1339"/>
        <v>FFDFD3C0</v>
      </c>
      <c r="D3262" t="s">
        <v>121</v>
      </c>
      <c r="E3262">
        <v>10</v>
      </c>
      <c r="F3262">
        <v>1010</v>
      </c>
      <c r="G3262" t="s">
        <v>114</v>
      </c>
      <c r="J3262" t="s">
        <v>123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374"/>
        <v>06:21:23.945</v>
      </c>
      <c r="T3262" t="str">
        <f t="shared" si="1375"/>
        <v>06:21:23.545</v>
      </c>
      <c r="U3262" t="str">
        <f t="shared" si="1340"/>
        <v>A7E2E0</v>
      </c>
      <c r="V3262">
        <v>0</v>
      </c>
      <c r="W3262">
        <v>0</v>
      </c>
      <c r="X3262">
        <v>1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0</v>
      </c>
      <c r="AI3262" t="s">
        <v>1558</v>
      </c>
      <c r="AJ3262">
        <v>38.841518999999998</v>
      </c>
      <c r="AK3262" t="s">
        <v>1559</v>
      </c>
      <c r="AL3262">
        <v>-87.605452999999997</v>
      </c>
      <c r="AM3262">
        <v>100</v>
      </c>
      <c r="AN3262">
        <v>2200</v>
      </c>
      <c r="AO3262" t="s">
        <v>118</v>
      </c>
      <c r="AP3262">
        <v>23</v>
      </c>
      <c r="AQ3262">
        <v>-122</v>
      </c>
      <c r="AR3262">
        <v>-256</v>
      </c>
      <c r="AZ3262">
        <v>4552</v>
      </c>
      <c r="BA3262">
        <v>1</v>
      </c>
      <c r="BB3262" t="str">
        <f t="shared" si="1341"/>
        <v xml:space="preserve">N607SR  </v>
      </c>
      <c r="BC3262">
        <v>1</v>
      </c>
      <c r="BE3262">
        <v>0</v>
      </c>
      <c r="BF3262">
        <v>0</v>
      </c>
      <c r="BG3262">
        <v>0</v>
      </c>
      <c r="BH3262">
        <v>1975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 t="shared" si="1376"/>
        <v>06:21:23.953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6</v>
      </c>
      <c r="CP3262" t="s">
        <v>119</v>
      </c>
      <c r="CQ3262">
        <v>465</v>
      </c>
      <c r="CR3262">
        <v>0</v>
      </c>
      <c r="CW3262">
        <v>4730083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 t="shared" si="1373"/>
        <v>08/29/2020 06:21:20.713</v>
      </c>
      <c r="C3263" t="str">
        <f t="shared" si="1339"/>
        <v>FFDFD3C0</v>
      </c>
      <c r="D3263" t="s">
        <v>939</v>
      </c>
      <c r="E3263">
        <v>10</v>
      </c>
      <c r="H3263">
        <v>79</v>
      </c>
      <c r="I3263" t="s">
        <v>940</v>
      </c>
      <c r="J3263" t="s">
        <v>130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374"/>
        <v>06:21:23.945</v>
      </c>
      <c r="T3263" t="str">
        <f t="shared" si="1375"/>
        <v>06:21:23.545</v>
      </c>
      <c r="U3263" t="str">
        <f t="shared" si="1340"/>
        <v>A7E2E0</v>
      </c>
      <c r="V3263">
        <v>0</v>
      </c>
      <c r="W3263">
        <v>0</v>
      </c>
      <c r="X3263">
        <v>1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0</v>
      </c>
      <c r="AI3263" t="s">
        <v>1558</v>
      </c>
      <c r="AJ3263">
        <v>38.841518999999998</v>
      </c>
      <c r="AK3263" t="s">
        <v>1559</v>
      </c>
      <c r="AL3263">
        <v>-87.605452999999997</v>
      </c>
      <c r="AM3263">
        <v>100</v>
      </c>
      <c r="AN3263">
        <v>2200</v>
      </c>
      <c r="AO3263" t="s">
        <v>118</v>
      </c>
      <c r="AP3263">
        <v>23</v>
      </c>
      <c r="AQ3263">
        <v>-122</v>
      </c>
      <c r="AR3263">
        <v>-256</v>
      </c>
      <c r="AZ3263">
        <v>4552</v>
      </c>
      <c r="BA3263">
        <v>1</v>
      </c>
      <c r="BB3263" t="str">
        <f t="shared" si="1341"/>
        <v xml:space="preserve">N607SR  </v>
      </c>
      <c r="BC3263">
        <v>1</v>
      </c>
      <c r="BE3263">
        <v>0</v>
      </c>
      <c r="BF3263">
        <v>0</v>
      </c>
      <c r="BG3263">
        <v>0</v>
      </c>
      <c r="BH3263">
        <v>1975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 t="shared" si="1376"/>
        <v>06:21:23.953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6</v>
      </c>
      <c r="CP3263" t="s">
        <v>119</v>
      </c>
      <c r="CQ3263">
        <v>465</v>
      </c>
      <c r="CR3263">
        <v>0</v>
      </c>
      <c r="CW3263">
        <v>4730083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 t="shared" si="1373"/>
        <v>08/29/2020 06:21:20.713</v>
      </c>
      <c r="C3264" t="str">
        <f t="shared" si="1339"/>
        <v>FFDFD3C0</v>
      </c>
      <c r="D3264" t="s">
        <v>121</v>
      </c>
      <c r="E3264">
        <v>11</v>
      </c>
      <c r="F3264">
        <v>1011</v>
      </c>
      <c r="G3264" t="s">
        <v>125</v>
      </c>
      <c r="J3264" t="s">
        <v>123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374"/>
        <v>06:21:23.945</v>
      </c>
      <c r="T3264" t="str">
        <f t="shared" si="1375"/>
        <v>06:21:23.545</v>
      </c>
      <c r="U3264" t="str">
        <f t="shared" si="1340"/>
        <v>A7E2E0</v>
      </c>
      <c r="V3264">
        <v>0</v>
      </c>
      <c r="W3264">
        <v>0</v>
      </c>
      <c r="X3264">
        <v>1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0</v>
      </c>
      <c r="AI3264" t="s">
        <v>1558</v>
      </c>
      <c r="AJ3264">
        <v>38.841518999999998</v>
      </c>
      <c r="AK3264" t="s">
        <v>1559</v>
      </c>
      <c r="AL3264">
        <v>-87.605452999999997</v>
      </c>
      <c r="AM3264">
        <v>100</v>
      </c>
      <c r="AN3264">
        <v>2200</v>
      </c>
      <c r="AO3264" t="s">
        <v>118</v>
      </c>
      <c r="AP3264">
        <v>23</v>
      </c>
      <c r="AQ3264">
        <v>-122</v>
      </c>
      <c r="AR3264">
        <v>-256</v>
      </c>
      <c r="AZ3264">
        <v>4552</v>
      </c>
      <c r="BA3264">
        <v>1</v>
      </c>
      <c r="BB3264" t="str">
        <f t="shared" si="1341"/>
        <v xml:space="preserve">N607SR  </v>
      </c>
      <c r="BC3264">
        <v>1</v>
      </c>
      <c r="BE3264">
        <v>0</v>
      </c>
      <c r="BF3264">
        <v>0</v>
      </c>
      <c r="BG3264">
        <v>0</v>
      </c>
      <c r="BH3264">
        <v>1975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 t="shared" si="1376"/>
        <v>06:21:23.953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5</v>
      </c>
      <c r="CP3264" t="s">
        <v>119</v>
      </c>
      <c r="CQ3264">
        <v>457</v>
      </c>
      <c r="CR3264">
        <v>0</v>
      </c>
      <c r="CW3264">
        <v>15525274</v>
      </c>
      <c r="CY3264">
        <v>1</v>
      </c>
      <c r="CZ3264">
        <v>0</v>
      </c>
      <c r="DA3264">
        <v>1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 t="shared" si="1373"/>
        <v>08/29/2020 06:21:20.713</v>
      </c>
      <c r="C3265" t="str">
        <f t="shared" si="1339"/>
        <v>FFDFD3C0</v>
      </c>
      <c r="D3265" t="s">
        <v>113</v>
      </c>
      <c r="E3265">
        <v>5</v>
      </c>
      <c r="H3265">
        <v>163</v>
      </c>
      <c r="I3265" t="s">
        <v>114</v>
      </c>
      <c r="J3265" t="s">
        <v>115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si="1374"/>
        <v>06:21:23.945</v>
      </c>
      <c r="T3265" t="str">
        <f t="shared" si="1375"/>
        <v>06:21:23.545</v>
      </c>
      <c r="U3265" t="str">
        <f t="shared" si="1340"/>
        <v>A7E2E0</v>
      </c>
      <c r="V3265">
        <v>0</v>
      </c>
      <c r="W3265">
        <v>0</v>
      </c>
      <c r="X3265">
        <v>1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0</v>
      </c>
      <c r="AI3265" t="s">
        <v>1558</v>
      </c>
      <c r="AJ3265">
        <v>38.841518999999998</v>
      </c>
      <c r="AK3265" t="s">
        <v>1559</v>
      </c>
      <c r="AL3265">
        <v>-87.605452999999997</v>
      </c>
      <c r="AM3265">
        <v>100</v>
      </c>
      <c r="AN3265">
        <v>2200</v>
      </c>
      <c r="AO3265" t="s">
        <v>118</v>
      </c>
      <c r="AP3265">
        <v>23</v>
      </c>
      <c r="AQ3265">
        <v>-122</v>
      </c>
      <c r="AR3265">
        <v>-256</v>
      </c>
      <c r="AZ3265">
        <v>4552</v>
      </c>
      <c r="BA3265">
        <v>1</v>
      </c>
      <c r="BB3265" t="str">
        <f t="shared" si="1341"/>
        <v xml:space="preserve">N607SR  </v>
      </c>
      <c r="BC3265">
        <v>1</v>
      </c>
      <c r="BE3265">
        <v>0</v>
      </c>
      <c r="BF3265">
        <v>0</v>
      </c>
      <c r="BG3265">
        <v>0</v>
      </c>
      <c r="BH3265">
        <v>1975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 t="shared" si="1376"/>
        <v>06:21:23.953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6</v>
      </c>
      <c r="CP3265" t="s">
        <v>119</v>
      </c>
      <c r="CQ3265">
        <v>465</v>
      </c>
      <c r="CR3265">
        <v>0</v>
      </c>
      <c r="CW3265">
        <v>4730083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 t="shared" ref="A3266:A3271" si="1377">"08/29/2020 06:21:21.847"</f>
        <v>08/29/2020 06:21:21.847</v>
      </c>
      <c r="C3266" t="str">
        <f t="shared" ref="C3266:C3329" si="1378">"FFDFD3C0"</f>
        <v>FFDFD3C0</v>
      </c>
      <c r="D3266" t="s">
        <v>121</v>
      </c>
      <c r="E3266">
        <v>10</v>
      </c>
      <c r="F3266">
        <v>1010</v>
      </c>
      <c r="G3266" t="s">
        <v>114</v>
      </c>
      <c r="J3266" t="s">
        <v>123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ref="S3266:S3271" si="1379">"06:21:25.063"</f>
        <v>06:21:25.063</v>
      </c>
      <c r="T3266" t="str">
        <f t="shared" ref="T3266:T3271" si="1380">"06:21:24.563"</f>
        <v>06:21:24.563</v>
      </c>
      <c r="U3266" t="str">
        <f t="shared" ref="U3266:U3329" si="1381">"A7E2E0"</f>
        <v>A7E2E0</v>
      </c>
      <c r="V3266">
        <v>0</v>
      </c>
      <c r="W3266">
        <v>0</v>
      </c>
      <c r="X3266">
        <v>1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0</v>
      </c>
      <c r="AI3266" t="s">
        <v>1560</v>
      </c>
      <c r="AJ3266">
        <v>38.840896999999998</v>
      </c>
      <c r="AK3266" t="s">
        <v>1561</v>
      </c>
      <c r="AL3266">
        <v>-87.605281000000005</v>
      </c>
      <c r="AM3266">
        <v>100</v>
      </c>
      <c r="AN3266">
        <v>2200</v>
      </c>
      <c r="AO3266" t="s">
        <v>118</v>
      </c>
      <c r="AP3266">
        <v>23</v>
      </c>
      <c r="AQ3266">
        <v>-122</v>
      </c>
      <c r="AR3266">
        <v>-256</v>
      </c>
      <c r="AZ3266">
        <v>4552</v>
      </c>
      <c r="BA3266">
        <v>1</v>
      </c>
      <c r="BB3266" t="str">
        <f t="shared" ref="BB3266:BB3329" si="1382">"N607SR  "</f>
        <v xml:space="preserve">N607SR  </v>
      </c>
      <c r="BC3266">
        <v>1</v>
      </c>
      <c r="BE3266">
        <v>0</v>
      </c>
      <c r="BF3266">
        <v>0</v>
      </c>
      <c r="BG3266">
        <v>0</v>
      </c>
      <c r="BH3266">
        <v>1975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 t="shared" ref="BW3266:BW3271" si="1383">"06:21:25.064"</f>
        <v>06:21:25.064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6</v>
      </c>
      <c r="CP3266" t="s">
        <v>119</v>
      </c>
      <c r="CQ3266">
        <v>465</v>
      </c>
      <c r="CR3266">
        <v>0</v>
      </c>
      <c r="CW3266">
        <v>4730116</v>
      </c>
      <c r="CY3266">
        <v>1</v>
      </c>
      <c r="CZ3266">
        <v>0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 t="shared" si="1377"/>
        <v>08/29/2020 06:21:21.847</v>
      </c>
      <c r="C3267" t="str">
        <f t="shared" si="1378"/>
        <v>FFDFD3C0</v>
      </c>
      <c r="D3267" t="s">
        <v>939</v>
      </c>
      <c r="E3267">
        <v>10</v>
      </c>
      <c r="H3267">
        <v>79</v>
      </c>
      <c r="I3267" t="s">
        <v>940</v>
      </c>
      <c r="J3267" t="s">
        <v>130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 t="shared" si="1379"/>
        <v>06:21:25.063</v>
      </c>
      <c r="T3267" t="str">
        <f t="shared" si="1380"/>
        <v>06:21:24.563</v>
      </c>
      <c r="U3267" t="str">
        <f t="shared" si="1381"/>
        <v>A7E2E0</v>
      </c>
      <c r="V3267">
        <v>0</v>
      </c>
      <c r="W3267">
        <v>0</v>
      </c>
      <c r="X3267">
        <v>1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0</v>
      </c>
      <c r="AI3267" t="s">
        <v>1560</v>
      </c>
      <c r="AJ3267">
        <v>38.840896999999998</v>
      </c>
      <c r="AK3267" t="s">
        <v>1561</v>
      </c>
      <c r="AL3267">
        <v>-87.605281000000005</v>
      </c>
      <c r="AM3267">
        <v>100</v>
      </c>
      <c r="AN3267">
        <v>2200</v>
      </c>
      <c r="AO3267" t="s">
        <v>118</v>
      </c>
      <c r="AP3267">
        <v>23</v>
      </c>
      <c r="AQ3267">
        <v>-122</v>
      </c>
      <c r="AR3267">
        <v>-256</v>
      </c>
      <c r="AZ3267">
        <v>4552</v>
      </c>
      <c r="BA3267">
        <v>1</v>
      </c>
      <c r="BB3267" t="str">
        <f t="shared" si="1382"/>
        <v xml:space="preserve">N607SR  </v>
      </c>
      <c r="BC3267">
        <v>1</v>
      </c>
      <c r="BE3267">
        <v>0</v>
      </c>
      <c r="BF3267">
        <v>0</v>
      </c>
      <c r="BG3267">
        <v>0</v>
      </c>
      <c r="BH3267">
        <v>1975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 t="shared" si="1383"/>
        <v>06:21:25.064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6</v>
      </c>
      <c r="CP3267" t="s">
        <v>119</v>
      </c>
      <c r="CQ3267">
        <v>465</v>
      </c>
      <c r="CR3267">
        <v>0</v>
      </c>
      <c r="CW3267">
        <v>4730116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 t="shared" si="1377"/>
        <v>08/29/2020 06:21:21.847</v>
      </c>
      <c r="C3268" t="str">
        <f t="shared" si="1378"/>
        <v>FFDFD3C0</v>
      </c>
      <c r="D3268" t="s">
        <v>121</v>
      </c>
      <c r="E3268">
        <v>11</v>
      </c>
      <c r="F3268">
        <v>1011</v>
      </c>
      <c r="G3268" t="s">
        <v>125</v>
      </c>
      <c r="J3268" t="s">
        <v>123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 t="shared" si="1379"/>
        <v>06:21:25.063</v>
      </c>
      <c r="T3268" t="str">
        <f t="shared" si="1380"/>
        <v>06:21:24.563</v>
      </c>
      <c r="U3268" t="str">
        <f t="shared" si="1381"/>
        <v>A7E2E0</v>
      </c>
      <c r="V3268">
        <v>0</v>
      </c>
      <c r="W3268">
        <v>0</v>
      </c>
      <c r="X3268">
        <v>1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0</v>
      </c>
      <c r="AI3268" t="s">
        <v>1560</v>
      </c>
      <c r="AJ3268">
        <v>38.840896999999998</v>
      </c>
      <c r="AK3268" t="s">
        <v>1561</v>
      </c>
      <c r="AL3268">
        <v>-87.605281000000005</v>
      </c>
      <c r="AM3268">
        <v>100</v>
      </c>
      <c r="AN3268">
        <v>2200</v>
      </c>
      <c r="AO3268" t="s">
        <v>118</v>
      </c>
      <c r="AP3268">
        <v>23</v>
      </c>
      <c r="AQ3268">
        <v>-122</v>
      </c>
      <c r="AR3268">
        <v>-256</v>
      </c>
      <c r="AZ3268">
        <v>4552</v>
      </c>
      <c r="BA3268">
        <v>1</v>
      </c>
      <c r="BB3268" t="str">
        <f t="shared" si="1382"/>
        <v xml:space="preserve">N607SR  </v>
      </c>
      <c r="BC3268">
        <v>1</v>
      </c>
      <c r="BE3268">
        <v>0</v>
      </c>
      <c r="BF3268">
        <v>0</v>
      </c>
      <c r="BG3268">
        <v>0</v>
      </c>
      <c r="BH3268">
        <v>1975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 t="shared" si="1383"/>
        <v>06:21:25.064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6</v>
      </c>
      <c r="CP3268" t="s">
        <v>119</v>
      </c>
      <c r="CQ3268">
        <v>457</v>
      </c>
      <c r="CR3268">
        <v>0</v>
      </c>
      <c r="CW3268">
        <v>15525305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 t="shared" si="1377"/>
        <v>08/29/2020 06:21:21.847</v>
      </c>
      <c r="C3269" t="str">
        <f t="shared" si="1378"/>
        <v>FFDFD3C0</v>
      </c>
      <c r="D3269" t="s">
        <v>113</v>
      </c>
      <c r="E3269">
        <v>5</v>
      </c>
      <c r="H3269">
        <v>163</v>
      </c>
      <c r="I3269" t="s">
        <v>114</v>
      </c>
      <c r="J3269" t="s">
        <v>115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si="1379"/>
        <v>06:21:25.063</v>
      </c>
      <c r="T3269" t="str">
        <f t="shared" si="1380"/>
        <v>06:21:24.563</v>
      </c>
      <c r="U3269" t="str">
        <f t="shared" si="1381"/>
        <v>A7E2E0</v>
      </c>
      <c r="V3269">
        <v>0</v>
      </c>
      <c r="W3269">
        <v>0</v>
      </c>
      <c r="X3269">
        <v>1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0</v>
      </c>
      <c r="AI3269" t="s">
        <v>1560</v>
      </c>
      <c r="AJ3269">
        <v>38.840896999999998</v>
      </c>
      <c r="AK3269" t="s">
        <v>1561</v>
      </c>
      <c r="AL3269">
        <v>-87.605281000000005</v>
      </c>
      <c r="AM3269">
        <v>100</v>
      </c>
      <c r="AN3269">
        <v>2200</v>
      </c>
      <c r="AO3269" t="s">
        <v>118</v>
      </c>
      <c r="AP3269">
        <v>23</v>
      </c>
      <c r="AQ3269">
        <v>-122</v>
      </c>
      <c r="AR3269">
        <v>-256</v>
      </c>
      <c r="AZ3269">
        <v>4552</v>
      </c>
      <c r="BA3269">
        <v>1</v>
      </c>
      <c r="BB3269" t="str">
        <f t="shared" si="1382"/>
        <v xml:space="preserve">N607SR  </v>
      </c>
      <c r="BC3269">
        <v>1</v>
      </c>
      <c r="BE3269">
        <v>0</v>
      </c>
      <c r="BF3269">
        <v>0</v>
      </c>
      <c r="BG3269">
        <v>0</v>
      </c>
      <c r="BH3269">
        <v>1975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 t="shared" si="1383"/>
        <v>06:21:25.064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6</v>
      </c>
      <c r="CP3269" t="s">
        <v>119</v>
      </c>
      <c r="CQ3269">
        <v>465</v>
      </c>
      <c r="CR3269">
        <v>0</v>
      </c>
      <c r="CW3269">
        <v>4730116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 t="shared" si="1377"/>
        <v>08/29/2020 06:21:21.847</v>
      </c>
      <c r="C3270" t="str">
        <f t="shared" si="1378"/>
        <v>FFDFD3C0</v>
      </c>
      <c r="D3270" t="s">
        <v>128</v>
      </c>
      <c r="E3270">
        <v>5</v>
      </c>
      <c r="H3270">
        <v>241</v>
      </c>
      <c r="I3270" t="s">
        <v>129</v>
      </c>
      <c r="J3270" t="s">
        <v>130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si="1379"/>
        <v>06:21:25.063</v>
      </c>
      <c r="T3270" t="str">
        <f t="shared" si="1380"/>
        <v>06:21:24.563</v>
      </c>
      <c r="U3270" t="str">
        <f t="shared" si="1381"/>
        <v>A7E2E0</v>
      </c>
      <c r="V3270">
        <v>0</v>
      </c>
      <c r="W3270">
        <v>0</v>
      </c>
      <c r="X3270">
        <v>1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0</v>
      </c>
      <c r="AI3270" t="s">
        <v>1560</v>
      </c>
      <c r="AJ3270">
        <v>38.840896999999998</v>
      </c>
      <c r="AK3270" t="s">
        <v>1561</v>
      </c>
      <c r="AL3270">
        <v>-87.605281000000005</v>
      </c>
      <c r="AM3270">
        <v>100</v>
      </c>
      <c r="AN3270">
        <v>2200</v>
      </c>
      <c r="AO3270" t="s">
        <v>118</v>
      </c>
      <c r="AP3270">
        <v>23</v>
      </c>
      <c r="AQ3270">
        <v>-122</v>
      </c>
      <c r="AR3270">
        <v>-256</v>
      </c>
      <c r="AZ3270">
        <v>4552</v>
      </c>
      <c r="BA3270">
        <v>1</v>
      </c>
      <c r="BB3270" t="str">
        <f t="shared" si="1382"/>
        <v xml:space="preserve">N607SR  </v>
      </c>
      <c r="BC3270">
        <v>1</v>
      </c>
      <c r="BE3270">
        <v>0</v>
      </c>
      <c r="BF3270">
        <v>0</v>
      </c>
      <c r="BG3270">
        <v>0</v>
      </c>
      <c r="BH3270">
        <v>1975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 t="shared" si="1383"/>
        <v>06:21:25.064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6</v>
      </c>
      <c r="CP3270" t="s">
        <v>119</v>
      </c>
      <c r="CQ3270">
        <v>465</v>
      </c>
      <c r="CR3270">
        <v>0</v>
      </c>
      <c r="CW3270">
        <v>4730116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 t="shared" si="1377"/>
        <v>08/29/2020 06:21:21.847</v>
      </c>
      <c r="C3271" t="str">
        <f t="shared" si="1378"/>
        <v>FFDFD3C0</v>
      </c>
      <c r="D3271" t="s">
        <v>121</v>
      </c>
      <c r="E3271">
        <v>13</v>
      </c>
      <c r="F3271">
        <v>1013</v>
      </c>
      <c r="G3271" t="s">
        <v>122</v>
      </c>
      <c r="J3271" t="s">
        <v>123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379"/>
        <v>06:21:25.063</v>
      </c>
      <c r="T3271" t="str">
        <f t="shared" si="1380"/>
        <v>06:21:24.563</v>
      </c>
      <c r="U3271" t="str">
        <f t="shared" si="1381"/>
        <v>A7E2E0</v>
      </c>
      <c r="V3271">
        <v>0</v>
      </c>
      <c r="W3271">
        <v>0</v>
      </c>
      <c r="X3271">
        <v>1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0</v>
      </c>
      <c r="AI3271" t="s">
        <v>1560</v>
      </c>
      <c r="AJ3271">
        <v>38.840896999999998</v>
      </c>
      <c r="AK3271" t="s">
        <v>1561</v>
      </c>
      <c r="AL3271">
        <v>-87.605281000000005</v>
      </c>
      <c r="AM3271">
        <v>100</v>
      </c>
      <c r="AN3271">
        <v>2200</v>
      </c>
      <c r="AO3271" t="s">
        <v>118</v>
      </c>
      <c r="AP3271">
        <v>23</v>
      </c>
      <c r="AQ3271">
        <v>-122</v>
      </c>
      <c r="AR3271">
        <v>-256</v>
      </c>
      <c r="AZ3271">
        <v>4552</v>
      </c>
      <c r="BA3271">
        <v>1</v>
      </c>
      <c r="BB3271" t="str">
        <f t="shared" si="1382"/>
        <v xml:space="preserve">N607SR  </v>
      </c>
      <c r="BC3271">
        <v>1</v>
      </c>
      <c r="BE3271">
        <v>0</v>
      </c>
      <c r="BF3271">
        <v>0</v>
      </c>
      <c r="BG3271">
        <v>0</v>
      </c>
      <c r="BH3271">
        <v>1975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 t="shared" si="1383"/>
        <v>06:21:25.064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6</v>
      </c>
      <c r="CP3271" t="s">
        <v>119</v>
      </c>
      <c r="CQ3271">
        <v>465</v>
      </c>
      <c r="CR3271">
        <v>0</v>
      </c>
      <c r="CW3271">
        <v>4730116</v>
      </c>
      <c r="CY3271">
        <v>1</v>
      </c>
      <c r="CZ3271">
        <v>0</v>
      </c>
      <c r="DA3271">
        <v>1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 t="shared" ref="A3272:A3277" si="1384">"08/29/2020 06:21:22.656"</f>
        <v>08/29/2020 06:21:22.656</v>
      </c>
      <c r="C3272" t="str">
        <f t="shared" si="1378"/>
        <v>FFDFD3C0</v>
      </c>
      <c r="D3272" t="s">
        <v>121</v>
      </c>
      <c r="E3272">
        <v>10</v>
      </c>
      <c r="F3272">
        <v>1010</v>
      </c>
      <c r="G3272" t="s">
        <v>114</v>
      </c>
      <c r="J3272" t="s">
        <v>123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ref="S3272:S3277" si="1385">"06:21:25.898"</f>
        <v>06:21:25.898</v>
      </c>
      <c r="T3272" t="str">
        <f t="shared" ref="T3272:T3277" si="1386">"06:21:25.498"</f>
        <v>06:21:25.498</v>
      </c>
      <c r="U3272" t="str">
        <f t="shared" si="1381"/>
        <v>A7E2E0</v>
      </c>
      <c r="V3272">
        <v>0</v>
      </c>
      <c r="W3272">
        <v>0</v>
      </c>
      <c r="X3272">
        <v>1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0</v>
      </c>
      <c r="AI3272" t="s">
        <v>1562</v>
      </c>
      <c r="AJ3272">
        <v>38.840488999999998</v>
      </c>
      <c r="AK3272" t="s">
        <v>1563</v>
      </c>
      <c r="AL3272">
        <v>-87.605216999999996</v>
      </c>
      <c r="AM3272">
        <v>100</v>
      </c>
      <c r="AN3272">
        <v>2200</v>
      </c>
      <c r="AO3272" t="s">
        <v>118</v>
      </c>
      <c r="AP3272">
        <v>23</v>
      </c>
      <c r="AQ3272">
        <v>-122</v>
      </c>
      <c r="AR3272">
        <v>-320</v>
      </c>
      <c r="AZ3272">
        <v>4552</v>
      </c>
      <c r="BA3272">
        <v>1</v>
      </c>
      <c r="BB3272" t="str">
        <f t="shared" si="1382"/>
        <v xml:space="preserve">N607SR  </v>
      </c>
      <c r="BC3272">
        <v>1</v>
      </c>
      <c r="BE3272">
        <v>0</v>
      </c>
      <c r="BF3272">
        <v>0</v>
      </c>
      <c r="BG3272">
        <v>0</v>
      </c>
      <c r="BH3272">
        <v>1975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 t="shared" ref="BW3272:BW3277" si="1387">"06:21:25.900"</f>
        <v>06:21:25.900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6</v>
      </c>
      <c r="CP3272" t="s">
        <v>119</v>
      </c>
      <c r="CQ3272">
        <v>465</v>
      </c>
      <c r="CR3272">
        <v>0</v>
      </c>
      <c r="CW3272">
        <v>4730143</v>
      </c>
      <c r="CY3272">
        <v>1</v>
      </c>
      <c r="CZ3272">
        <v>0</v>
      </c>
      <c r="DA3272">
        <v>0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 t="shared" si="1384"/>
        <v>08/29/2020 06:21:22.656</v>
      </c>
      <c r="C3273" t="str">
        <f t="shared" si="1378"/>
        <v>FFDFD3C0</v>
      </c>
      <c r="D3273" t="s">
        <v>939</v>
      </c>
      <c r="E3273">
        <v>10</v>
      </c>
      <c r="H3273">
        <v>79</v>
      </c>
      <c r="I3273" t="s">
        <v>940</v>
      </c>
      <c r="J3273" t="s">
        <v>130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si="1385"/>
        <v>06:21:25.898</v>
      </c>
      <c r="T3273" t="str">
        <f t="shared" si="1386"/>
        <v>06:21:25.498</v>
      </c>
      <c r="U3273" t="str">
        <f t="shared" si="1381"/>
        <v>A7E2E0</v>
      </c>
      <c r="V3273">
        <v>0</v>
      </c>
      <c r="W3273">
        <v>0</v>
      </c>
      <c r="X3273">
        <v>1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0</v>
      </c>
      <c r="AI3273" t="s">
        <v>1562</v>
      </c>
      <c r="AJ3273">
        <v>38.840488999999998</v>
      </c>
      <c r="AK3273" t="s">
        <v>1563</v>
      </c>
      <c r="AL3273">
        <v>-87.605216999999996</v>
      </c>
      <c r="AM3273">
        <v>100</v>
      </c>
      <c r="AN3273">
        <v>2200</v>
      </c>
      <c r="AO3273" t="s">
        <v>118</v>
      </c>
      <c r="AP3273">
        <v>23</v>
      </c>
      <c r="AQ3273">
        <v>-122</v>
      </c>
      <c r="AR3273">
        <v>-320</v>
      </c>
      <c r="AZ3273">
        <v>4552</v>
      </c>
      <c r="BA3273">
        <v>1</v>
      </c>
      <c r="BB3273" t="str">
        <f t="shared" si="1382"/>
        <v xml:space="preserve">N607SR  </v>
      </c>
      <c r="BC3273">
        <v>1</v>
      </c>
      <c r="BE3273">
        <v>0</v>
      </c>
      <c r="BF3273">
        <v>0</v>
      </c>
      <c r="BG3273">
        <v>0</v>
      </c>
      <c r="BH3273">
        <v>1975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 t="shared" si="1387"/>
        <v>06:21:25.900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6</v>
      </c>
      <c r="CP3273" t="s">
        <v>119</v>
      </c>
      <c r="CQ3273">
        <v>465</v>
      </c>
      <c r="CR3273">
        <v>0</v>
      </c>
      <c r="CW3273">
        <v>4730143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 t="shared" si="1384"/>
        <v>08/29/2020 06:21:22.656</v>
      </c>
      <c r="C3274" t="str">
        <f t="shared" si="1378"/>
        <v>FFDFD3C0</v>
      </c>
      <c r="D3274" t="s">
        <v>121</v>
      </c>
      <c r="E3274">
        <v>11</v>
      </c>
      <c r="F3274">
        <v>1011</v>
      </c>
      <c r="G3274" t="s">
        <v>125</v>
      </c>
      <c r="J3274" t="s">
        <v>123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si="1385"/>
        <v>06:21:25.898</v>
      </c>
      <c r="T3274" t="str">
        <f t="shared" si="1386"/>
        <v>06:21:25.498</v>
      </c>
      <c r="U3274" t="str">
        <f t="shared" si="1381"/>
        <v>A7E2E0</v>
      </c>
      <c r="V3274">
        <v>0</v>
      </c>
      <c r="W3274">
        <v>0</v>
      </c>
      <c r="X3274">
        <v>1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0</v>
      </c>
      <c r="AI3274" t="s">
        <v>1562</v>
      </c>
      <c r="AJ3274">
        <v>38.840488999999998</v>
      </c>
      <c r="AK3274" t="s">
        <v>1563</v>
      </c>
      <c r="AL3274">
        <v>-87.605216999999996</v>
      </c>
      <c r="AM3274">
        <v>100</v>
      </c>
      <c r="AN3274">
        <v>2200</v>
      </c>
      <c r="AO3274" t="s">
        <v>118</v>
      </c>
      <c r="AP3274">
        <v>23</v>
      </c>
      <c r="AQ3274">
        <v>-122</v>
      </c>
      <c r="AR3274">
        <v>-320</v>
      </c>
      <c r="AZ3274">
        <v>4552</v>
      </c>
      <c r="BA3274">
        <v>1</v>
      </c>
      <c r="BB3274" t="str">
        <f t="shared" si="1382"/>
        <v xml:space="preserve">N607SR  </v>
      </c>
      <c r="BC3274">
        <v>1</v>
      </c>
      <c r="BE3274">
        <v>0</v>
      </c>
      <c r="BF3274">
        <v>0</v>
      </c>
      <c r="BG3274">
        <v>0</v>
      </c>
      <c r="BH3274">
        <v>1975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 t="shared" si="1387"/>
        <v>06:21:25.900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6</v>
      </c>
      <c r="CP3274" t="s">
        <v>119</v>
      </c>
      <c r="CQ3274">
        <v>457</v>
      </c>
      <c r="CR3274">
        <v>0</v>
      </c>
      <c r="CW3274">
        <v>15525331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 t="shared" si="1384"/>
        <v>08/29/2020 06:21:22.656</v>
      </c>
      <c r="C3275" t="str">
        <f t="shared" si="1378"/>
        <v>FFDFD3C0</v>
      </c>
      <c r="D3275" t="s">
        <v>113</v>
      </c>
      <c r="E3275">
        <v>5</v>
      </c>
      <c r="H3275">
        <v>163</v>
      </c>
      <c r="I3275" t="s">
        <v>114</v>
      </c>
      <c r="J3275" t="s">
        <v>115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385"/>
        <v>06:21:25.898</v>
      </c>
      <c r="T3275" t="str">
        <f t="shared" si="1386"/>
        <v>06:21:25.498</v>
      </c>
      <c r="U3275" t="str">
        <f t="shared" si="1381"/>
        <v>A7E2E0</v>
      </c>
      <c r="V3275">
        <v>0</v>
      </c>
      <c r="W3275">
        <v>0</v>
      </c>
      <c r="X3275">
        <v>1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0</v>
      </c>
      <c r="AI3275" t="s">
        <v>1562</v>
      </c>
      <c r="AJ3275">
        <v>38.840488999999998</v>
      </c>
      <c r="AK3275" t="s">
        <v>1563</v>
      </c>
      <c r="AL3275">
        <v>-87.605216999999996</v>
      </c>
      <c r="AM3275">
        <v>100</v>
      </c>
      <c r="AN3275">
        <v>2200</v>
      </c>
      <c r="AO3275" t="s">
        <v>118</v>
      </c>
      <c r="AP3275">
        <v>23</v>
      </c>
      <c r="AQ3275">
        <v>-122</v>
      </c>
      <c r="AR3275">
        <v>-320</v>
      </c>
      <c r="AZ3275">
        <v>4552</v>
      </c>
      <c r="BA3275">
        <v>1</v>
      </c>
      <c r="BB3275" t="str">
        <f t="shared" si="1382"/>
        <v xml:space="preserve">N607SR  </v>
      </c>
      <c r="BC3275">
        <v>1</v>
      </c>
      <c r="BE3275">
        <v>0</v>
      </c>
      <c r="BF3275">
        <v>0</v>
      </c>
      <c r="BG3275">
        <v>0</v>
      </c>
      <c r="BH3275">
        <v>1975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 t="shared" si="1387"/>
        <v>06:21:25.900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6</v>
      </c>
      <c r="CP3275" t="s">
        <v>119</v>
      </c>
      <c r="CQ3275">
        <v>465</v>
      </c>
      <c r="CR3275">
        <v>0</v>
      </c>
      <c r="CW3275">
        <v>4730143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 t="shared" si="1384"/>
        <v>08/29/2020 06:21:22.656</v>
      </c>
      <c r="C3276" t="str">
        <f t="shared" si="1378"/>
        <v>FFDFD3C0</v>
      </c>
      <c r="D3276" t="s">
        <v>128</v>
      </c>
      <c r="E3276">
        <v>5</v>
      </c>
      <c r="H3276">
        <v>241</v>
      </c>
      <c r="I3276" t="s">
        <v>129</v>
      </c>
      <c r="J3276" t="s">
        <v>130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si="1385"/>
        <v>06:21:25.898</v>
      </c>
      <c r="T3276" t="str">
        <f t="shared" si="1386"/>
        <v>06:21:25.498</v>
      </c>
      <c r="U3276" t="str">
        <f t="shared" si="1381"/>
        <v>A7E2E0</v>
      </c>
      <c r="V3276">
        <v>0</v>
      </c>
      <c r="W3276">
        <v>0</v>
      </c>
      <c r="X3276">
        <v>1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0</v>
      </c>
      <c r="AI3276" t="s">
        <v>1562</v>
      </c>
      <c r="AJ3276">
        <v>38.840488999999998</v>
      </c>
      <c r="AK3276" t="s">
        <v>1563</v>
      </c>
      <c r="AL3276">
        <v>-87.605216999999996</v>
      </c>
      <c r="AM3276">
        <v>100</v>
      </c>
      <c r="AN3276">
        <v>2200</v>
      </c>
      <c r="AO3276" t="s">
        <v>118</v>
      </c>
      <c r="AP3276">
        <v>23</v>
      </c>
      <c r="AQ3276">
        <v>-122</v>
      </c>
      <c r="AR3276">
        <v>-320</v>
      </c>
      <c r="AZ3276">
        <v>4552</v>
      </c>
      <c r="BA3276">
        <v>1</v>
      </c>
      <c r="BB3276" t="str">
        <f t="shared" si="1382"/>
        <v xml:space="preserve">N607SR  </v>
      </c>
      <c r="BC3276">
        <v>1</v>
      </c>
      <c r="BE3276">
        <v>0</v>
      </c>
      <c r="BF3276">
        <v>0</v>
      </c>
      <c r="BG3276">
        <v>0</v>
      </c>
      <c r="BH3276">
        <v>1975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 t="shared" si="1387"/>
        <v>06:21:25.900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6</v>
      </c>
      <c r="CP3276" t="s">
        <v>119</v>
      </c>
      <c r="CQ3276">
        <v>465</v>
      </c>
      <c r="CR3276">
        <v>0</v>
      </c>
      <c r="CW3276">
        <v>4730143</v>
      </c>
      <c r="CY3276">
        <v>1</v>
      </c>
      <c r="CZ3276">
        <v>0</v>
      </c>
      <c r="DA3276">
        <v>1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 t="shared" si="1384"/>
        <v>08/29/2020 06:21:22.656</v>
      </c>
      <c r="C3277" t="str">
        <f t="shared" si="1378"/>
        <v>FFDFD3C0</v>
      </c>
      <c r="D3277" t="s">
        <v>121</v>
      </c>
      <c r="E3277">
        <v>13</v>
      </c>
      <c r="F3277">
        <v>1013</v>
      </c>
      <c r="G3277" t="s">
        <v>122</v>
      </c>
      <c r="J3277" t="s">
        <v>123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si="1385"/>
        <v>06:21:25.898</v>
      </c>
      <c r="T3277" t="str">
        <f t="shared" si="1386"/>
        <v>06:21:25.498</v>
      </c>
      <c r="U3277" t="str">
        <f t="shared" si="1381"/>
        <v>A7E2E0</v>
      </c>
      <c r="V3277">
        <v>0</v>
      </c>
      <c r="W3277">
        <v>0</v>
      </c>
      <c r="X3277">
        <v>1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0</v>
      </c>
      <c r="AI3277" t="s">
        <v>1562</v>
      </c>
      <c r="AJ3277">
        <v>38.840488999999998</v>
      </c>
      <c r="AK3277" t="s">
        <v>1563</v>
      </c>
      <c r="AL3277">
        <v>-87.605216999999996</v>
      </c>
      <c r="AM3277">
        <v>100</v>
      </c>
      <c r="AN3277">
        <v>2200</v>
      </c>
      <c r="AO3277" t="s">
        <v>118</v>
      </c>
      <c r="AP3277">
        <v>23</v>
      </c>
      <c r="AQ3277">
        <v>-122</v>
      </c>
      <c r="AR3277">
        <v>-320</v>
      </c>
      <c r="AZ3277">
        <v>4552</v>
      </c>
      <c r="BA3277">
        <v>1</v>
      </c>
      <c r="BB3277" t="str">
        <f t="shared" si="1382"/>
        <v xml:space="preserve">N607SR  </v>
      </c>
      <c r="BC3277">
        <v>1</v>
      </c>
      <c r="BE3277">
        <v>0</v>
      </c>
      <c r="BF3277">
        <v>0</v>
      </c>
      <c r="BG3277">
        <v>0</v>
      </c>
      <c r="BH3277">
        <v>1975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 t="shared" si="1387"/>
        <v>06:21:25.900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6</v>
      </c>
      <c r="CP3277" t="s">
        <v>119</v>
      </c>
      <c r="CQ3277">
        <v>465</v>
      </c>
      <c r="CR3277">
        <v>0</v>
      </c>
      <c r="CW3277">
        <v>4730143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 t="shared" ref="A3278:A3283" si="1388">"08/29/2020 06:21:23.657"</f>
        <v>08/29/2020 06:21:23.657</v>
      </c>
      <c r="C3278" t="str">
        <f t="shared" si="1378"/>
        <v>FFDFD3C0</v>
      </c>
      <c r="D3278" t="s">
        <v>121</v>
      </c>
      <c r="E3278">
        <v>13</v>
      </c>
      <c r="F3278">
        <v>1013</v>
      </c>
      <c r="G3278" t="s">
        <v>122</v>
      </c>
      <c r="J3278" t="s">
        <v>123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ref="S3278:S3283" si="1389">"06:21:26.867"</f>
        <v>06:21:26.867</v>
      </c>
      <c r="T3278" t="str">
        <f t="shared" ref="T3278:T3283" si="1390">"06:21:26.467"</f>
        <v>06:21:26.467</v>
      </c>
      <c r="U3278" t="str">
        <f t="shared" si="1381"/>
        <v>A7E2E0</v>
      </c>
      <c r="V3278">
        <v>0</v>
      </c>
      <c r="W3278">
        <v>0</v>
      </c>
      <c r="X3278">
        <v>1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0</v>
      </c>
      <c r="AI3278" t="s">
        <v>1564</v>
      </c>
      <c r="AJ3278">
        <v>38.839931</v>
      </c>
      <c r="AK3278" t="s">
        <v>1565</v>
      </c>
      <c r="AL3278">
        <v>-87.605108999999999</v>
      </c>
      <c r="AM3278">
        <v>100</v>
      </c>
      <c r="AN3278">
        <v>2200</v>
      </c>
      <c r="AO3278" t="s">
        <v>118</v>
      </c>
      <c r="AP3278">
        <v>22</v>
      </c>
      <c r="AQ3278">
        <v>-122</v>
      </c>
      <c r="AR3278">
        <v>-384</v>
      </c>
      <c r="AZ3278">
        <v>4552</v>
      </c>
      <c r="BA3278">
        <v>1</v>
      </c>
      <c r="BB3278" t="str">
        <f t="shared" si="1382"/>
        <v xml:space="preserve">N607SR  </v>
      </c>
      <c r="BC3278">
        <v>1</v>
      </c>
      <c r="BE3278">
        <v>0</v>
      </c>
      <c r="BF3278">
        <v>0</v>
      </c>
      <c r="BG3278">
        <v>0</v>
      </c>
      <c r="BH3278">
        <v>1950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 t="shared" ref="BW3278:BW3283" si="1391">"06:21:26.874"</f>
        <v>06:21:26.874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6</v>
      </c>
      <c r="CP3278" t="s">
        <v>119</v>
      </c>
      <c r="CQ3278">
        <v>465</v>
      </c>
      <c r="CR3278">
        <v>0</v>
      </c>
      <c r="CW3278">
        <v>4730173</v>
      </c>
      <c r="CY3278">
        <v>1</v>
      </c>
      <c r="CZ3278">
        <v>0</v>
      </c>
      <c r="DA3278">
        <v>0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 t="shared" si="1388"/>
        <v>08/29/2020 06:21:23.657</v>
      </c>
      <c r="C3279" t="str">
        <f t="shared" si="1378"/>
        <v>FFDFD3C0</v>
      </c>
      <c r="D3279" t="s">
        <v>128</v>
      </c>
      <c r="E3279">
        <v>5</v>
      </c>
      <c r="H3279">
        <v>241</v>
      </c>
      <c r="I3279" t="s">
        <v>129</v>
      </c>
      <c r="J3279" t="s">
        <v>130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389"/>
        <v>06:21:26.867</v>
      </c>
      <c r="T3279" t="str">
        <f t="shared" si="1390"/>
        <v>06:21:26.467</v>
      </c>
      <c r="U3279" t="str">
        <f t="shared" si="1381"/>
        <v>A7E2E0</v>
      </c>
      <c r="V3279">
        <v>0</v>
      </c>
      <c r="W3279">
        <v>0</v>
      </c>
      <c r="X3279">
        <v>1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0</v>
      </c>
      <c r="AI3279" t="s">
        <v>1564</v>
      </c>
      <c r="AJ3279">
        <v>38.839931</v>
      </c>
      <c r="AK3279" t="s">
        <v>1565</v>
      </c>
      <c r="AL3279">
        <v>-87.605108999999999</v>
      </c>
      <c r="AM3279">
        <v>100</v>
      </c>
      <c r="AN3279">
        <v>2200</v>
      </c>
      <c r="AO3279" t="s">
        <v>118</v>
      </c>
      <c r="AP3279">
        <v>22</v>
      </c>
      <c r="AQ3279">
        <v>-122</v>
      </c>
      <c r="AR3279">
        <v>-384</v>
      </c>
      <c r="AZ3279">
        <v>4552</v>
      </c>
      <c r="BA3279">
        <v>1</v>
      </c>
      <c r="BB3279" t="str">
        <f t="shared" si="1382"/>
        <v xml:space="preserve">N607SR  </v>
      </c>
      <c r="BC3279">
        <v>1</v>
      </c>
      <c r="BE3279">
        <v>0</v>
      </c>
      <c r="BF3279">
        <v>0</v>
      </c>
      <c r="BG3279">
        <v>0</v>
      </c>
      <c r="BH3279">
        <v>1950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 t="shared" si="1391"/>
        <v>06:21:26.874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6</v>
      </c>
      <c r="CP3279" t="s">
        <v>119</v>
      </c>
      <c r="CQ3279">
        <v>465</v>
      </c>
      <c r="CR3279">
        <v>0</v>
      </c>
      <c r="CW3279">
        <v>4730173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 t="shared" si="1388"/>
        <v>08/29/2020 06:21:23.657</v>
      </c>
      <c r="C3280" t="str">
        <f t="shared" si="1378"/>
        <v>FFDFD3C0</v>
      </c>
      <c r="D3280" t="s">
        <v>939</v>
      </c>
      <c r="E3280">
        <v>10</v>
      </c>
      <c r="H3280">
        <v>79</v>
      </c>
      <c r="I3280" t="s">
        <v>940</v>
      </c>
      <c r="J3280" t="s">
        <v>130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si="1389"/>
        <v>06:21:26.867</v>
      </c>
      <c r="T3280" t="str">
        <f t="shared" si="1390"/>
        <v>06:21:26.467</v>
      </c>
      <c r="U3280" t="str">
        <f t="shared" si="1381"/>
        <v>A7E2E0</v>
      </c>
      <c r="V3280">
        <v>0</v>
      </c>
      <c r="W3280">
        <v>0</v>
      </c>
      <c r="X3280">
        <v>1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0</v>
      </c>
      <c r="AI3280" t="s">
        <v>1564</v>
      </c>
      <c r="AJ3280">
        <v>38.839931</v>
      </c>
      <c r="AK3280" t="s">
        <v>1565</v>
      </c>
      <c r="AL3280">
        <v>-87.605108999999999</v>
      </c>
      <c r="AM3280">
        <v>100</v>
      </c>
      <c r="AN3280">
        <v>2200</v>
      </c>
      <c r="AO3280" t="s">
        <v>118</v>
      </c>
      <c r="AP3280">
        <v>22</v>
      </c>
      <c r="AQ3280">
        <v>-122</v>
      </c>
      <c r="AR3280">
        <v>-384</v>
      </c>
      <c r="AZ3280">
        <v>4552</v>
      </c>
      <c r="BA3280">
        <v>1</v>
      </c>
      <c r="BB3280" t="str">
        <f t="shared" si="1382"/>
        <v xml:space="preserve">N607SR  </v>
      </c>
      <c r="BC3280">
        <v>1</v>
      </c>
      <c r="BE3280">
        <v>0</v>
      </c>
      <c r="BF3280">
        <v>0</v>
      </c>
      <c r="BG3280">
        <v>0</v>
      </c>
      <c r="BH3280">
        <v>1950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 t="shared" si="1391"/>
        <v>06:21:26.874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6</v>
      </c>
      <c r="CP3280" t="s">
        <v>119</v>
      </c>
      <c r="CQ3280">
        <v>465</v>
      </c>
      <c r="CR3280">
        <v>0</v>
      </c>
      <c r="CW3280">
        <v>4730173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 t="shared" si="1388"/>
        <v>08/29/2020 06:21:23.657</v>
      </c>
      <c r="C3281" t="str">
        <f t="shared" si="1378"/>
        <v>FFDFD3C0</v>
      </c>
      <c r="D3281" t="s">
        <v>121</v>
      </c>
      <c r="E3281">
        <v>10</v>
      </c>
      <c r="F3281">
        <v>1010</v>
      </c>
      <c r="G3281" t="s">
        <v>114</v>
      </c>
      <c r="J3281" t="s">
        <v>123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389"/>
        <v>06:21:26.867</v>
      </c>
      <c r="T3281" t="str">
        <f t="shared" si="1390"/>
        <v>06:21:26.467</v>
      </c>
      <c r="U3281" t="str">
        <f t="shared" si="1381"/>
        <v>A7E2E0</v>
      </c>
      <c r="V3281">
        <v>0</v>
      </c>
      <c r="W3281">
        <v>0</v>
      </c>
      <c r="X3281">
        <v>1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0</v>
      </c>
      <c r="AI3281" t="s">
        <v>1564</v>
      </c>
      <c r="AJ3281">
        <v>38.839931</v>
      </c>
      <c r="AK3281" t="s">
        <v>1565</v>
      </c>
      <c r="AL3281">
        <v>-87.605108999999999</v>
      </c>
      <c r="AM3281">
        <v>100</v>
      </c>
      <c r="AN3281">
        <v>2200</v>
      </c>
      <c r="AO3281" t="s">
        <v>118</v>
      </c>
      <c r="AP3281">
        <v>22</v>
      </c>
      <c r="AQ3281">
        <v>-122</v>
      </c>
      <c r="AR3281">
        <v>-384</v>
      </c>
      <c r="AZ3281">
        <v>4552</v>
      </c>
      <c r="BA3281">
        <v>1</v>
      </c>
      <c r="BB3281" t="str">
        <f t="shared" si="1382"/>
        <v xml:space="preserve">N607SR  </v>
      </c>
      <c r="BC3281">
        <v>1</v>
      </c>
      <c r="BE3281">
        <v>0</v>
      </c>
      <c r="BF3281">
        <v>0</v>
      </c>
      <c r="BG3281">
        <v>0</v>
      </c>
      <c r="BH3281">
        <v>1950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 t="shared" si="1391"/>
        <v>06:21:26.874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6</v>
      </c>
      <c r="CP3281" t="s">
        <v>119</v>
      </c>
      <c r="CQ3281">
        <v>465</v>
      </c>
      <c r="CR3281">
        <v>0</v>
      </c>
      <c r="CW3281">
        <v>4730173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 t="shared" si="1388"/>
        <v>08/29/2020 06:21:23.657</v>
      </c>
      <c r="C3282" t="str">
        <f t="shared" si="1378"/>
        <v>FFDFD3C0</v>
      </c>
      <c r="D3282" t="s">
        <v>121</v>
      </c>
      <c r="E3282">
        <v>11</v>
      </c>
      <c r="F3282">
        <v>1011</v>
      </c>
      <c r="G3282" t="s">
        <v>125</v>
      </c>
      <c r="J3282" t="s">
        <v>123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si="1389"/>
        <v>06:21:26.867</v>
      </c>
      <c r="T3282" t="str">
        <f t="shared" si="1390"/>
        <v>06:21:26.467</v>
      </c>
      <c r="U3282" t="str">
        <f t="shared" si="1381"/>
        <v>A7E2E0</v>
      </c>
      <c r="V3282">
        <v>0</v>
      </c>
      <c r="W3282">
        <v>0</v>
      </c>
      <c r="X3282">
        <v>1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0</v>
      </c>
      <c r="AI3282" t="s">
        <v>1564</v>
      </c>
      <c r="AJ3282">
        <v>38.839931</v>
      </c>
      <c r="AK3282" t="s">
        <v>1565</v>
      </c>
      <c r="AL3282">
        <v>-87.605108999999999</v>
      </c>
      <c r="AM3282">
        <v>100</v>
      </c>
      <c r="AN3282">
        <v>2200</v>
      </c>
      <c r="AO3282" t="s">
        <v>118</v>
      </c>
      <c r="AP3282">
        <v>22</v>
      </c>
      <c r="AQ3282">
        <v>-122</v>
      </c>
      <c r="AR3282">
        <v>-384</v>
      </c>
      <c r="AZ3282">
        <v>4552</v>
      </c>
      <c r="BA3282">
        <v>1</v>
      </c>
      <c r="BB3282" t="str">
        <f t="shared" si="1382"/>
        <v xml:space="preserve">N607SR  </v>
      </c>
      <c r="BC3282">
        <v>1</v>
      </c>
      <c r="BE3282">
        <v>0</v>
      </c>
      <c r="BF3282">
        <v>0</v>
      </c>
      <c r="BG3282">
        <v>0</v>
      </c>
      <c r="BH3282">
        <v>1950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 t="shared" si="1391"/>
        <v>06:21:26.874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6</v>
      </c>
      <c r="CP3282" t="s">
        <v>119</v>
      </c>
      <c r="CQ3282">
        <v>457</v>
      </c>
      <c r="CR3282">
        <v>0</v>
      </c>
      <c r="CW3282">
        <v>15525361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 t="shared" si="1388"/>
        <v>08/29/2020 06:21:23.657</v>
      </c>
      <c r="C3283" t="str">
        <f t="shared" si="1378"/>
        <v>FFDFD3C0</v>
      </c>
      <c r="D3283" t="s">
        <v>113</v>
      </c>
      <c r="E3283">
        <v>5</v>
      </c>
      <c r="H3283">
        <v>163</v>
      </c>
      <c r="I3283" t="s">
        <v>114</v>
      </c>
      <c r="J3283" t="s">
        <v>115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si="1389"/>
        <v>06:21:26.867</v>
      </c>
      <c r="T3283" t="str">
        <f t="shared" si="1390"/>
        <v>06:21:26.467</v>
      </c>
      <c r="U3283" t="str">
        <f t="shared" si="1381"/>
        <v>A7E2E0</v>
      </c>
      <c r="V3283">
        <v>0</v>
      </c>
      <c r="W3283">
        <v>0</v>
      </c>
      <c r="X3283">
        <v>1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0</v>
      </c>
      <c r="AI3283" t="s">
        <v>1564</v>
      </c>
      <c r="AJ3283">
        <v>38.839931</v>
      </c>
      <c r="AK3283" t="s">
        <v>1565</v>
      </c>
      <c r="AL3283">
        <v>-87.605108999999999</v>
      </c>
      <c r="AM3283">
        <v>100</v>
      </c>
      <c r="AN3283">
        <v>2200</v>
      </c>
      <c r="AO3283" t="s">
        <v>118</v>
      </c>
      <c r="AP3283">
        <v>22</v>
      </c>
      <c r="AQ3283">
        <v>-122</v>
      </c>
      <c r="AR3283">
        <v>-384</v>
      </c>
      <c r="AZ3283">
        <v>4552</v>
      </c>
      <c r="BA3283">
        <v>1</v>
      </c>
      <c r="BB3283" t="str">
        <f t="shared" si="1382"/>
        <v xml:space="preserve">N607SR  </v>
      </c>
      <c r="BC3283">
        <v>1</v>
      </c>
      <c r="BE3283">
        <v>0</v>
      </c>
      <c r="BF3283">
        <v>0</v>
      </c>
      <c r="BG3283">
        <v>0</v>
      </c>
      <c r="BH3283">
        <v>1950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 t="shared" si="1391"/>
        <v>06:21:26.874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6</v>
      </c>
      <c r="CP3283" t="s">
        <v>119</v>
      </c>
      <c r="CQ3283">
        <v>465</v>
      </c>
      <c r="CR3283">
        <v>0</v>
      </c>
      <c r="CW3283">
        <v>4730173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 t="shared" ref="A3284:A3289" si="1392">"08/29/2020 06:21:24.813"</f>
        <v>08/29/2020 06:21:24.813</v>
      </c>
      <c r="C3284" t="str">
        <f t="shared" si="1378"/>
        <v>FFDFD3C0</v>
      </c>
      <c r="D3284" t="s">
        <v>113</v>
      </c>
      <c r="E3284">
        <v>5</v>
      </c>
      <c r="H3284">
        <v>163</v>
      </c>
      <c r="I3284" t="s">
        <v>114</v>
      </c>
      <c r="J3284" t="s">
        <v>115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ref="S3284:S3289" si="1393">"06:21:28.031"</f>
        <v>06:21:28.031</v>
      </c>
      <c r="T3284" t="str">
        <f t="shared" ref="T3284:T3289" si="1394">"06:21:27.531"</f>
        <v>06:21:27.531</v>
      </c>
      <c r="U3284" t="str">
        <f t="shared" si="1381"/>
        <v>A7E2E0</v>
      </c>
      <c r="V3284">
        <v>0</v>
      </c>
      <c r="W3284">
        <v>0</v>
      </c>
      <c r="X3284">
        <v>1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0</v>
      </c>
      <c r="AI3284" t="s">
        <v>1566</v>
      </c>
      <c r="AJ3284">
        <v>38.839222999999997</v>
      </c>
      <c r="AK3284" t="s">
        <v>1224</v>
      </c>
      <c r="AL3284">
        <v>-87.604916000000003</v>
      </c>
      <c r="AM3284">
        <v>100</v>
      </c>
      <c r="AN3284">
        <v>2100</v>
      </c>
      <c r="AO3284" t="s">
        <v>118</v>
      </c>
      <c r="AP3284">
        <v>21</v>
      </c>
      <c r="AQ3284">
        <v>-121</v>
      </c>
      <c r="AR3284">
        <v>-384</v>
      </c>
      <c r="AZ3284">
        <v>4552</v>
      </c>
      <c r="BA3284">
        <v>1</v>
      </c>
      <c r="BB3284" t="str">
        <f t="shared" si="1382"/>
        <v xml:space="preserve">N607SR  </v>
      </c>
      <c r="BC3284">
        <v>1</v>
      </c>
      <c r="BE3284">
        <v>0</v>
      </c>
      <c r="BF3284">
        <v>0</v>
      </c>
      <c r="BG3284">
        <v>0</v>
      </c>
      <c r="BH3284">
        <v>1950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 t="shared" ref="BW3284:BW3289" si="1395">"06:21:28.036"</f>
        <v>06:21:28.036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7</v>
      </c>
      <c r="CP3284" t="s">
        <v>119</v>
      </c>
      <c r="CQ3284">
        <v>465</v>
      </c>
      <c r="CR3284">
        <v>0</v>
      </c>
      <c r="CW3284">
        <v>4730209</v>
      </c>
      <c r="CY3284">
        <v>1</v>
      </c>
      <c r="CZ3284">
        <v>0</v>
      </c>
      <c r="DA3284">
        <v>0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 t="shared" si="1392"/>
        <v>08/29/2020 06:21:24.813</v>
      </c>
      <c r="C3285" t="str">
        <f t="shared" si="1378"/>
        <v>FFDFD3C0</v>
      </c>
      <c r="D3285" t="s">
        <v>121</v>
      </c>
      <c r="E3285">
        <v>11</v>
      </c>
      <c r="F3285">
        <v>1011</v>
      </c>
      <c r="G3285" t="s">
        <v>125</v>
      </c>
      <c r="J3285" t="s">
        <v>123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393"/>
        <v>06:21:28.031</v>
      </c>
      <c r="T3285" t="str">
        <f t="shared" si="1394"/>
        <v>06:21:27.531</v>
      </c>
      <c r="U3285" t="str">
        <f t="shared" si="1381"/>
        <v>A7E2E0</v>
      </c>
      <c r="V3285">
        <v>0</v>
      </c>
      <c r="W3285">
        <v>0</v>
      </c>
      <c r="X3285">
        <v>1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0</v>
      </c>
      <c r="AI3285" t="s">
        <v>1566</v>
      </c>
      <c r="AJ3285">
        <v>38.839222999999997</v>
      </c>
      <c r="AK3285" t="s">
        <v>1224</v>
      </c>
      <c r="AL3285">
        <v>-87.604916000000003</v>
      </c>
      <c r="AM3285">
        <v>100</v>
      </c>
      <c r="AN3285">
        <v>2100</v>
      </c>
      <c r="AO3285" t="s">
        <v>118</v>
      </c>
      <c r="AP3285">
        <v>21</v>
      </c>
      <c r="AQ3285">
        <v>-121</v>
      </c>
      <c r="AR3285">
        <v>-384</v>
      </c>
      <c r="AZ3285">
        <v>4552</v>
      </c>
      <c r="BA3285">
        <v>1</v>
      </c>
      <c r="BB3285" t="str">
        <f t="shared" si="1382"/>
        <v xml:space="preserve">N607SR  </v>
      </c>
      <c r="BC3285">
        <v>1</v>
      </c>
      <c r="BE3285">
        <v>0</v>
      </c>
      <c r="BF3285">
        <v>0</v>
      </c>
      <c r="BG3285">
        <v>0</v>
      </c>
      <c r="BH3285">
        <v>1950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 t="shared" si="1395"/>
        <v>06:21:28.036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6</v>
      </c>
      <c r="CP3285" t="s">
        <v>119</v>
      </c>
      <c r="CQ3285">
        <v>457</v>
      </c>
      <c r="CR3285">
        <v>0</v>
      </c>
      <c r="CW3285">
        <v>15525397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 t="shared" si="1392"/>
        <v>08/29/2020 06:21:24.813</v>
      </c>
      <c r="C3286" t="str">
        <f t="shared" si="1378"/>
        <v>FFDFD3C0</v>
      </c>
      <c r="D3286" t="s">
        <v>128</v>
      </c>
      <c r="E3286">
        <v>5</v>
      </c>
      <c r="H3286">
        <v>241</v>
      </c>
      <c r="I3286" t="s">
        <v>129</v>
      </c>
      <c r="J3286" t="s">
        <v>130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si="1393"/>
        <v>06:21:28.031</v>
      </c>
      <c r="T3286" t="str">
        <f t="shared" si="1394"/>
        <v>06:21:27.531</v>
      </c>
      <c r="U3286" t="str">
        <f t="shared" si="1381"/>
        <v>A7E2E0</v>
      </c>
      <c r="V3286">
        <v>0</v>
      </c>
      <c r="W3286">
        <v>0</v>
      </c>
      <c r="X3286">
        <v>1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0</v>
      </c>
      <c r="AI3286" t="s">
        <v>1566</v>
      </c>
      <c r="AJ3286">
        <v>38.839222999999997</v>
      </c>
      <c r="AK3286" t="s">
        <v>1224</v>
      </c>
      <c r="AL3286">
        <v>-87.604916000000003</v>
      </c>
      <c r="AM3286">
        <v>100</v>
      </c>
      <c r="AN3286">
        <v>2100</v>
      </c>
      <c r="AO3286" t="s">
        <v>118</v>
      </c>
      <c r="AP3286">
        <v>21</v>
      </c>
      <c r="AQ3286">
        <v>-121</v>
      </c>
      <c r="AR3286">
        <v>-384</v>
      </c>
      <c r="AZ3286">
        <v>4552</v>
      </c>
      <c r="BA3286">
        <v>1</v>
      </c>
      <c r="BB3286" t="str">
        <f t="shared" si="1382"/>
        <v xml:space="preserve">N607SR  </v>
      </c>
      <c r="BC3286">
        <v>1</v>
      </c>
      <c r="BE3286">
        <v>0</v>
      </c>
      <c r="BF3286">
        <v>0</v>
      </c>
      <c r="BG3286">
        <v>0</v>
      </c>
      <c r="BH3286">
        <v>1950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 t="shared" si="1395"/>
        <v>06:21:28.036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465</v>
      </c>
      <c r="CR3286">
        <v>0</v>
      </c>
      <c r="CW3286">
        <v>4730209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 t="shared" si="1392"/>
        <v>08/29/2020 06:21:24.813</v>
      </c>
      <c r="C3287" t="str">
        <f t="shared" si="1378"/>
        <v>FFDFD3C0</v>
      </c>
      <c r="D3287" t="s">
        <v>121</v>
      </c>
      <c r="E3287">
        <v>13</v>
      </c>
      <c r="F3287">
        <v>1013</v>
      </c>
      <c r="G3287" t="s">
        <v>122</v>
      </c>
      <c r="J3287" t="s">
        <v>123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393"/>
        <v>06:21:28.031</v>
      </c>
      <c r="T3287" t="str">
        <f t="shared" si="1394"/>
        <v>06:21:27.531</v>
      </c>
      <c r="U3287" t="str">
        <f t="shared" si="1381"/>
        <v>A7E2E0</v>
      </c>
      <c r="V3287">
        <v>0</v>
      </c>
      <c r="W3287">
        <v>0</v>
      </c>
      <c r="X3287">
        <v>1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0</v>
      </c>
      <c r="AI3287" t="s">
        <v>1566</v>
      </c>
      <c r="AJ3287">
        <v>38.839222999999997</v>
      </c>
      <c r="AK3287" t="s">
        <v>1224</v>
      </c>
      <c r="AL3287">
        <v>-87.604916000000003</v>
      </c>
      <c r="AM3287">
        <v>100</v>
      </c>
      <c r="AN3287">
        <v>2100</v>
      </c>
      <c r="AO3287" t="s">
        <v>118</v>
      </c>
      <c r="AP3287">
        <v>21</v>
      </c>
      <c r="AQ3287">
        <v>-121</v>
      </c>
      <c r="AR3287">
        <v>-384</v>
      </c>
      <c r="AZ3287">
        <v>4552</v>
      </c>
      <c r="BA3287">
        <v>1</v>
      </c>
      <c r="BB3287" t="str">
        <f t="shared" si="1382"/>
        <v xml:space="preserve">N607SR  </v>
      </c>
      <c r="BC3287">
        <v>1</v>
      </c>
      <c r="BE3287">
        <v>0</v>
      </c>
      <c r="BF3287">
        <v>0</v>
      </c>
      <c r="BG3287">
        <v>0</v>
      </c>
      <c r="BH3287">
        <v>1950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 t="shared" si="1395"/>
        <v>06:21:28.036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465</v>
      </c>
      <c r="CR3287">
        <v>0</v>
      </c>
      <c r="CW3287">
        <v>4730209</v>
      </c>
      <c r="CY3287">
        <v>1</v>
      </c>
      <c r="CZ3287">
        <v>0</v>
      </c>
      <c r="DA3287">
        <v>1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 t="shared" si="1392"/>
        <v>08/29/2020 06:21:24.813</v>
      </c>
      <c r="C3288" t="str">
        <f t="shared" si="1378"/>
        <v>FFDFD3C0</v>
      </c>
      <c r="D3288" t="s">
        <v>939</v>
      </c>
      <c r="E3288">
        <v>10</v>
      </c>
      <c r="H3288">
        <v>79</v>
      </c>
      <c r="I3288" t="s">
        <v>940</v>
      </c>
      <c r="J3288" t="s">
        <v>130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393"/>
        <v>06:21:28.031</v>
      </c>
      <c r="T3288" t="str">
        <f t="shared" si="1394"/>
        <v>06:21:27.531</v>
      </c>
      <c r="U3288" t="str">
        <f t="shared" si="1381"/>
        <v>A7E2E0</v>
      </c>
      <c r="V3288">
        <v>0</v>
      </c>
      <c r="W3288">
        <v>0</v>
      </c>
      <c r="X3288">
        <v>1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0</v>
      </c>
      <c r="AI3288" t="s">
        <v>1566</v>
      </c>
      <c r="AJ3288">
        <v>38.839222999999997</v>
      </c>
      <c r="AK3288" t="s">
        <v>1224</v>
      </c>
      <c r="AL3288">
        <v>-87.604916000000003</v>
      </c>
      <c r="AM3288">
        <v>100</v>
      </c>
      <c r="AN3288">
        <v>2100</v>
      </c>
      <c r="AO3288" t="s">
        <v>118</v>
      </c>
      <c r="AP3288">
        <v>21</v>
      </c>
      <c r="AQ3288">
        <v>-121</v>
      </c>
      <c r="AR3288">
        <v>-384</v>
      </c>
      <c r="AZ3288">
        <v>4552</v>
      </c>
      <c r="BA3288">
        <v>1</v>
      </c>
      <c r="BB3288" t="str">
        <f t="shared" si="1382"/>
        <v xml:space="preserve">N607SR  </v>
      </c>
      <c r="BC3288">
        <v>1</v>
      </c>
      <c r="BE3288">
        <v>0</v>
      </c>
      <c r="BF3288">
        <v>0</v>
      </c>
      <c r="BG3288">
        <v>0</v>
      </c>
      <c r="BH3288">
        <v>1950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 t="shared" si="1395"/>
        <v>06:21:28.036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465</v>
      </c>
      <c r="CR3288">
        <v>0</v>
      </c>
      <c r="CW3288">
        <v>4730209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 t="shared" si="1392"/>
        <v>08/29/2020 06:21:24.813</v>
      </c>
      <c r="C3289" t="str">
        <f t="shared" si="1378"/>
        <v>FFDFD3C0</v>
      </c>
      <c r="D3289" t="s">
        <v>121</v>
      </c>
      <c r="E3289">
        <v>10</v>
      </c>
      <c r="F3289">
        <v>1010</v>
      </c>
      <c r="G3289" t="s">
        <v>114</v>
      </c>
      <c r="J3289" t="s">
        <v>123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393"/>
        <v>06:21:28.031</v>
      </c>
      <c r="T3289" t="str">
        <f t="shared" si="1394"/>
        <v>06:21:27.531</v>
      </c>
      <c r="U3289" t="str">
        <f t="shared" si="1381"/>
        <v>A7E2E0</v>
      </c>
      <c r="V3289">
        <v>0</v>
      </c>
      <c r="W3289">
        <v>0</v>
      </c>
      <c r="X3289">
        <v>1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0</v>
      </c>
      <c r="AI3289" t="s">
        <v>1566</v>
      </c>
      <c r="AJ3289">
        <v>38.839222999999997</v>
      </c>
      <c r="AK3289" t="s">
        <v>1224</v>
      </c>
      <c r="AL3289">
        <v>-87.604916000000003</v>
      </c>
      <c r="AM3289">
        <v>100</v>
      </c>
      <c r="AN3289">
        <v>2100</v>
      </c>
      <c r="AO3289" t="s">
        <v>118</v>
      </c>
      <c r="AP3289">
        <v>21</v>
      </c>
      <c r="AQ3289">
        <v>-121</v>
      </c>
      <c r="AR3289">
        <v>-384</v>
      </c>
      <c r="AZ3289">
        <v>4552</v>
      </c>
      <c r="BA3289">
        <v>1</v>
      </c>
      <c r="BB3289" t="str">
        <f t="shared" si="1382"/>
        <v xml:space="preserve">N607SR  </v>
      </c>
      <c r="BC3289">
        <v>1</v>
      </c>
      <c r="BE3289">
        <v>0</v>
      </c>
      <c r="BF3289">
        <v>0</v>
      </c>
      <c r="BG3289">
        <v>0</v>
      </c>
      <c r="BH3289">
        <v>1950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 t="shared" si="1395"/>
        <v>06:21:28.036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465</v>
      </c>
      <c r="CR3289">
        <v>0</v>
      </c>
      <c r="CW3289">
        <v>4730209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 t="shared" ref="A3290:A3295" si="1396">"08/29/2020 06:21:25.778"</f>
        <v>08/29/2020 06:21:25.778</v>
      </c>
      <c r="C3290" t="str">
        <f t="shared" si="1378"/>
        <v>FFDFD3C0</v>
      </c>
      <c r="D3290" t="s">
        <v>939</v>
      </c>
      <c r="E3290">
        <v>10</v>
      </c>
      <c r="H3290">
        <v>79</v>
      </c>
      <c r="I3290" t="s">
        <v>940</v>
      </c>
      <c r="J3290" t="s">
        <v>130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ref="S3290:S3295" si="1397">"06:21:29.000"</f>
        <v>06:21:29.000</v>
      </c>
      <c r="T3290" t="str">
        <f t="shared" ref="T3290:T3295" si="1398">"06:21:28.500"</f>
        <v>06:21:28.500</v>
      </c>
      <c r="U3290" t="str">
        <f t="shared" si="1381"/>
        <v>A7E2E0</v>
      </c>
      <c r="V3290">
        <v>0</v>
      </c>
      <c r="W3290">
        <v>0</v>
      </c>
      <c r="X3290">
        <v>1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0</v>
      </c>
      <c r="AI3290" t="s">
        <v>1567</v>
      </c>
      <c r="AJ3290">
        <v>38.838729999999998</v>
      </c>
      <c r="AK3290" t="s">
        <v>1568</v>
      </c>
      <c r="AL3290">
        <v>-87.604809000000003</v>
      </c>
      <c r="AM3290">
        <v>100</v>
      </c>
      <c r="AN3290">
        <v>2100</v>
      </c>
      <c r="AO3290" t="s">
        <v>118</v>
      </c>
      <c r="AP3290">
        <v>21</v>
      </c>
      <c r="AQ3290">
        <v>-121</v>
      </c>
      <c r="AR3290">
        <v>-320</v>
      </c>
      <c r="AZ3290">
        <v>4552</v>
      </c>
      <c r="BA3290">
        <v>1</v>
      </c>
      <c r="BB3290" t="str">
        <f t="shared" si="1382"/>
        <v xml:space="preserve">N607SR  </v>
      </c>
      <c r="BC3290">
        <v>1</v>
      </c>
      <c r="BE3290">
        <v>0</v>
      </c>
      <c r="BF3290">
        <v>0</v>
      </c>
      <c r="BG3290">
        <v>0</v>
      </c>
      <c r="BH3290">
        <v>1850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 t="shared" ref="BW3290:BW3295" si="1399">"06:21:29.001"</f>
        <v>06:21:29.001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465</v>
      </c>
      <c r="CR3290">
        <v>0</v>
      </c>
      <c r="CW3290">
        <v>4730242</v>
      </c>
      <c r="CY3290">
        <v>1</v>
      </c>
      <c r="CZ3290">
        <v>0</v>
      </c>
      <c r="DA3290">
        <v>0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 t="shared" si="1396"/>
        <v>08/29/2020 06:21:25.778</v>
      </c>
      <c r="C3291" t="str">
        <f t="shared" si="1378"/>
        <v>FFDFD3C0</v>
      </c>
      <c r="D3291" t="s">
        <v>121</v>
      </c>
      <c r="E3291">
        <v>11</v>
      </c>
      <c r="F3291">
        <v>1011</v>
      </c>
      <c r="G3291" t="s">
        <v>125</v>
      </c>
      <c r="J3291" t="s">
        <v>123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si="1397"/>
        <v>06:21:29.000</v>
      </c>
      <c r="T3291" t="str">
        <f t="shared" si="1398"/>
        <v>06:21:28.500</v>
      </c>
      <c r="U3291" t="str">
        <f t="shared" si="1381"/>
        <v>A7E2E0</v>
      </c>
      <c r="V3291">
        <v>0</v>
      </c>
      <c r="W3291">
        <v>0</v>
      </c>
      <c r="X3291">
        <v>1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0</v>
      </c>
      <c r="AI3291" t="s">
        <v>1567</v>
      </c>
      <c r="AJ3291">
        <v>38.838729999999998</v>
      </c>
      <c r="AK3291" t="s">
        <v>1568</v>
      </c>
      <c r="AL3291">
        <v>-87.604809000000003</v>
      </c>
      <c r="AM3291">
        <v>100</v>
      </c>
      <c r="AN3291">
        <v>2100</v>
      </c>
      <c r="AO3291" t="s">
        <v>118</v>
      </c>
      <c r="AP3291">
        <v>21</v>
      </c>
      <c r="AQ3291">
        <v>-121</v>
      </c>
      <c r="AR3291">
        <v>-320</v>
      </c>
      <c r="AZ3291">
        <v>4552</v>
      </c>
      <c r="BA3291">
        <v>1</v>
      </c>
      <c r="BB3291" t="str">
        <f t="shared" si="1382"/>
        <v xml:space="preserve">N607SR  </v>
      </c>
      <c r="BC3291">
        <v>1</v>
      </c>
      <c r="BE3291">
        <v>0</v>
      </c>
      <c r="BF3291">
        <v>0</v>
      </c>
      <c r="BG3291">
        <v>0</v>
      </c>
      <c r="BH3291">
        <v>1850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 t="shared" si="1399"/>
        <v>06:21:29.001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6</v>
      </c>
      <c r="CP3291" t="s">
        <v>119</v>
      </c>
      <c r="CQ3291">
        <v>457</v>
      </c>
      <c r="CR3291">
        <v>0</v>
      </c>
      <c r="CW3291">
        <v>15525433</v>
      </c>
      <c r="CY3291">
        <v>1</v>
      </c>
      <c r="CZ3291">
        <v>0</v>
      </c>
      <c r="DA3291">
        <v>1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 t="shared" si="1396"/>
        <v>08/29/2020 06:21:25.778</v>
      </c>
      <c r="C3292" t="str">
        <f t="shared" si="1378"/>
        <v>FFDFD3C0</v>
      </c>
      <c r="D3292" t="s">
        <v>128</v>
      </c>
      <c r="E3292">
        <v>5</v>
      </c>
      <c r="H3292">
        <v>241</v>
      </c>
      <c r="I3292" t="s">
        <v>129</v>
      </c>
      <c r="J3292" t="s">
        <v>130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si="1397"/>
        <v>06:21:29.000</v>
      </c>
      <c r="T3292" t="str">
        <f t="shared" si="1398"/>
        <v>06:21:28.500</v>
      </c>
      <c r="U3292" t="str">
        <f t="shared" si="1381"/>
        <v>A7E2E0</v>
      </c>
      <c r="V3292">
        <v>0</v>
      </c>
      <c r="W3292">
        <v>0</v>
      </c>
      <c r="X3292">
        <v>1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0</v>
      </c>
      <c r="AI3292" t="s">
        <v>1567</v>
      </c>
      <c r="AJ3292">
        <v>38.838729999999998</v>
      </c>
      <c r="AK3292" t="s">
        <v>1568</v>
      </c>
      <c r="AL3292">
        <v>-87.604809000000003</v>
      </c>
      <c r="AM3292">
        <v>100</v>
      </c>
      <c r="AN3292">
        <v>2100</v>
      </c>
      <c r="AO3292" t="s">
        <v>118</v>
      </c>
      <c r="AP3292">
        <v>21</v>
      </c>
      <c r="AQ3292">
        <v>-121</v>
      </c>
      <c r="AR3292">
        <v>-320</v>
      </c>
      <c r="AZ3292">
        <v>4552</v>
      </c>
      <c r="BA3292">
        <v>1</v>
      </c>
      <c r="BB3292" t="str">
        <f t="shared" si="1382"/>
        <v xml:space="preserve">N607SR  </v>
      </c>
      <c r="BC3292">
        <v>1</v>
      </c>
      <c r="BE3292">
        <v>0</v>
      </c>
      <c r="BF3292">
        <v>0</v>
      </c>
      <c r="BG3292">
        <v>0</v>
      </c>
      <c r="BH3292">
        <v>1850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 t="shared" si="1399"/>
        <v>06:21:29.001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465</v>
      </c>
      <c r="CR3292">
        <v>0</v>
      </c>
      <c r="CW3292">
        <v>4730242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 t="shared" si="1396"/>
        <v>08/29/2020 06:21:25.778</v>
      </c>
      <c r="C3293" t="str">
        <f t="shared" si="1378"/>
        <v>FFDFD3C0</v>
      </c>
      <c r="D3293" t="s">
        <v>121</v>
      </c>
      <c r="E3293">
        <v>13</v>
      </c>
      <c r="F3293">
        <v>1013</v>
      </c>
      <c r="G3293" t="s">
        <v>122</v>
      </c>
      <c r="J3293" t="s">
        <v>123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397"/>
        <v>06:21:29.000</v>
      </c>
      <c r="T3293" t="str">
        <f t="shared" si="1398"/>
        <v>06:21:28.500</v>
      </c>
      <c r="U3293" t="str">
        <f t="shared" si="1381"/>
        <v>A7E2E0</v>
      </c>
      <c r="V3293">
        <v>0</v>
      </c>
      <c r="W3293">
        <v>0</v>
      </c>
      <c r="X3293">
        <v>1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0</v>
      </c>
      <c r="AI3293" t="s">
        <v>1567</v>
      </c>
      <c r="AJ3293">
        <v>38.838729999999998</v>
      </c>
      <c r="AK3293" t="s">
        <v>1568</v>
      </c>
      <c r="AL3293">
        <v>-87.604809000000003</v>
      </c>
      <c r="AM3293">
        <v>100</v>
      </c>
      <c r="AN3293">
        <v>2100</v>
      </c>
      <c r="AO3293" t="s">
        <v>118</v>
      </c>
      <c r="AP3293">
        <v>21</v>
      </c>
      <c r="AQ3293">
        <v>-121</v>
      </c>
      <c r="AR3293">
        <v>-320</v>
      </c>
      <c r="AZ3293">
        <v>4552</v>
      </c>
      <c r="BA3293">
        <v>1</v>
      </c>
      <c r="BB3293" t="str">
        <f t="shared" si="1382"/>
        <v xml:space="preserve">N607SR  </v>
      </c>
      <c r="BC3293">
        <v>1</v>
      </c>
      <c r="BE3293">
        <v>0</v>
      </c>
      <c r="BF3293">
        <v>0</v>
      </c>
      <c r="BG3293">
        <v>0</v>
      </c>
      <c r="BH3293">
        <v>1850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 t="shared" si="1399"/>
        <v>06:21:29.001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465</v>
      </c>
      <c r="CR3293">
        <v>0</v>
      </c>
      <c r="CW3293">
        <v>4730242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 t="shared" si="1396"/>
        <v>08/29/2020 06:21:25.778</v>
      </c>
      <c r="C3294" t="str">
        <f t="shared" si="1378"/>
        <v>FFDFD3C0</v>
      </c>
      <c r="D3294" t="s">
        <v>121</v>
      </c>
      <c r="E3294">
        <v>10</v>
      </c>
      <c r="F3294">
        <v>1010</v>
      </c>
      <c r="G3294" t="s">
        <v>114</v>
      </c>
      <c r="J3294" t="s">
        <v>123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397"/>
        <v>06:21:29.000</v>
      </c>
      <c r="T3294" t="str">
        <f t="shared" si="1398"/>
        <v>06:21:28.500</v>
      </c>
      <c r="U3294" t="str">
        <f t="shared" si="1381"/>
        <v>A7E2E0</v>
      </c>
      <c r="V3294">
        <v>0</v>
      </c>
      <c r="W3294">
        <v>0</v>
      </c>
      <c r="X3294">
        <v>1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0</v>
      </c>
      <c r="AI3294" t="s">
        <v>1567</v>
      </c>
      <c r="AJ3294">
        <v>38.838729999999998</v>
      </c>
      <c r="AK3294" t="s">
        <v>1568</v>
      </c>
      <c r="AL3294">
        <v>-87.604809000000003</v>
      </c>
      <c r="AM3294">
        <v>100</v>
      </c>
      <c r="AN3294">
        <v>2100</v>
      </c>
      <c r="AO3294" t="s">
        <v>118</v>
      </c>
      <c r="AP3294">
        <v>21</v>
      </c>
      <c r="AQ3294">
        <v>-121</v>
      </c>
      <c r="AR3294">
        <v>-320</v>
      </c>
      <c r="AZ3294">
        <v>4552</v>
      </c>
      <c r="BA3294">
        <v>1</v>
      </c>
      <c r="BB3294" t="str">
        <f t="shared" si="1382"/>
        <v xml:space="preserve">N607SR  </v>
      </c>
      <c r="BC3294">
        <v>1</v>
      </c>
      <c r="BE3294">
        <v>0</v>
      </c>
      <c r="BF3294">
        <v>0</v>
      </c>
      <c r="BG3294">
        <v>0</v>
      </c>
      <c r="BH3294">
        <v>1850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 t="shared" si="1399"/>
        <v>06:21:29.001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465</v>
      </c>
      <c r="CR3294">
        <v>0</v>
      </c>
      <c r="CW3294">
        <v>4730242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 t="shared" si="1396"/>
        <v>08/29/2020 06:21:25.778</v>
      </c>
      <c r="C3295" t="str">
        <f t="shared" si="1378"/>
        <v>FFDFD3C0</v>
      </c>
      <c r="D3295" t="s">
        <v>113</v>
      </c>
      <c r="E3295">
        <v>5</v>
      </c>
      <c r="H3295">
        <v>163</v>
      </c>
      <c r="I3295" t="s">
        <v>114</v>
      </c>
      <c r="J3295" t="s">
        <v>115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397"/>
        <v>06:21:29.000</v>
      </c>
      <c r="T3295" t="str">
        <f t="shared" si="1398"/>
        <v>06:21:28.500</v>
      </c>
      <c r="U3295" t="str">
        <f t="shared" si="1381"/>
        <v>A7E2E0</v>
      </c>
      <c r="V3295">
        <v>0</v>
      </c>
      <c r="W3295">
        <v>0</v>
      </c>
      <c r="X3295">
        <v>1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0</v>
      </c>
      <c r="AI3295" t="s">
        <v>1567</v>
      </c>
      <c r="AJ3295">
        <v>38.838729999999998</v>
      </c>
      <c r="AK3295" t="s">
        <v>1568</v>
      </c>
      <c r="AL3295">
        <v>-87.604809000000003</v>
      </c>
      <c r="AM3295">
        <v>100</v>
      </c>
      <c r="AN3295">
        <v>2100</v>
      </c>
      <c r="AO3295" t="s">
        <v>118</v>
      </c>
      <c r="AP3295">
        <v>21</v>
      </c>
      <c r="AQ3295">
        <v>-121</v>
      </c>
      <c r="AR3295">
        <v>-320</v>
      </c>
      <c r="AZ3295">
        <v>4552</v>
      </c>
      <c r="BA3295">
        <v>1</v>
      </c>
      <c r="BB3295" t="str">
        <f t="shared" si="1382"/>
        <v xml:space="preserve">N607SR  </v>
      </c>
      <c r="BC3295">
        <v>1</v>
      </c>
      <c r="BE3295">
        <v>0</v>
      </c>
      <c r="BF3295">
        <v>0</v>
      </c>
      <c r="BG3295">
        <v>0</v>
      </c>
      <c r="BH3295">
        <v>1850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 t="shared" si="1399"/>
        <v>06:21:29.001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465</v>
      </c>
      <c r="CR3295">
        <v>0</v>
      </c>
      <c r="CW3295">
        <v>4730242</v>
      </c>
      <c r="CY3295">
        <v>1</v>
      </c>
      <c r="CZ3295">
        <v>0</v>
      </c>
      <c r="DA3295">
        <v>1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 t="shared" ref="A3296:A3301" si="1400">"08/29/2020 06:21:26.736"</f>
        <v>08/29/2020 06:21:26.736</v>
      </c>
      <c r="C3296" t="str">
        <f t="shared" si="1378"/>
        <v>FFDFD3C0</v>
      </c>
      <c r="D3296" t="s">
        <v>939</v>
      </c>
      <c r="E3296">
        <v>10</v>
      </c>
      <c r="H3296">
        <v>79</v>
      </c>
      <c r="I3296" t="s">
        <v>940</v>
      </c>
      <c r="J3296" t="s">
        <v>130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ref="S3296:S3301" si="1401">"06:21:29.961"</f>
        <v>06:21:29.961</v>
      </c>
      <c r="T3296" t="str">
        <f t="shared" ref="T3296:T3301" si="1402">"06:21:29.661"</f>
        <v>06:21:29.661</v>
      </c>
      <c r="U3296" t="str">
        <f t="shared" si="1381"/>
        <v>A7E2E0</v>
      </c>
      <c r="V3296">
        <v>0</v>
      </c>
      <c r="W3296">
        <v>0</v>
      </c>
      <c r="X3296">
        <v>1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0</v>
      </c>
      <c r="AI3296" t="s">
        <v>1569</v>
      </c>
      <c r="AJ3296">
        <v>38.838172</v>
      </c>
      <c r="AK3296" t="s">
        <v>1570</v>
      </c>
      <c r="AL3296">
        <v>-87.604680000000002</v>
      </c>
      <c r="AM3296">
        <v>100</v>
      </c>
      <c r="AN3296">
        <v>2100</v>
      </c>
      <c r="AO3296" t="s">
        <v>118</v>
      </c>
      <c r="AP3296">
        <v>21</v>
      </c>
      <c r="AQ3296">
        <v>-120</v>
      </c>
      <c r="AR3296">
        <v>-320</v>
      </c>
      <c r="AZ3296">
        <v>4552</v>
      </c>
      <c r="BA3296">
        <v>1</v>
      </c>
      <c r="BB3296" t="str">
        <f t="shared" si="1382"/>
        <v xml:space="preserve">N607SR  </v>
      </c>
      <c r="BC3296">
        <v>1</v>
      </c>
      <c r="BE3296">
        <v>0</v>
      </c>
      <c r="BF3296">
        <v>0</v>
      </c>
      <c r="BG3296">
        <v>0</v>
      </c>
      <c r="BH3296">
        <v>1850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 t="shared" ref="BW3296:BW3301" si="1403">"06:21:29.966"</f>
        <v>06:21:29.966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465</v>
      </c>
      <c r="CR3296">
        <v>0</v>
      </c>
      <c r="CW3296">
        <v>4730271</v>
      </c>
      <c r="CY3296">
        <v>1</v>
      </c>
      <c r="CZ3296">
        <v>0</v>
      </c>
      <c r="DA3296">
        <v>0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 t="shared" si="1400"/>
        <v>08/29/2020 06:21:26.736</v>
      </c>
      <c r="C3297" t="str">
        <f t="shared" si="1378"/>
        <v>FFDFD3C0</v>
      </c>
      <c r="D3297" t="s">
        <v>128</v>
      </c>
      <c r="E3297">
        <v>5</v>
      </c>
      <c r="H3297">
        <v>241</v>
      </c>
      <c r="I3297" t="s">
        <v>129</v>
      </c>
      <c r="J3297" t="s">
        <v>130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401"/>
        <v>06:21:29.961</v>
      </c>
      <c r="T3297" t="str">
        <f t="shared" si="1402"/>
        <v>06:21:29.661</v>
      </c>
      <c r="U3297" t="str">
        <f t="shared" si="1381"/>
        <v>A7E2E0</v>
      </c>
      <c r="V3297">
        <v>0</v>
      </c>
      <c r="W3297">
        <v>0</v>
      </c>
      <c r="X3297">
        <v>1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0</v>
      </c>
      <c r="AI3297" t="s">
        <v>1569</v>
      </c>
      <c r="AJ3297">
        <v>38.838172</v>
      </c>
      <c r="AK3297" t="s">
        <v>1570</v>
      </c>
      <c r="AL3297">
        <v>-87.604680000000002</v>
      </c>
      <c r="AM3297">
        <v>100</v>
      </c>
      <c r="AN3297">
        <v>2100</v>
      </c>
      <c r="AO3297" t="s">
        <v>118</v>
      </c>
      <c r="AP3297">
        <v>21</v>
      </c>
      <c r="AQ3297">
        <v>-120</v>
      </c>
      <c r="AR3297">
        <v>-320</v>
      </c>
      <c r="AZ3297">
        <v>4552</v>
      </c>
      <c r="BA3297">
        <v>1</v>
      </c>
      <c r="BB3297" t="str">
        <f t="shared" si="1382"/>
        <v xml:space="preserve">N607SR  </v>
      </c>
      <c r="BC3297">
        <v>1</v>
      </c>
      <c r="BE3297">
        <v>0</v>
      </c>
      <c r="BF3297">
        <v>0</v>
      </c>
      <c r="BG3297">
        <v>0</v>
      </c>
      <c r="BH3297">
        <v>1850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 t="shared" si="1403"/>
        <v>06:21:29.966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465</v>
      </c>
      <c r="CR3297">
        <v>0</v>
      </c>
      <c r="CW3297">
        <v>4730271</v>
      </c>
      <c r="CY3297">
        <v>1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 t="shared" si="1400"/>
        <v>08/29/2020 06:21:26.736</v>
      </c>
      <c r="C3298" t="str">
        <f t="shared" si="1378"/>
        <v>FFDFD3C0</v>
      </c>
      <c r="D3298" t="s">
        <v>121</v>
      </c>
      <c r="E3298">
        <v>11</v>
      </c>
      <c r="F3298">
        <v>1011</v>
      </c>
      <c r="G3298" t="s">
        <v>125</v>
      </c>
      <c r="J3298" t="s">
        <v>123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si="1401"/>
        <v>06:21:29.961</v>
      </c>
      <c r="T3298" t="str">
        <f t="shared" si="1402"/>
        <v>06:21:29.661</v>
      </c>
      <c r="U3298" t="str">
        <f t="shared" si="1381"/>
        <v>A7E2E0</v>
      </c>
      <c r="V3298">
        <v>0</v>
      </c>
      <c r="W3298">
        <v>0</v>
      </c>
      <c r="X3298">
        <v>1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0</v>
      </c>
      <c r="AI3298" t="s">
        <v>1569</v>
      </c>
      <c r="AJ3298">
        <v>38.838172</v>
      </c>
      <c r="AK3298" t="s">
        <v>1570</v>
      </c>
      <c r="AL3298">
        <v>-87.604680000000002</v>
      </c>
      <c r="AM3298">
        <v>100</v>
      </c>
      <c r="AN3298">
        <v>2100</v>
      </c>
      <c r="AO3298" t="s">
        <v>118</v>
      </c>
      <c r="AP3298">
        <v>21</v>
      </c>
      <c r="AQ3298">
        <v>-120</v>
      </c>
      <c r="AR3298">
        <v>-320</v>
      </c>
      <c r="AZ3298">
        <v>4552</v>
      </c>
      <c r="BA3298">
        <v>1</v>
      </c>
      <c r="BB3298" t="str">
        <f t="shared" si="1382"/>
        <v xml:space="preserve">N607SR  </v>
      </c>
      <c r="BC3298">
        <v>1</v>
      </c>
      <c r="BE3298">
        <v>0</v>
      </c>
      <c r="BF3298">
        <v>0</v>
      </c>
      <c r="BG3298">
        <v>0</v>
      </c>
      <c r="BH3298">
        <v>1850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 t="shared" si="1403"/>
        <v>06:21:29.966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6</v>
      </c>
      <c r="CP3298" t="s">
        <v>119</v>
      </c>
      <c r="CQ3298">
        <v>457</v>
      </c>
      <c r="CR3298">
        <v>0</v>
      </c>
      <c r="CW3298">
        <v>15525464</v>
      </c>
      <c r="CY3298">
        <v>1</v>
      </c>
      <c r="CZ3298">
        <v>0</v>
      </c>
      <c r="DA3298">
        <v>1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 t="shared" si="1400"/>
        <v>08/29/2020 06:21:26.736</v>
      </c>
      <c r="C3299" t="str">
        <f t="shared" si="1378"/>
        <v>FFDFD3C0</v>
      </c>
      <c r="D3299" t="s">
        <v>121</v>
      </c>
      <c r="E3299">
        <v>13</v>
      </c>
      <c r="F3299">
        <v>1013</v>
      </c>
      <c r="G3299" t="s">
        <v>122</v>
      </c>
      <c r="J3299" t="s">
        <v>123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si="1401"/>
        <v>06:21:29.961</v>
      </c>
      <c r="T3299" t="str">
        <f t="shared" si="1402"/>
        <v>06:21:29.661</v>
      </c>
      <c r="U3299" t="str">
        <f t="shared" si="1381"/>
        <v>A7E2E0</v>
      </c>
      <c r="V3299">
        <v>0</v>
      </c>
      <c r="W3299">
        <v>0</v>
      </c>
      <c r="X3299">
        <v>1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0</v>
      </c>
      <c r="AI3299" t="s">
        <v>1569</v>
      </c>
      <c r="AJ3299">
        <v>38.838172</v>
      </c>
      <c r="AK3299" t="s">
        <v>1570</v>
      </c>
      <c r="AL3299">
        <v>-87.604680000000002</v>
      </c>
      <c r="AM3299">
        <v>100</v>
      </c>
      <c r="AN3299">
        <v>2100</v>
      </c>
      <c r="AO3299" t="s">
        <v>118</v>
      </c>
      <c r="AP3299">
        <v>21</v>
      </c>
      <c r="AQ3299">
        <v>-120</v>
      </c>
      <c r="AR3299">
        <v>-320</v>
      </c>
      <c r="AZ3299">
        <v>4552</v>
      </c>
      <c r="BA3299">
        <v>1</v>
      </c>
      <c r="BB3299" t="str">
        <f t="shared" si="1382"/>
        <v xml:space="preserve">N607SR  </v>
      </c>
      <c r="BC3299">
        <v>1</v>
      </c>
      <c r="BE3299">
        <v>0</v>
      </c>
      <c r="BF3299">
        <v>0</v>
      </c>
      <c r="BG3299">
        <v>0</v>
      </c>
      <c r="BH3299">
        <v>1850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 t="shared" si="1403"/>
        <v>06:21:29.966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465</v>
      </c>
      <c r="CR3299">
        <v>0</v>
      </c>
      <c r="CW3299">
        <v>4730271</v>
      </c>
      <c r="CY3299">
        <v>1</v>
      </c>
      <c r="CZ3299">
        <v>0</v>
      </c>
      <c r="DA3299">
        <v>1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 t="shared" si="1400"/>
        <v>08/29/2020 06:21:26.736</v>
      </c>
      <c r="C3300" t="str">
        <f t="shared" si="1378"/>
        <v>FFDFD3C0</v>
      </c>
      <c r="D3300" t="s">
        <v>121</v>
      </c>
      <c r="E3300">
        <v>10</v>
      </c>
      <c r="F3300">
        <v>1010</v>
      </c>
      <c r="G3300" t="s">
        <v>114</v>
      </c>
      <c r="J3300" t="s">
        <v>123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401"/>
        <v>06:21:29.961</v>
      </c>
      <c r="T3300" t="str">
        <f t="shared" si="1402"/>
        <v>06:21:29.661</v>
      </c>
      <c r="U3300" t="str">
        <f t="shared" si="1381"/>
        <v>A7E2E0</v>
      </c>
      <c r="V3300">
        <v>0</v>
      </c>
      <c r="W3300">
        <v>0</v>
      </c>
      <c r="X3300">
        <v>1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0</v>
      </c>
      <c r="AI3300" t="s">
        <v>1569</v>
      </c>
      <c r="AJ3300">
        <v>38.838172</v>
      </c>
      <c r="AK3300" t="s">
        <v>1570</v>
      </c>
      <c r="AL3300">
        <v>-87.604680000000002</v>
      </c>
      <c r="AM3300">
        <v>100</v>
      </c>
      <c r="AN3300">
        <v>2100</v>
      </c>
      <c r="AO3300" t="s">
        <v>118</v>
      </c>
      <c r="AP3300">
        <v>21</v>
      </c>
      <c r="AQ3300">
        <v>-120</v>
      </c>
      <c r="AR3300">
        <v>-320</v>
      </c>
      <c r="AZ3300">
        <v>4552</v>
      </c>
      <c r="BA3300">
        <v>1</v>
      </c>
      <c r="BB3300" t="str">
        <f t="shared" si="1382"/>
        <v xml:space="preserve">N607SR  </v>
      </c>
      <c r="BC3300">
        <v>1</v>
      </c>
      <c r="BE3300">
        <v>0</v>
      </c>
      <c r="BF3300">
        <v>0</v>
      </c>
      <c r="BG3300">
        <v>0</v>
      </c>
      <c r="BH3300">
        <v>1850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 t="shared" si="1403"/>
        <v>06:21:29.966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7</v>
      </c>
      <c r="CP3300" t="s">
        <v>119</v>
      </c>
      <c r="CQ3300">
        <v>465</v>
      </c>
      <c r="CR3300">
        <v>0</v>
      </c>
      <c r="CW3300">
        <v>4730271</v>
      </c>
      <c r="CY3300">
        <v>1</v>
      </c>
      <c r="CZ3300">
        <v>0</v>
      </c>
      <c r="DA3300">
        <v>1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 t="shared" si="1400"/>
        <v>08/29/2020 06:21:26.736</v>
      </c>
      <c r="C3301" t="str">
        <f t="shared" si="1378"/>
        <v>FFDFD3C0</v>
      </c>
      <c r="D3301" t="s">
        <v>113</v>
      </c>
      <c r="E3301">
        <v>5</v>
      </c>
      <c r="H3301">
        <v>163</v>
      </c>
      <c r="I3301" t="s">
        <v>114</v>
      </c>
      <c r="J3301" t="s">
        <v>115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401"/>
        <v>06:21:29.961</v>
      </c>
      <c r="T3301" t="str">
        <f t="shared" si="1402"/>
        <v>06:21:29.661</v>
      </c>
      <c r="U3301" t="str">
        <f t="shared" si="1381"/>
        <v>A7E2E0</v>
      </c>
      <c r="V3301">
        <v>0</v>
      </c>
      <c r="W3301">
        <v>0</v>
      </c>
      <c r="X3301">
        <v>1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0</v>
      </c>
      <c r="AI3301" t="s">
        <v>1569</v>
      </c>
      <c r="AJ3301">
        <v>38.838172</v>
      </c>
      <c r="AK3301" t="s">
        <v>1570</v>
      </c>
      <c r="AL3301">
        <v>-87.604680000000002</v>
      </c>
      <c r="AM3301">
        <v>100</v>
      </c>
      <c r="AN3301">
        <v>2100</v>
      </c>
      <c r="AO3301" t="s">
        <v>118</v>
      </c>
      <c r="AP3301">
        <v>21</v>
      </c>
      <c r="AQ3301">
        <v>-120</v>
      </c>
      <c r="AR3301">
        <v>-320</v>
      </c>
      <c r="AZ3301">
        <v>4552</v>
      </c>
      <c r="BA3301">
        <v>1</v>
      </c>
      <c r="BB3301" t="str">
        <f t="shared" si="1382"/>
        <v xml:space="preserve">N607SR  </v>
      </c>
      <c r="BC3301">
        <v>1</v>
      </c>
      <c r="BE3301">
        <v>0</v>
      </c>
      <c r="BF3301">
        <v>0</v>
      </c>
      <c r="BG3301">
        <v>0</v>
      </c>
      <c r="BH3301">
        <v>1850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 t="shared" si="1403"/>
        <v>06:21:29.966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7</v>
      </c>
      <c r="CP3301" t="s">
        <v>119</v>
      </c>
      <c r="CQ3301">
        <v>465</v>
      </c>
      <c r="CR3301">
        <v>0</v>
      </c>
      <c r="CW3301">
        <v>4730271</v>
      </c>
      <c r="CY3301">
        <v>1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 t="shared" ref="A3302:A3307" si="1404">"08/29/2020 06:21:27.694"</f>
        <v>08/29/2020 06:21:27.694</v>
      </c>
      <c r="C3302" t="str">
        <f t="shared" si="1378"/>
        <v>FFDFD3C0</v>
      </c>
      <c r="D3302" t="s">
        <v>113</v>
      </c>
      <c r="E3302">
        <v>5</v>
      </c>
      <c r="H3302">
        <v>163</v>
      </c>
      <c r="I3302" t="s">
        <v>114</v>
      </c>
      <c r="J3302" t="s">
        <v>115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ref="S3302:S3307" si="1405">"06:21:30.914"</f>
        <v>06:21:30.914</v>
      </c>
      <c r="T3302" t="str">
        <f t="shared" ref="T3302:T3307" si="1406">"06:21:30.414"</f>
        <v>06:21:30.414</v>
      </c>
      <c r="U3302" t="str">
        <f t="shared" si="1381"/>
        <v>A7E2E0</v>
      </c>
      <c r="V3302">
        <v>0</v>
      </c>
      <c r="W3302">
        <v>0</v>
      </c>
      <c r="X3302">
        <v>1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0</v>
      </c>
      <c r="AI3302" t="s">
        <v>1571</v>
      </c>
      <c r="AJ3302">
        <v>38.837636000000003</v>
      </c>
      <c r="AK3302" t="s">
        <v>1572</v>
      </c>
      <c r="AL3302">
        <v>-87.604573000000002</v>
      </c>
      <c r="AM3302">
        <v>100</v>
      </c>
      <c r="AN3302">
        <v>2100</v>
      </c>
      <c r="AO3302" t="s">
        <v>118</v>
      </c>
      <c r="AP3302">
        <v>20</v>
      </c>
      <c r="AQ3302">
        <v>-120</v>
      </c>
      <c r="AR3302">
        <v>-320</v>
      </c>
      <c r="AZ3302">
        <v>4552</v>
      </c>
      <c r="BA3302">
        <v>1</v>
      </c>
      <c r="BB3302" t="str">
        <f t="shared" si="1382"/>
        <v xml:space="preserve">N607SR  </v>
      </c>
      <c r="BC3302">
        <v>1</v>
      </c>
      <c r="BE3302">
        <v>0</v>
      </c>
      <c r="BF3302">
        <v>0</v>
      </c>
      <c r="BG3302">
        <v>0</v>
      </c>
      <c r="BH3302">
        <v>1950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 t="shared" ref="BW3302:BW3307" si="1407">"06:21:30.920"</f>
        <v>06:21:30.920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6</v>
      </c>
      <c r="CP3302" t="s">
        <v>119</v>
      </c>
      <c r="CQ3302">
        <v>465</v>
      </c>
      <c r="CR3302">
        <v>0</v>
      </c>
      <c r="CW3302">
        <v>4730298</v>
      </c>
      <c r="CY3302">
        <v>1</v>
      </c>
      <c r="CZ3302">
        <v>0</v>
      </c>
      <c r="DA3302">
        <v>0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 t="shared" si="1404"/>
        <v>08/29/2020 06:21:27.694</v>
      </c>
      <c r="C3303" t="str">
        <f t="shared" si="1378"/>
        <v>FFDFD3C0</v>
      </c>
      <c r="D3303" t="s">
        <v>939</v>
      </c>
      <c r="E3303">
        <v>10</v>
      </c>
      <c r="H3303">
        <v>79</v>
      </c>
      <c r="I3303" t="s">
        <v>940</v>
      </c>
      <c r="J3303" t="s">
        <v>130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405"/>
        <v>06:21:30.914</v>
      </c>
      <c r="T3303" t="str">
        <f t="shared" si="1406"/>
        <v>06:21:30.414</v>
      </c>
      <c r="U3303" t="str">
        <f t="shared" si="1381"/>
        <v>A7E2E0</v>
      </c>
      <c r="V3303">
        <v>0</v>
      </c>
      <c r="W3303">
        <v>0</v>
      </c>
      <c r="X3303">
        <v>1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0</v>
      </c>
      <c r="AI3303" t="s">
        <v>1571</v>
      </c>
      <c r="AJ3303">
        <v>38.837636000000003</v>
      </c>
      <c r="AK3303" t="s">
        <v>1572</v>
      </c>
      <c r="AL3303">
        <v>-87.604573000000002</v>
      </c>
      <c r="AM3303">
        <v>100</v>
      </c>
      <c r="AN3303">
        <v>2100</v>
      </c>
      <c r="AO3303" t="s">
        <v>118</v>
      </c>
      <c r="AP3303">
        <v>20</v>
      </c>
      <c r="AQ3303">
        <v>-120</v>
      </c>
      <c r="AR3303">
        <v>-320</v>
      </c>
      <c r="AZ3303">
        <v>4552</v>
      </c>
      <c r="BA3303">
        <v>1</v>
      </c>
      <c r="BB3303" t="str">
        <f t="shared" si="1382"/>
        <v xml:space="preserve">N607SR  </v>
      </c>
      <c r="BC3303">
        <v>1</v>
      </c>
      <c r="BE3303">
        <v>0</v>
      </c>
      <c r="BF3303">
        <v>0</v>
      </c>
      <c r="BG3303">
        <v>0</v>
      </c>
      <c r="BH3303">
        <v>1950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 t="shared" si="1407"/>
        <v>06:21:30.920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6</v>
      </c>
      <c r="CP3303" t="s">
        <v>119</v>
      </c>
      <c r="CQ3303">
        <v>465</v>
      </c>
      <c r="CR3303">
        <v>0</v>
      </c>
      <c r="CW3303">
        <v>4730298</v>
      </c>
      <c r="CY3303">
        <v>1</v>
      </c>
      <c r="CZ3303">
        <v>0</v>
      </c>
      <c r="DA3303">
        <v>1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 t="shared" si="1404"/>
        <v>08/29/2020 06:21:27.694</v>
      </c>
      <c r="C3304" t="str">
        <f t="shared" si="1378"/>
        <v>FFDFD3C0</v>
      </c>
      <c r="D3304" t="s">
        <v>128</v>
      </c>
      <c r="E3304">
        <v>5</v>
      </c>
      <c r="H3304">
        <v>241</v>
      </c>
      <c r="I3304" t="s">
        <v>129</v>
      </c>
      <c r="J3304" t="s">
        <v>130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si="1405"/>
        <v>06:21:30.914</v>
      </c>
      <c r="T3304" t="str">
        <f t="shared" si="1406"/>
        <v>06:21:30.414</v>
      </c>
      <c r="U3304" t="str">
        <f t="shared" si="1381"/>
        <v>A7E2E0</v>
      </c>
      <c r="V3304">
        <v>0</v>
      </c>
      <c r="W3304">
        <v>0</v>
      </c>
      <c r="X3304">
        <v>1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0</v>
      </c>
      <c r="AI3304" t="s">
        <v>1571</v>
      </c>
      <c r="AJ3304">
        <v>38.837636000000003</v>
      </c>
      <c r="AK3304" t="s">
        <v>1572</v>
      </c>
      <c r="AL3304">
        <v>-87.604573000000002</v>
      </c>
      <c r="AM3304">
        <v>100</v>
      </c>
      <c r="AN3304">
        <v>2100</v>
      </c>
      <c r="AO3304" t="s">
        <v>118</v>
      </c>
      <c r="AP3304">
        <v>20</v>
      </c>
      <c r="AQ3304">
        <v>-120</v>
      </c>
      <c r="AR3304">
        <v>-320</v>
      </c>
      <c r="AZ3304">
        <v>4552</v>
      </c>
      <c r="BA3304">
        <v>1</v>
      </c>
      <c r="BB3304" t="str">
        <f t="shared" si="1382"/>
        <v xml:space="preserve">N607SR  </v>
      </c>
      <c r="BC3304">
        <v>1</v>
      </c>
      <c r="BE3304">
        <v>0</v>
      </c>
      <c r="BF3304">
        <v>0</v>
      </c>
      <c r="BG3304">
        <v>0</v>
      </c>
      <c r="BH3304">
        <v>1950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 t="shared" si="1407"/>
        <v>06:21:30.920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6</v>
      </c>
      <c r="CP3304" t="s">
        <v>119</v>
      </c>
      <c r="CQ3304">
        <v>465</v>
      </c>
      <c r="CR3304">
        <v>0</v>
      </c>
      <c r="CW3304">
        <v>4730298</v>
      </c>
      <c r="CY3304">
        <v>1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 t="shared" si="1404"/>
        <v>08/29/2020 06:21:27.694</v>
      </c>
      <c r="C3305" t="str">
        <f t="shared" si="1378"/>
        <v>FFDFD3C0</v>
      </c>
      <c r="D3305" t="s">
        <v>121</v>
      </c>
      <c r="E3305">
        <v>11</v>
      </c>
      <c r="F3305">
        <v>1011</v>
      </c>
      <c r="G3305" t="s">
        <v>125</v>
      </c>
      <c r="J3305" t="s">
        <v>123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si="1405"/>
        <v>06:21:30.914</v>
      </c>
      <c r="T3305" t="str">
        <f t="shared" si="1406"/>
        <v>06:21:30.414</v>
      </c>
      <c r="U3305" t="str">
        <f t="shared" si="1381"/>
        <v>A7E2E0</v>
      </c>
      <c r="V3305">
        <v>0</v>
      </c>
      <c r="W3305">
        <v>0</v>
      </c>
      <c r="X3305">
        <v>1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0</v>
      </c>
      <c r="AI3305" t="s">
        <v>1571</v>
      </c>
      <c r="AJ3305">
        <v>38.837636000000003</v>
      </c>
      <c r="AK3305" t="s">
        <v>1572</v>
      </c>
      <c r="AL3305">
        <v>-87.604573000000002</v>
      </c>
      <c r="AM3305">
        <v>100</v>
      </c>
      <c r="AN3305">
        <v>2100</v>
      </c>
      <c r="AO3305" t="s">
        <v>118</v>
      </c>
      <c r="AP3305">
        <v>20</v>
      </c>
      <c r="AQ3305">
        <v>-120</v>
      </c>
      <c r="AR3305">
        <v>-320</v>
      </c>
      <c r="AZ3305">
        <v>4552</v>
      </c>
      <c r="BA3305">
        <v>1</v>
      </c>
      <c r="BB3305" t="str">
        <f t="shared" si="1382"/>
        <v xml:space="preserve">N607SR  </v>
      </c>
      <c r="BC3305">
        <v>1</v>
      </c>
      <c r="BE3305">
        <v>0</v>
      </c>
      <c r="BF3305">
        <v>0</v>
      </c>
      <c r="BG3305">
        <v>0</v>
      </c>
      <c r="BH3305">
        <v>1950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 t="shared" si="1407"/>
        <v>06:21:30.920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6</v>
      </c>
      <c r="CP3305" t="s">
        <v>119</v>
      </c>
      <c r="CQ3305">
        <v>457</v>
      </c>
      <c r="CR3305">
        <v>0</v>
      </c>
      <c r="CW3305">
        <v>15525496</v>
      </c>
      <c r="CY3305">
        <v>1</v>
      </c>
      <c r="CZ3305">
        <v>0</v>
      </c>
      <c r="DA3305">
        <v>1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 t="shared" si="1404"/>
        <v>08/29/2020 06:21:27.694</v>
      </c>
      <c r="C3306" t="str">
        <f t="shared" si="1378"/>
        <v>FFDFD3C0</v>
      </c>
      <c r="D3306" t="s">
        <v>121</v>
      </c>
      <c r="E3306">
        <v>13</v>
      </c>
      <c r="F3306">
        <v>1013</v>
      </c>
      <c r="G3306" t="s">
        <v>122</v>
      </c>
      <c r="J3306" t="s">
        <v>123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405"/>
        <v>06:21:30.914</v>
      </c>
      <c r="T3306" t="str">
        <f t="shared" si="1406"/>
        <v>06:21:30.414</v>
      </c>
      <c r="U3306" t="str">
        <f t="shared" si="1381"/>
        <v>A7E2E0</v>
      </c>
      <c r="V3306">
        <v>0</v>
      </c>
      <c r="W3306">
        <v>0</v>
      </c>
      <c r="X3306">
        <v>1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0</v>
      </c>
      <c r="AI3306" t="s">
        <v>1571</v>
      </c>
      <c r="AJ3306">
        <v>38.837636000000003</v>
      </c>
      <c r="AK3306" t="s">
        <v>1572</v>
      </c>
      <c r="AL3306">
        <v>-87.604573000000002</v>
      </c>
      <c r="AM3306">
        <v>100</v>
      </c>
      <c r="AN3306">
        <v>2100</v>
      </c>
      <c r="AO3306" t="s">
        <v>118</v>
      </c>
      <c r="AP3306">
        <v>20</v>
      </c>
      <c r="AQ3306">
        <v>-120</v>
      </c>
      <c r="AR3306">
        <v>-320</v>
      </c>
      <c r="AZ3306">
        <v>4552</v>
      </c>
      <c r="BA3306">
        <v>1</v>
      </c>
      <c r="BB3306" t="str">
        <f t="shared" si="1382"/>
        <v xml:space="preserve">N607SR  </v>
      </c>
      <c r="BC3306">
        <v>1</v>
      </c>
      <c r="BE3306">
        <v>0</v>
      </c>
      <c r="BF3306">
        <v>0</v>
      </c>
      <c r="BG3306">
        <v>0</v>
      </c>
      <c r="BH3306">
        <v>1950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 t="shared" si="1407"/>
        <v>06:21:30.920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6</v>
      </c>
      <c r="CP3306" t="s">
        <v>119</v>
      </c>
      <c r="CQ3306">
        <v>465</v>
      </c>
      <c r="CR3306">
        <v>0</v>
      </c>
      <c r="CW3306">
        <v>4730298</v>
      </c>
      <c r="CY3306">
        <v>1</v>
      </c>
      <c r="CZ3306">
        <v>0</v>
      </c>
      <c r="DA3306">
        <v>1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 t="shared" si="1404"/>
        <v>08/29/2020 06:21:27.694</v>
      </c>
      <c r="C3307" t="str">
        <f t="shared" si="1378"/>
        <v>FFDFD3C0</v>
      </c>
      <c r="D3307" t="s">
        <v>121</v>
      </c>
      <c r="E3307">
        <v>10</v>
      </c>
      <c r="F3307">
        <v>1010</v>
      </c>
      <c r="G3307" t="s">
        <v>114</v>
      </c>
      <c r="J3307" t="s">
        <v>123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405"/>
        <v>06:21:30.914</v>
      </c>
      <c r="T3307" t="str">
        <f t="shared" si="1406"/>
        <v>06:21:30.414</v>
      </c>
      <c r="U3307" t="str">
        <f t="shared" si="1381"/>
        <v>A7E2E0</v>
      </c>
      <c r="V3307">
        <v>0</v>
      </c>
      <c r="W3307">
        <v>0</v>
      </c>
      <c r="X3307">
        <v>1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0</v>
      </c>
      <c r="AI3307" t="s">
        <v>1571</v>
      </c>
      <c r="AJ3307">
        <v>38.837636000000003</v>
      </c>
      <c r="AK3307" t="s">
        <v>1572</v>
      </c>
      <c r="AL3307">
        <v>-87.604573000000002</v>
      </c>
      <c r="AM3307">
        <v>100</v>
      </c>
      <c r="AN3307">
        <v>2100</v>
      </c>
      <c r="AO3307" t="s">
        <v>118</v>
      </c>
      <c r="AP3307">
        <v>20</v>
      </c>
      <c r="AQ3307">
        <v>-120</v>
      </c>
      <c r="AR3307">
        <v>-320</v>
      </c>
      <c r="AZ3307">
        <v>4552</v>
      </c>
      <c r="BA3307">
        <v>1</v>
      </c>
      <c r="BB3307" t="str">
        <f t="shared" si="1382"/>
        <v xml:space="preserve">N607SR  </v>
      </c>
      <c r="BC3307">
        <v>1</v>
      </c>
      <c r="BE3307">
        <v>0</v>
      </c>
      <c r="BF3307">
        <v>0</v>
      </c>
      <c r="BG3307">
        <v>0</v>
      </c>
      <c r="BH3307">
        <v>1950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 t="shared" si="1407"/>
        <v>06:21:30.920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6</v>
      </c>
      <c r="CP3307" t="s">
        <v>119</v>
      </c>
      <c r="CQ3307">
        <v>465</v>
      </c>
      <c r="CR3307">
        <v>0</v>
      </c>
      <c r="CW3307">
        <v>4730298</v>
      </c>
      <c r="CY3307">
        <v>1</v>
      </c>
      <c r="CZ3307">
        <v>0</v>
      </c>
      <c r="DA3307">
        <v>1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 t="shared" ref="A3308:A3313" si="1408">"08/29/2020 06:21:28.652"</f>
        <v>08/29/2020 06:21:28.652</v>
      </c>
      <c r="C3308" t="str">
        <f t="shared" si="1378"/>
        <v>FFDFD3C0</v>
      </c>
      <c r="D3308" t="s">
        <v>939</v>
      </c>
      <c r="E3308">
        <v>10</v>
      </c>
      <c r="H3308">
        <v>79</v>
      </c>
      <c r="I3308" t="s">
        <v>940</v>
      </c>
      <c r="J3308" t="s">
        <v>130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ref="S3308:S3313" si="1409">"06:21:31.898"</f>
        <v>06:21:31.898</v>
      </c>
      <c r="T3308" t="str">
        <f t="shared" ref="T3308:T3313" si="1410">"06:21:31.498"</f>
        <v>06:21:31.498</v>
      </c>
      <c r="U3308" t="str">
        <f t="shared" si="1381"/>
        <v>A7E2E0</v>
      </c>
      <c r="V3308">
        <v>0</v>
      </c>
      <c r="W3308">
        <v>0</v>
      </c>
      <c r="X3308">
        <v>1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0</v>
      </c>
      <c r="AI3308" t="s">
        <v>1573</v>
      </c>
      <c r="AJ3308">
        <v>38.837142</v>
      </c>
      <c r="AK3308" t="s">
        <v>1574</v>
      </c>
      <c r="AL3308">
        <v>-87.604487000000006</v>
      </c>
      <c r="AM3308">
        <v>100</v>
      </c>
      <c r="AN3308">
        <v>2100</v>
      </c>
      <c r="AO3308" t="s">
        <v>118</v>
      </c>
      <c r="AP3308">
        <v>19</v>
      </c>
      <c r="AQ3308">
        <v>-119</v>
      </c>
      <c r="AR3308">
        <v>-320</v>
      </c>
      <c r="AZ3308">
        <v>4552</v>
      </c>
      <c r="BA3308">
        <v>1</v>
      </c>
      <c r="BB3308" t="str">
        <f t="shared" si="1382"/>
        <v xml:space="preserve">N607SR  </v>
      </c>
      <c r="BC3308">
        <v>1</v>
      </c>
      <c r="BE3308">
        <v>0</v>
      </c>
      <c r="BF3308">
        <v>0</v>
      </c>
      <c r="BG3308">
        <v>0</v>
      </c>
      <c r="BH3308">
        <v>1925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 t="shared" ref="BW3308:BW3313" si="1411">"06:21:31.901"</f>
        <v>06:21:31.901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6</v>
      </c>
      <c r="CP3308" t="s">
        <v>119</v>
      </c>
      <c r="CQ3308">
        <v>465</v>
      </c>
      <c r="CR3308">
        <v>0</v>
      </c>
      <c r="CW3308">
        <v>4730329</v>
      </c>
      <c r="CY3308">
        <v>1</v>
      </c>
      <c r="CZ3308">
        <v>0</v>
      </c>
      <c r="DA3308">
        <v>0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 t="shared" si="1408"/>
        <v>08/29/2020 06:21:28.652</v>
      </c>
      <c r="C3309" t="str">
        <f t="shared" si="1378"/>
        <v>FFDFD3C0</v>
      </c>
      <c r="D3309" t="s">
        <v>113</v>
      </c>
      <c r="E3309">
        <v>5</v>
      </c>
      <c r="H3309">
        <v>163</v>
      </c>
      <c r="I3309" t="s">
        <v>114</v>
      </c>
      <c r="J3309" t="s">
        <v>115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409"/>
        <v>06:21:31.898</v>
      </c>
      <c r="T3309" t="str">
        <f t="shared" si="1410"/>
        <v>06:21:31.498</v>
      </c>
      <c r="U3309" t="str">
        <f t="shared" si="1381"/>
        <v>A7E2E0</v>
      </c>
      <c r="V3309">
        <v>0</v>
      </c>
      <c r="W3309">
        <v>0</v>
      </c>
      <c r="X3309">
        <v>1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0</v>
      </c>
      <c r="AI3309" t="s">
        <v>1573</v>
      </c>
      <c r="AJ3309">
        <v>38.837142</v>
      </c>
      <c r="AK3309" t="s">
        <v>1574</v>
      </c>
      <c r="AL3309">
        <v>-87.604487000000006</v>
      </c>
      <c r="AM3309">
        <v>100</v>
      </c>
      <c r="AN3309">
        <v>2100</v>
      </c>
      <c r="AO3309" t="s">
        <v>118</v>
      </c>
      <c r="AP3309">
        <v>19</v>
      </c>
      <c r="AQ3309">
        <v>-119</v>
      </c>
      <c r="AR3309">
        <v>-320</v>
      </c>
      <c r="AZ3309">
        <v>4552</v>
      </c>
      <c r="BA3309">
        <v>1</v>
      </c>
      <c r="BB3309" t="str">
        <f t="shared" si="1382"/>
        <v xml:space="preserve">N607SR  </v>
      </c>
      <c r="BC3309">
        <v>1</v>
      </c>
      <c r="BE3309">
        <v>0</v>
      </c>
      <c r="BF3309">
        <v>0</v>
      </c>
      <c r="BG3309">
        <v>0</v>
      </c>
      <c r="BH3309">
        <v>1925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 t="shared" si="1411"/>
        <v>06:21:31.901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6</v>
      </c>
      <c r="CP3309" t="s">
        <v>119</v>
      </c>
      <c r="CQ3309">
        <v>177</v>
      </c>
      <c r="CR3309">
        <v>2</v>
      </c>
      <c r="CW3309">
        <v>1695880</v>
      </c>
      <c r="CY3309">
        <v>1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 t="shared" si="1408"/>
        <v>08/29/2020 06:21:28.652</v>
      </c>
      <c r="C3310" t="str">
        <f t="shared" si="1378"/>
        <v>FFDFD3C0</v>
      </c>
      <c r="D3310" t="s">
        <v>128</v>
      </c>
      <c r="E3310">
        <v>5</v>
      </c>
      <c r="H3310">
        <v>241</v>
      </c>
      <c r="I3310" t="s">
        <v>129</v>
      </c>
      <c r="J3310" t="s">
        <v>130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si="1409"/>
        <v>06:21:31.898</v>
      </c>
      <c r="T3310" t="str">
        <f t="shared" si="1410"/>
        <v>06:21:31.498</v>
      </c>
      <c r="U3310" t="str">
        <f t="shared" si="1381"/>
        <v>A7E2E0</v>
      </c>
      <c r="V3310">
        <v>0</v>
      </c>
      <c r="W3310">
        <v>0</v>
      </c>
      <c r="X3310">
        <v>1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0</v>
      </c>
      <c r="AI3310" t="s">
        <v>1573</v>
      </c>
      <c r="AJ3310">
        <v>38.837142</v>
      </c>
      <c r="AK3310" t="s">
        <v>1574</v>
      </c>
      <c r="AL3310">
        <v>-87.604487000000006</v>
      </c>
      <c r="AM3310">
        <v>100</v>
      </c>
      <c r="AN3310">
        <v>2100</v>
      </c>
      <c r="AO3310" t="s">
        <v>118</v>
      </c>
      <c r="AP3310">
        <v>19</v>
      </c>
      <c r="AQ3310">
        <v>-119</v>
      </c>
      <c r="AR3310">
        <v>-320</v>
      </c>
      <c r="AZ3310">
        <v>4552</v>
      </c>
      <c r="BA3310">
        <v>1</v>
      </c>
      <c r="BB3310" t="str">
        <f t="shared" si="1382"/>
        <v xml:space="preserve">N607SR  </v>
      </c>
      <c r="BC3310">
        <v>1</v>
      </c>
      <c r="BE3310">
        <v>0</v>
      </c>
      <c r="BF3310">
        <v>0</v>
      </c>
      <c r="BG3310">
        <v>0</v>
      </c>
      <c r="BH3310">
        <v>1925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 t="shared" si="1411"/>
        <v>06:21:31.901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6</v>
      </c>
      <c r="CP3310" t="s">
        <v>119</v>
      </c>
      <c r="CQ3310">
        <v>177</v>
      </c>
      <c r="CR3310">
        <v>2</v>
      </c>
      <c r="CW3310">
        <v>1695880</v>
      </c>
      <c r="CY3310">
        <v>1</v>
      </c>
      <c r="CZ3310">
        <v>0</v>
      </c>
      <c r="DA3310">
        <v>1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 t="shared" si="1408"/>
        <v>08/29/2020 06:21:28.652</v>
      </c>
      <c r="C3311" t="str">
        <f t="shared" si="1378"/>
        <v>FFDFD3C0</v>
      </c>
      <c r="D3311" t="s">
        <v>121</v>
      </c>
      <c r="E3311">
        <v>10</v>
      </c>
      <c r="F3311">
        <v>1010</v>
      </c>
      <c r="G3311" t="s">
        <v>114</v>
      </c>
      <c r="J3311" t="s">
        <v>123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409"/>
        <v>06:21:31.898</v>
      </c>
      <c r="T3311" t="str">
        <f t="shared" si="1410"/>
        <v>06:21:31.498</v>
      </c>
      <c r="U3311" t="str">
        <f t="shared" si="1381"/>
        <v>A7E2E0</v>
      </c>
      <c r="V3311">
        <v>0</v>
      </c>
      <c r="W3311">
        <v>0</v>
      </c>
      <c r="X3311">
        <v>1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0</v>
      </c>
      <c r="AI3311" t="s">
        <v>1573</v>
      </c>
      <c r="AJ3311">
        <v>38.837142</v>
      </c>
      <c r="AK3311" t="s">
        <v>1574</v>
      </c>
      <c r="AL3311">
        <v>-87.604487000000006</v>
      </c>
      <c r="AM3311">
        <v>100</v>
      </c>
      <c r="AN3311">
        <v>2100</v>
      </c>
      <c r="AO3311" t="s">
        <v>118</v>
      </c>
      <c r="AP3311">
        <v>19</v>
      </c>
      <c r="AQ3311">
        <v>-119</v>
      </c>
      <c r="AR3311">
        <v>-320</v>
      </c>
      <c r="AZ3311">
        <v>4552</v>
      </c>
      <c r="BA3311">
        <v>1</v>
      </c>
      <c r="BB3311" t="str">
        <f t="shared" si="1382"/>
        <v xml:space="preserve">N607SR  </v>
      </c>
      <c r="BC3311">
        <v>1</v>
      </c>
      <c r="BE3311">
        <v>0</v>
      </c>
      <c r="BF3311">
        <v>0</v>
      </c>
      <c r="BG3311">
        <v>0</v>
      </c>
      <c r="BH3311">
        <v>1925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 t="shared" si="1411"/>
        <v>06:21:31.901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6</v>
      </c>
      <c r="CP3311" t="s">
        <v>119</v>
      </c>
      <c r="CQ3311">
        <v>177</v>
      </c>
      <c r="CR3311">
        <v>2</v>
      </c>
      <c r="CW3311">
        <v>1695880</v>
      </c>
      <c r="CY3311">
        <v>1</v>
      </c>
      <c r="CZ3311">
        <v>0</v>
      </c>
      <c r="DA3311">
        <v>1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 t="shared" si="1408"/>
        <v>08/29/2020 06:21:28.652</v>
      </c>
      <c r="C3312" t="str">
        <f t="shared" si="1378"/>
        <v>FFDFD3C0</v>
      </c>
      <c r="D3312" t="s">
        <v>121</v>
      </c>
      <c r="E3312">
        <v>11</v>
      </c>
      <c r="F3312">
        <v>1011</v>
      </c>
      <c r="G3312" t="s">
        <v>125</v>
      </c>
      <c r="J3312" t="s">
        <v>123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si="1409"/>
        <v>06:21:31.898</v>
      </c>
      <c r="T3312" t="str">
        <f t="shared" si="1410"/>
        <v>06:21:31.498</v>
      </c>
      <c r="U3312" t="str">
        <f t="shared" si="1381"/>
        <v>A7E2E0</v>
      </c>
      <c r="V3312">
        <v>0</v>
      </c>
      <c r="W3312">
        <v>0</v>
      </c>
      <c r="X3312">
        <v>1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0</v>
      </c>
      <c r="AI3312" t="s">
        <v>1573</v>
      </c>
      <c r="AJ3312">
        <v>38.837142</v>
      </c>
      <c r="AK3312" t="s">
        <v>1574</v>
      </c>
      <c r="AL3312">
        <v>-87.604487000000006</v>
      </c>
      <c r="AM3312">
        <v>100</v>
      </c>
      <c r="AN3312">
        <v>2100</v>
      </c>
      <c r="AO3312" t="s">
        <v>118</v>
      </c>
      <c r="AP3312">
        <v>19</v>
      </c>
      <c r="AQ3312">
        <v>-119</v>
      </c>
      <c r="AR3312">
        <v>-320</v>
      </c>
      <c r="AZ3312">
        <v>4552</v>
      </c>
      <c r="BA3312">
        <v>1</v>
      </c>
      <c r="BB3312" t="str">
        <f t="shared" si="1382"/>
        <v xml:space="preserve">N607SR  </v>
      </c>
      <c r="BC3312">
        <v>1</v>
      </c>
      <c r="BE3312">
        <v>0</v>
      </c>
      <c r="BF3312">
        <v>0</v>
      </c>
      <c r="BG3312">
        <v>0</v>
      </c>
      <c r="BH3312">
        <v>1925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 t="shared" si="1411"/>
        <v>06:21:31.901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6</v>
      </c>
      <c r="CP3312" t="s">
        <v>119</v>
      </c>
      <c r="CQ3312">
        <v>177</v>
      </c>
      <c r="CR3312">
        <v>2</v>
      </c>
      <c r="CW3312">
        <v>1695880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 t="shared" si="1408"/>
        <v>08/29/2020 06:21:28.652</v>
      </c>
      <c r="C3313" t="str">
        <f t="shared" si="1378"/>
        <v>FFDFD3C0</v>
      </c>
      <c r="D3313" t="s">
        <v>121</v>
      </c>
      <c r="E3313">
        <v>13</v>
      </c>
      <c r="F3313">
        <v>1013</v>
      </c>
      <c r="G3313" t="s">
        <v>122</v>
      </c>
      <c r="J3313" t="s">
        <v>123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409"/>
        <v>06:21:31.898</v>
      </c>
      <c r="T3313" t="str">
        <f t="shared" si="1410"/>
        <v>06:21:31.498</v>
      </c>
      <c r="U3313" t="str">
        <f t="shared" si="1381"/>
        <v>A7E2E0</v>
      </c>
      <c r="V3313">
        <v>0</v>
      </c>
      <c r="W3313">
        <v>0</v>
      </c>
      <c r="X3313">
        <v>1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0</v>
      </c>
      <c r="AI3313" t="s">
        <v>1573</v>
      </c>
      <c r="AJ3313">
        <v>38.837142</v>
      </c>
      <c r="AK3313" t="s">
        <v>1574</v>
      </c>
      <c r="AL3313">
        <v>-87.604487000000006</v>
      </c>
      <c r="AM3313">
        <v>100</v>
      </c>
      <c r="AN3313">
        <v>2100</v>
      </c>
      <c r="AO3313" t="s">
        <v>118</v>
      </c>
      <c r="AP3313">
        <v>19</v>
      </c>
      <c r="AQ3313">
        <v>-119</v>
      </c>
      <c r="AR3313">
        <v>-320</v>
      </c>
      <c r="AZ3313">
        <v>4552</v>
      </c>
      <c r="BA3313">
        <v>1</v>
      </c>
      <c r="BB3313" t="str">
        <f t="shared" si="1382"/>
        <v xml:space="preserve">N607SR  </v>
      </c>
      <c r="BC3313">
        <v>1</v>
      </c>
      <c r="BE3313">
        <v>0</v>
      </c>
      <c r="BF3313">
        <v>0</v>
      </c>
      <c r="BG3313">
        <v>0</v>
      </c>
      <c r="BH3313">
        <v>1925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 t="shared" si="1411"/>
        <v>06:21:31.901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6</v>
      </c>
      <c r="CP3313" t="s">
        <v>119</v>
      </c>
      <c r="CQ3313">
        <v>177</v>
      </c>
      <c r="CR3313">
        <v>2</v>
      </c>
      <c r="CW3313">
        <v>1695880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 t="shared" ref="A3314:A3319" si="1412">"08/29/2020 06:21:29.672"</f>
        <v>08/29/2020 06:21:29.672</v>
      </c>
      <c r="C3314" t="str">
        <f t="shared" si="1378"/>
        <v>FFDFD3C0</v>
      </c>
      <c r="D3314" t="s">
        <v>113</v>
      </c>
      <c r="E3314">
        <v>5</v>
      </c>
      <c r="H3314">
        <v>163</v>
      </c>
      <c r="I3314" t="s">
        <v>114</v>
      </c>
      <c r="J3314" t="s">
        <v>115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ref="S3314:S3319" si="1413">"06:21:32.891"</f>
        <v>06:21:32.891</v>
      </c>
      <c r="T3314" t="str">
        <f t="shared" ref="T3314:T3319" si="1414">"06:21:32.391"</f>
        <v>06:21:32.391</v>
      </c>
      <c r="U3314" t="str">
        <f t="shared" si="1381"/>
        <v>A7E2E0</v>
      </c>
      <c r="V3314">
        <v>0</v>
      </c>
      <c r="W3314">
        <v>0</v>
      </c>
      <c r="X3314">
        <v>1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0</v>
      </c>
      <c r="AI3314" t="s">
        <v>1575</v>
      </c>
      <c r="AJ3314">
        <v>38.836584000000002</v>
      </c>
      <c r="AK3314" t="s">
        <v>1222</v>
      </c>
      <c r="AL3314">
        <v>-87.604380000000006</v>
      </c>
      <c r="AM3314">
        <v>100</v>
      </c>
      <c r="AN3314">
        <v>2100</v>
      </c>
      <c r="AO3314" t="s">
        <v>118</v>
      </c>
      <c r="AP3314">
        <v>18</v>
      </c>
      <c r="AQ3314">
        <v>-119</v>
      </c>
      <c r="AR3314">
        <v>-384</v>
      </c>
      <c r="AZ3314">
        <v>4552</v>
      </c>
      <c r="BA3314">
        <v>1</v>
      </c>
      <c r="BB3314" t="str">
        <f t="shared" si="1382"/>
        <v xml:space="preserve">N607SR  </v>
      </c>
      <c r="BC3314">
        <v>1</v>
      </c>
      <c r="BE3314">
        <v>0</v>
      </c>
      <c r="BF3314">
        <v>0</v>
      </c>
      <c r="BG3314">
        <v>0</v>
      </c>
      <c r="BH3314">
        <v>1925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 t="shared" ref="BW3314:BW3319" si="1415">"06:21:32.892"</f>
        <v>06:21:32.892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6</v>
      </c>
      <c r="CP3314" t="s">
        <v>119</v>
      </c>
      <c r="CQ3314">
        <v>465</v>
      </c>
      <c r="CR3314">
        <v>0</v>
      </c>
      <c r="CW3314">
        <v>4730359</v>
      </c>
      <c r="CY3314">
        <v>1</v>
      </c>
      <c r="CZ3314">
        <v>0</v>
      </c>
      <c r="DA3314">
        <v>0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 t="shared" si="1412"/>
        <v>08/29/2020 06:21:29.672</v>
      </c>
      <c r="C3315" t="str">
        <f t="shared" si="1378"/>
        <v>FFDFD3C0</v>
      </c>
      <c r="D3315" t="s">
        <v>121</v>
      </c>
      <c r="E3315">
        <v>11</v>
      </c>
      <c r="F3315">
        <v>1011</v>
      </c>
      <c r="G3315" t="s">
        <v>125</v>
      </c>
      <c r="J3315" t="s">
        <v>123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413"/>
        <v>06:21:32.891</v>
      </c>
      <c r="T3315" t="str">
        <f t="shared" si="1414"/>
        <v>06:21:32.391</v>
      </c>
      <c r="U3315" t="str">
        <f t="shared" si="1381"/>
        <v>A7E2E0</v>
      </c>
      <c r="V3315">
        <v>0</v>
      </c>
      <c r="W3315">
        <v>0</v>
      </c>
      <c r="X3315">
        <v>1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0</v>
      </c>
      <c r="AI3315" t="s">
        <v>1575</v>
      </c>
      <c r="AJ3315">
        <v>38.836584000000002</v>
      </c>
      <c r="AK3315" t="s">
        <v>1222</v>
      </c>
      <c r="AL3315">
        <v>-87.604380000000006</v>
      </c>
      <c r="AM3315">
        <v>100</v>
      </c>
      <c r="AN3315">
        <v>2100</v>
      </c>
      <c r="AO3315" t="s">
        <v>118</v>
      </c>
      <c r="AP3315">
        <v>18</v>
      </c>
      <c r="AQ3315">
        <v>-119</v>
      </c>
      <c r="AR3315">
        <v>-384</v>
      </c>
      <c r="AZ3315">
        <v>4552</v>
      </c>
      <c r="BA3315">
        <v>1</v>
      </c>
      <c r="BB3315" t="str">
        <f t="shared" si="1382"/>
        <v xml:space="preserve">N607SR  </v>
      </c>
      <c r="BC3315">
        <v>1</v>
      </c>
      <c r="BE3315">
        <v>0</v>
      </c>
      <c r="BF3315">
        <v>0</v>
      </c>
      <c r="BG3315">
        <v>0</v>
      </c>
      <c r="BH3315">
        <v>1925</v>
      </c>
      <c r="BI3315">
        <v>1</v>
      </c>
      <c r="BJ3315">
        <v>1</v>
      </c>
      <c r="BK3315">
        <v>1</v>
      </c>
      <c r="BL3315">
        <v>0</v>
      </c>
      <c r="BO3315">
        <v>0</v>
      </c>
      <c r="BP3315">
        <v>0</v>
      </c>
      <c r="BW3315" t="str">
        <f t="shared" si="1415"/>
        <v>06:21:32.892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6</v>
      </c>
      <c r="CP3315" t="s">
        <v>119</v>
      </c>
      <c r="CQ3315">
        <v>457</v>
      </c>
      <c r="CR3315">
        <v>0</v>
      </c>
      <c r="CW3315">
        <v>15525557</v>
      </c>
      <c r="CY3315">
        <v>1</v>
      </c>
      <c r="CZ3315">
        <v>0</v>
      </c>
      <c r="DA3315">
        <v>1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 t="shared" si="1412"/>
        <v>08/29/2020 06:21:29.672</v>
      </c>
      <c r="C3316" t="str">
        <f t="shared" si="1378"/>
        <v>FFDFD3C0</v>
      </c>
      <c r="D3316" t="s">
        <v>121</v>
      </c>
      <c r="E3316">
        <v>10</v>
      </c>
      <c r="F3316">
        <v>1010</v>
      </c>
      <c r="G3316" t="s">
        <v>114</v>
      </c>
      <c r="J3316" t="s">
        <v>123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413"/>
        <v>06:21:32.891</v>
      </c>
      <c r="T3316" t="str">
        <f t="shared" si="1414"/>
        <v>06:21:32.391</v>
      </c>
      <c r="U3316" t="str">
        <f t="shared" si="1381"/>
        <v>A7E2E0</v>
      </c>
      <c r="V3316">
        <v>0</v>
      </c>
      <c r="W3316">
        <v>0</v>
      </c>
      <c r="X3316">
        <v>1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3</v>
      </c>
      <c r="AG3316">
        <v>2</v>
      </c>
      <c r="AH3316">
        <v>0</v>
      </c>
      <c r="AI3316" t="s">
        <v>1575</v>
      </c>
      <c r="AJ3316">
        <v>38.836584000000002</v>
      </c>
      <c r="AK3316" t="s">
        <v>1222</v>
      </c>
      <c r="AL3316">
        <v>-87.604380000000006</v>
      </c>
      <c r="AM3316">
        <v>100</v>
      </c>
      <c r="AN3316">
        <v>2100</v>
      </c>
      <c r="AO3316" t="s">
        <v>118</v>
      </c>
      <c r="AP3316">
        <v>18</v>
      </c>
      <c r="AQ3316">
        <v>-119</v>
      </c>
      <c r="AR3316">
        <v>-384</v>
      </c>
      <c r="AZ3316">
        <v>4552</v>
      </c>
      <c r="BA3316">
        <v>1</v>
      </c>
      <c r="BB3316" t="str">
        <f t="shared" si="1382"/>
        <v xml:space="preserve">N607SR  </v>
      </c>
      <c r="BC3316">
        <v>1</v>
      </c>
      <c r="BE3316">
        <v>0</v>
      </c>
      <c r="BF3316">
        <v>0</v>
      </c>
      <c r="BG3316">
        <v>0</v>
      </c>
      <c r="BH3316">
        <v>1925</v>
      </c>
      <c r="BI3316">
        <v>1</v>
      </c>
      <c r="BJ3316">
        <v>1</v>
      </c>
      <c r="BK3316">
        <v>1</v>
      </c>
      <c r="BL3316">
        <v>0</v>
      </c>
      <c r="BO3316">
        <v>0</v>
      </c>
      <c r="BP3316">
        <v>0</v>
      </c>
      <c r="BW3316" t="str">
        <f t="shared" si="1415"/>
        <v>06:21:32.892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6</v>
      </c>
      <c r="CP3316" t="s">
        <v>119</v>
      </c>
      <c r="CQ3316">
        <v>465</v>
      </c>
      <c r="CR3316">
        <v>0</v>
      </c>
      <c r="CW3316">
        <v>4730359</v>
      </c>
      <c r="CY3316">
        <v>1</v>
      </c>
      <c r="CZ3316">
        <v>0</v>
      </c>
      <c r="DA3316">
        <v>1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 t="shared" si="1412"/>
        <v>08/29/2020 06:21:29.672</v>
      </c>
      <c r="C3317" t="str">
        <f t="shared" si="1378"/>
        <v>FFDFD3C0</v>
      </c>
      <c r="D3317" t="s">
        <v>128</v>
      </c>
      <c r="E3317">
        <v>5</v>
      </c>
      <c r="H3317">
        <v>241</v>
      </c>
      <c r="I3317" t="s">
        <v>129</v>
      </c>
      <c r="J3317" t="s">
        <v>130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413"/>
        <v>06:21:32.891</v>
      </c>
      <c r="T3317" t="str">
        <f t="shared" si="1414"/>
        <v>06:21:32.391</v>
      </c>
      <c r="U3317" t="str">
        <f t="shared" si="1381"/>
        <v>A7E2E0</v>
      </c>
      <c r="V3317">
        <v>0</v>
      </c>
      <c r="W3317">
        <v>0</v>
      </c>
      <c r="X3317">
        <v>1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0</v>
      </c>
      <c r="AI3317" t="s">
        <v>1575</v>
      </c>
      <c r="AJ3317">
        <v>38.836584000000002</v>
      </c>
      <c r="AK3317" t="s">
        <v>1222</v>
      </c>
      <c r="AL3317">
        <v>-87.604380000000006</v>
      </c>
      <c r="AM3317">
        <v>100</v>
      </c>
      <c r="AN3317">
        <v>2100</v>
      </c>
      <c r="AO3317" t="s">
        <v>118</v>
      </c>
      <c r="AP3317">
        <v>18</v>
      </c>
      <c r="AQ3317">
        <v>-119</v>
      </c>
      <c r="AR3317">
        <v>-384</v>
      </c>
      <c r="AZ3317">
        <v>4552</v>
      </c>
      <c r="BA3317">
        <v>1</v>
      </c>
      <c r="BB3317" t="str">
        <f t="shared" si="1382"/>
        <v xml:space="preserve">N607SR  </v>
      </c>
      <c r="BC3317">
        <v>1</v>
      </c>
      <c r="BE3317">
        <v>0</v>
      </c>
      <c r="BF3317">
        <v>0</v>
      </c>
      <c r="BG3317">
        <v>0</v>
      </c>
      <c r="BH3317">
        <v>1925</v>
      </c>
      <c r="BI3317">
        <v>1</v>
      </c>
      <c r="BJ3317">
        <v>1</v>
      </c>
      <c r="BK3317">
        <v>1</v>
      </c>
      <c r="BL3317">
        <v>0</v>
      </c>
      <c r="BO3317">
        <v>0</v>
      </c>
      <c r="BP3317">
        <v>0</v>
      </c>
      <c r="BW3317" t="str">
        <f t="shared" si="1415"/>
        <v>06:21:32.892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6</v>
      </c>
      <c r="CP3317" t="s">
        <v>119</v>
      </c>
      <c r="CQ3317">
        <v>465</v>
      </c>
      <c r="CR3317">
        <v>0</v>
      </c>
      <c r="CW3317">
        <v>4730359</v>
      </c>
      <c r="CY3317">
        <v>1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 t="shared" si="1412"/>
        <v>08/29/2020 06:21:29.672</v>
      </c>
      <c r="C3318" t="str">
        <f t="shared" si="1378"/>
        <v>FFDFD3C0</v>
      </c>
      <c r="D3318" t="s">
        <v>121</v>
      </c>
      <c r="E3318">
        <v>13</v>
      </c>
      <c r="F3318">
        <v>1013</v>
      </c>
      <c r="G3318" t="s">
        <v>122</v>
      </c>
      <c r="J3318" t="s">
        <v>123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413"/>
        <v>06:21:32.891</v>
      </c>
      <c r="T3318" t="str">
        <f t="shared" si="1414"/>
        <v>06:21:32.391</v>
      </c>
      <c r="U3318" t="str">
        <f t="shared" si="1381"/>
        <v>A7E2E0</v>
      </c>
      <c r="V3318">
        <v>0</v>
      </c>
      <c r="W3318">
        <v>0</v>
      </c>
      <c r="X3318">
        <v>1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0</v>
      </c>
      <c r="AI3318" t="s">
        <v>1575</v>
      </c>
      <c r="AJ3318">
        <v>38.836584000000002</v>
      </c>
      <c r="AK3318" t="s">
        <v>1222</v>
      </c>
      <c r="AL3318">
        <v>-87.604380000000006</v>
      </c>
      <c r="AM3318">
        <v>100</v>
      </c>
      <c r="AN3318">
        <v>2100</v>
      </c>
      <c r="AO3318" t="s">
        <v>118</v>
      </c>
      <c r="AP3318">
        <v>18</v>
      </c>
      <c r="AQ3318">
        <v>-119</v>
      </c>
      <c r="AR3318">
        <v>-384</v>
      </c>
      <c r="AZ3318">
        <v>4552</v>
      </c>
      <c r="BA3318">
        <v>1</v>
      </c>
      <c r="BB3318" t="str">
        <f t="shared" si="1382"/>
        <v xml:space="preserve">N607SR  </v>
      </c>
      <c r="BC3318">
        <v>1</v>
      </c>
      <c r="BE3318">
        <v>0</v>
      </c>
      <c r="BF3318">
        <v>0</v>
      </c>
      <c r="BG3318">
        <v>0</v>
      </c>
      <c r="BH3318">
        <v>1925</v>
      </c>
      <c r="BI3318">
        <v>1</v>
      </c>
      <c r="BJ3318">
        <v>1</v>
      </c>
      <c r="BK3318">
        <v>1</v>
      </c>
      <c r="BL3318">
        <v>0</v>
      </c>
      <c r="BO3318">
        <v>0</v>
      </c>
      <c r="BP3318">
        <v>0</v>
      </c>
      <c r="BW3318" t="str">
        <f t="shared" si="1415"/>
        <v>06:21:32.892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6</v>
      </c>
      <c r="CP3318" t="s">
        <v>119</v>
      </c>
      <c r="CQ3318">
        <v>465</v>
      </c>
      <c r="CR3318">
        <v>0</v>
      </c>
      <c r="CW3318">
        <v>4730359</v>
      </c>
      <c r="CY3318">
        <v>1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 t="shared" si="1412"/>
        <v>08/29/2020 06:21:29.672</v>
      </c>
      <c r="C3319" t="str">
        <f t="shared" si="1378"/>
        <v>FFDFD3C0</v>
      </c>
      <c r="D3319" t="s">
        <v>939</v>
      </c>
      <c r="E3319">
        <v>10</v>
      </c>
      <c r="H3319">
        <v>79</v>
      </c>
      <c r="I3319" t="s">
        <v>940</v>
      </c>
      <c r="J3319" t="s">
        <v>130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si="1413"/>
        <v>06:21:32.891</v>
      </c>
      <c r="T3319" t="str">
        <f t="shared" si="1414"/>
        <v>06:21:32.391</v>
      </c>
      <c r="U3319" t="str">
        <f t="shared" si="1381"/>
        <v>A7E2E0</v>
      </c>
      <c r="V3319">
        <v>0</v>
      </c>
      <c r="W3319">
        <v>0</v>
      </c>
      <c r="X3319">
        <v>1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0</v>
      </c>
      <c r="AI3319" t="s">
        <v>1575</v>
      </c>
      <c r="AJ3319">
        <v>38.836584000000002</v>
      </c>
      <c r="AK3319" t="s">
        <v>1222</v>
      </c>
      <c r="AL3319">
        <v>-87.604380000000006</v>
      </c>
      <c r="AM3319">
        <v>100</v>
      </c>
      <c r="AN3319">
        <v>2100</v>
      </c>
      <c r="AO3319" t="s">
        <v>118</v>
      </c>
      <c r="AP3319">
        <v>18</v>
      </c>
      <c r="AQ3319">
        <v>-119</v>
      </c>
      <c r="AR3319">
        <v>-384</v>
      </c>
      <c r="AZ3319">
        <v>4552</v>
      </c>
      <c r="BA3319">
        <v>1</v>
      </c>
      <c r="BB3319" t="str">
        <f t="shared" si="1382"/>
        <v xml:space="preserve">N607SR  </v>
      </c>
      <c r="BC3319">
        <v>1</v>
      </c>
      <c r="BE3319">
        <v>0</v>
      </c>
      <c r="BF3319">
        <v>0</v>
      </c>
      <c r="BG3319">
        <v>0</v>
      </c>
      <c r="BH3319">
        <v>1925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 t="shared" si="1415"/>
        <v>06:21:32.892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6</v>
      </c>
      <c r="CP3319" t="s">
        <v>119</v>
      </c>
      <c r="CQ3319">
        <v>465</v>
      </c>
      <c r="CR3319">
        <v>0</v>
      </c>
      <c r="CW3319">
        <v>4730359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 t="shared" ref="A3320:A3325" si="1416">"08/29/2020 06:21:30.563"</f>
        <v>08/29/2020 06:21:30.563</v>
      </c>
      <c r="C3320" t="str">
        <f t="shared" si="1378"/>
        <v>FFDFD3C0</v>
      </c>
      <c r="D3320" t="s">
        <v>939</v>
      </c>
      <c r="E3320">
        <v>10</v>
      </c>
      <c r="H3320">
        <v>79</v>
      </c>
      <c r="I3320" t="s">
        <v>940</v>
      </c>
      <c r="J3320" t="s">
        <v>130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ref="S3320:S3325" si="1417">"06:21:33.797"</f>
        <v>06:21:33.797</v>
      </c>
      <c r="T3320" t="str">
        <f t="shared" ref="T3320:T3325" si="1418">"06:21:33.397"</f>
        <v>06:21:33.397</v>
      </c>
      <c r="U3320" t="str">
        <f t="shared" si="1381"/>
        <v>A7E2E0</v>
      </c>
      <c r="V3320">
        <v>0</v>
      </c>
      <c r="W3320">
        <v>0</v>
      </c>
      <c r="X3320">
        <v>1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0</v>
      </c>
      <c r="AI3320" t="s">
        <v>1576</v>
      </c>
      <c r="AJ3320">
        <v>38.836069000000002</v>
      </c>
      <c r="AK3320" t="s">
        <v>1577</v>
      </c>
      <c r="AL3320">
        <v>-87.604271999999995</v>
      </c>
      <c r="AM3320">
        <v>100</v>
      </c>
      <c r="AN3320">
        <v>2100</v>
      </c>
      <c r="AO3320" t="s">
        <v>118</v>
      </c>
      <c r="AP3320">
        <v>16</v>
      </c>
      <c r="AQ3320">
        <v>-118</v>
      </c>
      <c r="AR3320">
        <v>-384</v>
      </c>
      <c r="AZ3320">
        <v>4552</v>
      </c>
      <c r="BA3320">
        <v>1</v>
      </c>
      <c r="BB3320" t="str">
        <f t="shared" si="1382"/>
        <v xml:space="preserve">N607SR  </v>
      </c>
      <c r="BC3320">
        <v>1</v>
      </c>
      <c r="BE3320">
        <v>0</v>
      </c>
      <c r="BF3320">
        <v>0</v>
      </c>
      <c r="BG3320">
        <v>0</v>
      </c>
      <c r="BH3320">
        <v>1925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 t="shared" ref="BW3320:BW3325" si="1419">"06:21:33.803"</f>
        <v>06:21:33.803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6</v>
      </c>
      <c r="CP3320" t="s">
        <v>119</v>
      </c>
      <c r="CQ3320">
        <v>465</v>
      </c>
      <c r="CR3320">
        <v>0</v>
      </c>
      <c r="CW3320">
        <v>4730384</v>
      </c>
      <c r="CY3320">
        <v>1</v>
      </c>
      <c r="CZ3320">
        <v>0</v>
      </c>
      <c r="DA3320">
        <v>0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 t="shared" si="1416"/>
        <v>08/29/2020 06:21:30.563</v>
      </c>
      <c r="C3321" t="str">
        <f t="shared" si="1378"/>
        <v>FFDFD3C0</v>
      </c>
      <c r="D3321" t="s">
        <v>113</v>
      </c>
      <c r="E3321">
        <v>5</v>
      </c>
      <c r="H3321">
        <v>163</v>
      </c>
      <c r="I3321" t="s">
        <v>114</v>
      </c>
      <c r="J3321" t="s">
        <v>115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417"/>
        <v>06:21:33.797</v>
      </c>
      <c r="T3321" t="str">
        <f t="shared" si="1418"/>
        <v>06:21:33.397</v>
      </c>
      <c r="U3321" t="str">
        <f t="shared" si="1381"/>
        <v>A7E2E0</v>
      </c>
      <c r="V3321">
        <v>0</v>
      </c>
      <c r="W3321">
        <v>0</v>
      </c>
      <c r="X3321">
        <v>1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0</v>
      </c>
      <c r="AI3321" t="s">
        <v>1576</v>
      </c>
      <c r="AJ3321">
        <v>38.836069000000002</v>
      </c>
      <c r="AK3321" t="s">
        <v>1577</v>
      </c>
      <c r="AL3321">
        <v>-87.604271999999995</v>
      </c>
      <c r="AM3321">
        <v>100</v>
      </c>
      <c r="AN3321">
        <v>2100</v>
      </c>
      <c r="AO3321" t="s">
        <v>118</v>
      </c>
      <c r="AP3321">
        <v>16</v>
      </c>
      <c r="AQ3321">
        <v>-118</v>
      </c>
      <c r="AR3321">
        <v>-384</v>
      </c>
      <c r="AZ3321">
        <v>4552</v>
      </c>
      <c r="BA3321">
        <v>1</v>
      </c>
      <c r="BB3321" t="str">
        <f t="shared" si="1382"/>
        <v xml:space="preserve">N607SR  </v>
      </c>
      <c r="BC3321">
        <v>1</v>
      </c>
      <c r="BE3321">
        <v>0</v>
      </c>
      <c r="BF3321">
        <v>0</v>
      </c>
      <c r="BG3321">
        <v>0</v>
      </c>
      <c r="BH3321">
        <v>1925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 t="shared" si="1419"/>
        <v>06:21:33.803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6</v>
      </c>
      <c r="CP3321" t="s">
        <v>119</v>
      </c>
      <c r="CQ3321">
        <v>465</v>
      </c>
      <c r="CR3321">
        <v>0</v>
      </c>
      <c r="CW3321">
        <v>4730384</v>
      </c>
      <c r="CY3321">
        <v>1</v>
      </c>
      <c r="CZ3321">
        <v>0</v>
      </c>
      <c r="DA3321">
        <v>1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 t="shared" si="1416"/>
        <v>08/29/2020 06:21:30.563</v>
      </c>
      <c r="C3322" t="str">
        <f t="shared" si="1378"/>
        <v>FFDFD3C0</v>
      </c>
      <c r="D3322" t="s">
        <v>121</v>
      </c>
      <c r="E3322">
        <v>10</v>
      </c>
      <c r="F3322">
        <v>1010</v>
      </c>
      <c r="G3322" t="s">
        <v>114</v>
      </c>
      <c r="J3322" t="s">
        <v>123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417"/>
        <v>06:21:33.797</v>
      </c>
      <c r="T3322" t="str">
        <f t="shared" si="1418"/>
        <v>06:21:33.397</v>
      </c>
      <c r="U3322" t="str">
        <f t="shared" si="1381"/>
        <v>A7E2E0</v>
      </c>
      <c r="V3322">
        <v>0</v>
      </c>
      <c r="W3322">
        <v>0</v>
      </c>
      <c r="X3322">
        <v>1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0</v>
      </c>
      <c r="AI3322" t="s">
        <v>1576</v>
      </c>
      <c r="AJ3322">
        <v>38.836069000000002</v>
      </c>
      <c r="AK3322" t="s">
        <v>1577</v>
      </c>
      <c r="AL3322">
        <v>-87.604271999999995</v>
      </c>
      <c r="AM3322">
        <v>100</v>
      </c>
      <c r="AN3322">
        <v>2100</v>
      </c>
      <c r="AO3322" t="s">
        <v>118</v>
      </c>
      <c r="AP3322">
        <v>16</v>
      </c>
      <c r="AQ3322">
        <v>-118</v>
      </c>
      <c r="AR3322">
        <v>-384</v>
      </c>
      <c r="AZ3322">
        <v>4552</v>
      </c>
      <c r="BA3322">
        <v>1</v>
      </c>
      <c r="BB3322" t="str">
        <f t="shared" si="1382"/>
        <v xml:space="preserve">N607SR  </v>
      </c>
      <c r="BC3322">
        <v>1</v>
      </c>
      <c r="BE3322">
        <v>0</v>
      </c>
      <c r="BF3322">
        <v>0</v>
      </c>
      <c r="BG3322">
        <v>0</v>
      </c>
      <c r="BH3322">
        <v>1925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 t="shared" si="1419"/>
        <v>06:21:33.803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6</v>
      </c>
      <c r="CP3322" t="s">
        <v>119</v>
      </c>
      <c r="CQ3322">
        <v>465</v>
      </c>
      <c r="CR3322">
        <v>0</v>
      </c>
      <c r="CW3322">
        <v>4730384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 t="shared" si="1416"/>
        <v>08/29/2020 06:21:30.563</v>
      </c>
      <c r="C3323" t="str">
        <f t="shared" si="1378"/>
        <v>FFDFD3C0</v>
      </c>
      <c r="D3323" t="s">
        <v>128</v>
      </c>
      <c r="E3323">
        <v>5</v>
      </c>
      <c r="H3323">
        <v>241</v>
      </c>
      <c r="I3323" t="s">
        <v>129</v>
      </c>
      <c r="J3323" t="s">
        <v>130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417"/>
        <v>06:21:33.797</v>
      </c>
      <c r="T3323" t="str">
        <f t="shared" si="1418"/>
        <v>06:21:33.397</v>
      </c>
      <c r="U3323" t="str">
        <f t="shared" si="1381"/>
        <v>A7E2E0</v>
      </c>
      <c r="V3323">
        <v>0</v>
      </c>
      <c r="W3323">
        <v>0</v>
      </c>
      <c r="X3323">
        <v>1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0</v>
      </c>
      <c r="AI3323" t="s">
        <v>1576</v>
      </c>
      <c r="AJ3323">
        <v>38.836069000000002</v>
      </c>
      <c r="AK3323" t="s">
        <v>1577</v>
      </c>
      <c r="AL3323">
        <v>-87.604271999999995</v>
      </c>
      <c r="AM3323">
        <v>100</v>
      </c>
      <c r="AN3323">
        <v>2100</v>
      </c>
      <c r="AO3323" t="s">
        <v>118</v>
      </c>
      <c r="AP3323">
        <v>16</v>
      </c>
      <c r="AQ3323">
        <v>-118</v>
      </c>
      <c r="AR3323">
        <v>-384</v>
      </c>
      <c r="AZ3323">
        <v>4552</v>
      </c>
      <c r="BA3323">
        <v>1</v>
      </c>
      <c r="BB3323" t="str">
        <f t="shared" si="1382"/>
        <v xml:space="preserve">N607SR  </v>
      </c>
      <c r="BC3323">
        <v>1</v>
      </c>
      <c r="BE3323">
        <v>0</v>
      </c>
      <c r="BF3323">
        <v>0</v>
      </c>
      <c r="BG3323">
        <v>0</v>
      </c>
      <c r="BH3323">
        <v>1925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 t="shared" si="1419"/>
        <v>06:21:33.803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6</v>
      </c>
      <c r="CP3323" t="s">
        <v>119</v>
      </c>
      <c r="CQ3323">
        <v>465</v>
      </c>
      <c r="CR3323">
        <v>0</v>
      </c>
      <c r="CW3323">
        <v>4730384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 t="shared" si="1416"/>
        <v>08/29/2020 06:21:30.563</v>
      </c>
      <c r="C3324" t="str">
        <f t="shared" si="1378"/>
        <v>FFDFD3C0</v>
      </c>
      <c r="D3324" t="s">
        <v>121</v>
      </c>
      <c r="E3324">
        <v>11</v>
      </c>
      <c r="F3324">
        <v>1011</v>
      </c>
      <c r="G3324" t="s">
        <v>125</v>
      </c>
      <c r="J3324" t="s">
        <v>123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417"/>
        <v>06:21:33.797</v>
      </c>
      <c r="T3324" t="str">
        <f t="shared" si="1418"/>
        <v>06:21:33.397</v>
      </c>
      <c r="U3324" t="str">
        <f t="shared" si="1381"/>
        <v>A7E2E0</v>
      </c>
      <c r="V3324">
        <v>0</v>
      </c>
      <c r="W3324">
        <v>0</v>
      </c>
      <c r="X3324">
        <v>1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0</v>
      </c>
      <c r="AI3324" t="s">
        <v>1576</v>
      </c>
      <c r="AJ3324">
        <v>38.836069000000002</v>
      </c>
      <c r="AK3324" t="s">
        <v>1577</v>
      </c>
      <c r="AL3324">
        <v>-87.604271999999995</v>
      </c>
      <c r="AM3324">
        <v>100</v>
      </c>
      <c r="AN3324">
        <v>2100</v>
      </c>
      <c r="AO3324" t="s">
        <v>118</v>
      </c>
      <c r="AP3324">
        <v>16</v>
      </c>
      <c r="AQ3324">
        <v>-118</v>
      </c>
      <c r="AR3324">
        <v>-384</v>
      </c>
      <c r="AZ3324">
        <v>4552</v>
      </c>
      <c r="BA3324">
        <v>1</v>
      </c>
      <c r="BB3324" t="str">
        <f t="shared" si="1382"/>
        <v xml:space="preserve">N607SR  </v>
      </c>
      <c r="BC3324">
        <v>1</v>
      </c>
      <c r="BE3324">
        <v>0</v>
      </c>
      <c r="BF3324">
        <v>0</v>
      </c>
      <c r="BG3324">
        <v>0</v>
      </c>
      <c r="BH3324">
        <v>1925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 t="shared" si="1419"/>
        <v>06:21:33.803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6</v>
      </c>
      <c r="CP3324" t="s">
        <v>119</v>
      </c>
      <c r="CQ3324">
        <v>457</v>
      </c>
      <c r="CR3324">
        <v>0</v>
      </c>
      <c r="CW3324">
        <v>15525583</v>
      </c>
      <c r="CY3324">
        <v>1</v>
      </c>
      <c r="CZ3324">
        <v>0</v>
      </c>
      <c r="DA3324">
        <v>1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 t="shared" si="1416"/>
        <v>08/29/2020 06:21:30.563</v>
      </c>
      <c r="C3325" t="str">
        <f t="shared" si="1378"/>
        <v>FFDFD3C0</v>
      </c>
      <c r="D3325" t="s">
        <v>121</v>
      </c>
      <c r="E3325">
        <v>13</v>
      </c>
      <c r="F3325">
        <v>1013</v>
      </c>
      <c r="G3325" t="s">
        <v>122</v>
      </c>
      <c r="J3325" t="s">
        <v>123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417"/>
        <v>06:21:33.797</v>
      </c>
      <c r="T3325" t="str">
        <f t="shared" si="1418"/>
        <v>06:21:33.397</v>
      </c>
      <c r="U3325" t="str">
        <f t="shared" si="1381"/>
        <v>A7E2E0</v>
      </c>
      <c r="V3325">
        <v>0</v>
      </c>
      <c r="W3325">
        <v>0</v>
      </c>
      <c r="X3325">
        <v>1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0</v>
      </c>
      <c r="AI3325" t="s">
        <v>1576</v>
      </c>
      <c r="AJ3325">
        <v>38.836069000000002</v>
      </c>
      <c r="AK3325" t="s">
        <v>1577</v>
      </c>
      <c r="AL3325">
        <v>-87.604271999999995</v>
      </c>
      <c r="AM3325">
        <v>100</v>
      </c>
      <c r="AN3325">
        <v>2100</v>
      </c>
      <c r="AO3325" t="s">
        <v>118</v>
      </c>
      <c r="AP3325">
        <v>16</v>
      </c>
      <c r="AQ3325">
        <v>-118</v>
      </c>
      <c r="AR3325">
        <v>-384</v>
      </c>
      <c r="AZ3325">
        <v>4552</v>
      </c>
      <c r="BA3325">
        <v>1</v>
      </c>
      <c r="BB3325" t="str">
        <f t="shared" si="1382"/>
        <v xml:space="preserve">N607SR  </v>
      </c>
      <c r="BC3325">
        <v>1</v>
      </c>
      <c r="BE3325">
        <v>0</v>
      </c>
      <c r="BF3325">
        <v>0</v>
      </c>
      <c r="BG3325">
        <v>0</v>
      </c>
      <c r="BH3325">
        <v>1925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 t="shared" si="1419"/>
        <v>06:21:33.803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6</v>
      </c>
      <c r="CP3325" t="s">
        <v>119</v>
      </c>
      <c r="CQ3325">
        <v>465</v>
      </c>
      <c r="CR3325">
        <v>0</v>
      </c>
      <c r="CW3325">
        <v>4730384</v>
      </c>
      <c r="CY3325">
        <v>1</v>
      </c>
      <c r="CZ3325">
        <v>0</v>
      </c>
      <c r="DA3325">
        <v>1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 t="shared" ref="A3326:A3331" si="1420">"08/29/2020 06:21:31.704"</f>
        <v>08/29/2020 06:21:31.704</v>
      </c>
      <c r="C3326" t="str">
        <f t="shared" si="1378"/>
        <v>FFDFD3C0</v>
      </c>
      <c r="D3326" t="s">
        <v>128</v>
      </c>
      <c r="E3326">
        <v>5</v>
      </c>
      <c r="H3326">
        <v>241</v>
      </c>
      <c r="I3326" t="s">
        <v>129</v>
      </c>
      <c r="J3326" t="s">
        <v>130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ref="S3326:S3331" si="1421">"06:21:34.922"</f>
        <v>06:21:34.922</v>
      </c>
      <c r="T3326" t="str">
        <f t="shared" ref="T3326:T3331" si="1422">"06:21:34.422"</f>
        <v>06:21:34.422</v>
      </c>
      <c r="U3326" t="str">
        <f t="shared" si="1381"/>
        <v>A7E2E0</v>
      </c>
      <c r="V3326">
        <v>0</v>
      </c>
      <c r="W3326">
        <v>0</v>
      </c>
      <c r="X3326">
        <v>1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0</v>
      </c>
      <c r="AI3326" t="s">
        <v>1578</v>
      </c>
      <c r="AJ3326">
        <v>38.835425000000001</v>
      </c>
      <c r="AK3326" t="s">
        <v>1579</v>
      </c>
      <c r="AL3326">
        <v>-87.604208</v>
      </c>
      <c r="AM3326">
        <v>100</v>
      </c>
      <c r="AN3326">
        <v>2100</v>
      </c>
      <c r="AO3326" t="s">
        <v>118</v>
      </c>
      <c r="AP3326">
        <v>14</v>
      </c>
      <c r="AQ3326">
        <v>-118</v>
      </c>
      <c r="AR3326">
        <v>-448</v>
      </c>
      <c r="AZ3326">
        <v>4552</v>
      </c>
      <c r="BA3326">
        <v>1</v>
      </c>
      <c r="BB3326" t="str">
        <f t="shared" si="1382"/>
        <v xml:space="preserve">N607SR  </v>
      </c>
      <c r="BC3326">
        <v>1</v>
      </c>
      <c r="BE3326">
        <v>0</v>
      </c>
      <c r="BF3326">
        <v>0</v>
      </c>
      <c r="BG3326">
        <v>0</v>
      </c>
      <c r="BH3326">
        <v>1925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 t="shared" ref="BW3326:BW3331" si="1423">"06:21:34.924"</f>
        <v>06:21:34.924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6</v>
      </c>
      <c r="CP3326" t="s">
        <v>119</v>
      </c>
      <c r="CQ3326">
        <v>465</v>
      </c>
      <c r="CR3326">
        <v>0</v>
      </c>
      <c r="CW3326">
        <v>4730418</v>
      </c>
      <c r="CY3326">
        <v>1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 t="shared" si="1420"/>
        <v>08/29/2020 06:21:31.704</v>
      </c>
      <c r="C3327" t="str">
        <f t="shared" si="1378"/>
        <v>FFDFD3C0</v>
      </c>
      <c r="D3327" t="s">
        <v>121</v>
      </c>
      <c r="E3327">
        <v>10</v>
      </c>
      <c r="F3327">
        <v>1010</v>
      </c>
      <c r="G3327" t="s">
        <v>114</v>
      </c>
      <c r="J3327" t="s">
        <v>123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421"/>
        <v>06:21:34.922</v>
      </c>
      <c r="T3327" t="str">
        <f t="shared" si="1422"/>
        <v>06:21:34.422</v>
      </c>
      <c r="U3327" t="str">
        <f t="shared" si="1381"/>
        <v>A7E2E0</v>
      </c>
      <c r="V3327">
        <v>0</v>
      </c>
      <c r="W3327">
        <v>0</v>
      </c>
      <c r="X3327">
        <v>1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0</v>
      </c>
      <c r="AI3327" t="s">
        <v>1578</v>
      </c>
      <c r="AJ3327">
        <v>38.835425000000001</v>
      </c>
      <c r="AK3327" t="s">
        <v>1579</v>
      </c>
      <c r="AL3327">
        <v>-87.604208</v>
      </c>
      <c r="AM3327">
        <v>100</v>
      </c>
      <c r="AN3327">
        <v>2100</v>
      </c>
      <c r="AO3327" t="s">
        <v>118</v>
      </c>
      <c r="AP3327">
        <v>14</v>
      </c>
      <c r="AQ3327">
        <v>-118</v>
      </c>
      <c r="AR3327">
        <v>-448</v>
      </c>
      <c r="AZ3327">
        <v>4552</v>
      </c>
      <c r="BA3327">
        <v>1</v>
      </c>
      <c r="BB3327" t="str">
        <f t="shared" si="1382"/>
        <v xml:space="preserve">N607SR  </v>
      </c>
      <c r="BC3327">
        <v>1</v>
      </c>
      <c r="BE3327">
        <v>0</v>
      </c>
      <c r="BF3327">
        <v>0</v>
      </c>
      <c r="BG3327">
        <v>0</v>
      </c>
      <c r="BH3327">
        <v>1925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 t="shared" si="1423"/>
        <v>06:21:34.924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6</v>
      </c>
      <c r="CP3327" t="s">
        <v>119</v>
      </c>
      <c r="CQ3327">
        <v>465</v>
      </c>
      <c r="CR3327">
        <v>0</v>
      </c>
      <c r="CW3327">
        <v>4730418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 t="shared" si="1420"/>
        <v>08/29/2020 06:21:31.704</v>
      </c>
      <c r="C3328" t="str">
        <f t="shared" si="1378"/>
        <v>FFDFD3C0</v>
      </c>
      <c r="D3328" t="s">
        <v>121</v>
      </c>
      <c r="E3328">
        <v>11</v>
      </c>
      <c r="F3328">
        <v>1011</v>
      </c>
      <c r="G3328" t="s">
        <v>125</v>
      </c>
      <c r="J3328" t="s">
        <v>123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si="1421"/>
        <v>06:21:34.922</v>
      </c>
      <c r="T3328" t="str">
        <f t="shared" si="1422"/>
        <v>06:21:34.422</v>
      </c>
      <c r="U3328" t="str">
        <f t="shared" si="1381"/>
        <v>A7E2E0</v>
      </c>
      <c r="V3328">
        <v>0</v>
      </c>
      <c r="W3328">
        <v>0</v>
      </c>
      <c r="X3328">
        <v>1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0</v>
      </c>
      <c r="AI3328" t="s">
        <v>1578</v>
      </c>
      <c r="AJ3328">
        <v>38.835425000000001</v>
      </c>
      <c r="AK3328" t="s">
        <v>1579</v>
      </c>
      <c r="AL3328">
        <v>-87.604208</v>
      </c>
      <c r="AM3328">
        <v>100</v>
      </c>
      <c r="AN3328">
        <v>2100</v>
      </c>
      <c r="AO3328" t="s">
        <v>118</v>
      </c>
      <c r="AP3328">
        <v>14</v>
      </c>
      <c r="AQ3328">
        <v>-118</v>
      </c>
      <c r="AR3328">
        <v>-448</v>
      </c>
      <c r="AZ3328">
        <v>4552</v>
      </c>
      <c r="BA3328">
        <v>1</v>
      </c>
      <c r="BB3328" t="str">
        <f t="shared" si="1382"/>
        <v xml:space="preserve">N607SR  </v>
      </c>
      <c r="BC3328">
        <v>1</v>
      </c>
      <c r="BE3328">
        <v>0</v>
      </c>
      <c r="BF3328">
        <v>0</v>
      </c>
      <c r="BG3328">
        <v>0</v>
      </c>
      <c r="BH3328">
        <v>1925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 t="shared" si="1423"/>
        <v>06:21:34.924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6</v>
      </c>
      <c r="CP3328" t="s">
        <v>119</v>
      </c>
      <c r="CQ3328">
        <v>457</v>
      </c>
      <c r="CR3328">
        <v>0</v>
      </c>
      <c r="CW3328">
        <v>15525616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 t="shared" si="1420"/>
        <v>08/29/2020 06:21:31.704</v>
      </c>
      <c r="C3329" t="str">
        <f t="shared" si="1378"/>
        <v>FFDFD3C0</v>
      </c>
      <c r="D3329" t="s">
        <v>121</v>
      </c>
      <c r="E3329">
        <v>13</v>
      </c>
      <c r="F3329">
        <v>1013</v>
      </c>
      <c r="G3329" t="s">
        <v>122</v>
      </c>
      <c r="J3329" t="s">
        <v>123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421"/>
        <v>06:21:34.922</v>
      </c>
      <c r="T3329" t="str">
        <f t="shared" si="1422"/>
        <v>06:21:34.422</v>
      </c>
      <c r="U3329" t="str">
        <f t="shared" si="1381"/>
        <v>A7E2E0</v>
      </c>
      <c r="V3329">
        <v>0</v>
      </c>
      <c r="W3329">
        <v>0</v>
      </c>
      <c r="X3329">
        <v>1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0</v>
      </c>
      <c r="AI3329" t="s">
        <v>1578</v>
      </c>
      <c r="AJ3329">
        <v>38.835425000000001</v>
      </c>
      <c r="AK3329" t="s">
        <v>1579</v>
      </c>
      <c r="AL3329">
        <v>-87.604208</v>
      </c>
      <c r="AM3329">
        <v>100</v>
      </c>
      <c r="AN3329">
        <v>2100</v>
      </c>
      <c r="AO3329" t="s">
        <v>118</v>
      </c>
      <c r="AP3329">
        <v>14</v>
      </c>
      <c r="AQ3329">
        <v>-118</v>
      </c>
      <c r="AR3329">
        <v>-448</v>
      </c>
      <c r="AZ3329">
        <v>4552</v>
      </c>
      <c r="BA3329">
        <v>1</v>
      </c>
      <c r="BB3329" t="str">
        <f t="shared" si="1382"/>
        <v xml:space="preserve">N607SR  </v>
      </c>
      <c r="BC3329">
        <v>1</v>
      </c>
      <c r="BE3329">
        <v>0</v>
      </c>
      <c r="BF3329">
        <v>0</v>
      </c>
      <c r="BG3329">
        <v>0</v>
      </c>
      <c r="BH3329">
        <v>1925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 t="shared" si="1423"/>
        <v>06:21:34.924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6</v>
      </c>
      <c r="CP3329" t="s">
        <v>119</v>
      </c>
      <c r="CQ3329">
        <v>465</v>
      </c>
      <c r="CR3329">
        <v>0</v>
      </c>
      <c r="CW3329">
        <v>4730418</v>
      </c>
      <c r="CY3329">
        <v>1</v>
      </c>
      <c r="CZ3329">
        <v>0</v>
      </c>
      <c r="DA3329">
        <v>1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 t="shared" si="1420"/>
        <v>08/29/2020 06:21:31.704</v>
      </c>
      <c r="C3330" t="str">
        <f t="shared" ref="C3330:C3393" si="1424">"FFDFD3C0"</f>
        <v>FFDFD3C0</v>
      </c>
      <c r="D3330" t="s">
        <v>939</v>
      </c>
      <c r="E3330">
        <v>10</v>
      </c>
      <c r="H3330">
        <v>79</v>
      </c>
      <c r="I3330" t="s">
        <v>940</v>
      </c>
      <c r="J3330" t="s">
        <v>130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421"/>
        <v>06:21:34.922</v>
      </c>
      <c r="T3330" t="str">
        <f t="shared" si="1422"/>
        <v>06:21:34.422</v>
      </c>
      <c r="U3330" t="str">
        <f t="shared" ref="U3330:U3393" si="1425">"A7E2E0"</f>
        <v>A7E2E0</v>
      </c>
      <c r="V3330">
        <v>0</v>
      </c>
      <c r="W3330">
        <v>0</v>
      </c>
      <c r="X3330">
        <v>1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0</v>
      </c>
      <c r="AI3330" t="s">
        <v>1578</v>
      </c>
      <c r="AJ3330">
        <v>38.835425000000001</v>
      </c>
      <c r="AK3330" t="s">
        <v>1579</v>
      </c>
      <c r="AL3330">
        <v>-87.604208</v>
      </c>
      <c r="AM3330">
        <v>100</v>
      </c>
      <c r="AN3330">
        <v>2100</v>
      </c>
      <c r="AO3330" t="s">
        <v>118</v>
      </c>
      <c r="AP3330">
        <v>14</v>
      </c>
      <c r="AQ3330">
        <v>-118</v>
      </c>
      <c r="AR3330">
        <v>-448</v>
      </c>
      <c r="AZ3330">
        <v>4552</v>
      </c>
      <c r="BA3330">
        <v>1</v>
      </c>
      <c r="BB3330" t="str">
        <f t="shared" ref="BB3330:BB3393" si="1426">"N607SR  "</f>
        <v xml:space="preserve">N607SR  </v>
      </c>
      <c r="BC3330">
        <v>1</v>
      </c>
      <c r="BE3330">
        <v>0</v>
      </c>
      <c r="BF3330">
        <v>0</v>
      </c>
      <c r="BG3330">
        <v>0</v>
      </c>
      <c r="BH3330">
        <v>1925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 t="shared" si="1423"/>
        <v>06:21:34.924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6</v>
      </c>
      <c r="CP3330" t="s">
        <v>119</v>
      </c>
      <c r="CQ3330">
        <v>465</v>
      </c>
      <c r="CR3330">
        <v>0</v>
      </c>
      <c r="CW3330">
        <v>4730418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 t="shared" si="1420"/>
        <v>08/29/2020 06:21:31.704</v>
      </c>
      <c r="C3331" t="str">
        <f t="shared" si="1424"/>
        <v>FFDFD3C0</v>
      </c>
      <c r="D3331" t="s">
        <v>113</v>
      </c>
      <c r="E3331">
        <v>5</v>
      </c>
      <c r="H3331">
        <v>163</v>
      </c>
      <c r="I3331" t="s">
        <v>114</v>
      </c>
      <c r="J3331" t="s">
        <v>115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si="1421"/>
        <v>06:21:34.922</v>
      </c>
      <c r="T3331" t="str">
        <f t="shared" si="1422"/>
        <v>06:21:34.422</v>
      </c>
      <c r="U3331" t="str">
        <f t="shared" si="1425"/>
        <v>A7E2E0</v>
      </c>
      <c r="V3331">
        <v>0</v>
      </c>
      <c r="W3331">
        <v>0</v>
      </c>
      <c r="X3331">
        <v>1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0</v>
      </c>
      <c r="AI3331" t="s">
        <v>1578</v>
      </c>
      <c r="AJ3331">
        <v>38.835425000000001</v>
      </c>
      <c r="AK3331" t="s">
        <v>1579</v>
      </c>
      <c r="AL3331">
        <v>-87.604208</v>
      </c>
      <c r="AM3331">
        <v>100</v>
      </c>
      <c r="AN3331">
        <v>2100</v>
      </c>
      <c r="AO3331" t="s">
        <v>118</v>
      </c>
      <c r="AP3331">
        <v>14</v>
      </c>
      <c r="AQ3331">
        <v>-118</v>
      </c>
      <c r="AR3331">
        <v>-448</v>
      </c>
      <c r="AZ3331">
        <v>4552</v>
      </c>
      <c r="BA3331">
        <v>1</v>
      </c>
      <c r="BB3331" t="str">
        <f t="shared" si="1426"/>
        <v xml:space="preserve">N607SR  </v>
      </c>
      <c r="BC3331">
        <v>1</v>
      </c>
      <c r="BE3331">
        <v>0</v>
      </c>
      <c r="BF3331">
        <v>0</v>
      </c>
      <c r="BG3331">
        <v>0</v>
      </c>
      <c r="BH3331">
        <v>1925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 t="shared" si="1423"/>
        <v>06:21:34.924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6</v>
      </c>
      <c r="CP3331" t="s">
        <v>119</v>
      </c>
      <c r="CQ3331">
        <v>465</v>
      </c>
      <c r="CR3331">
        <v>0</v>
      </c>
      <c r="CW3331">
        <v>4730418</v>
      </c>
      <c r="CY3331">
        <v>1</v>
      </c>
      <c r="CZ3331">
        <v>0</v>
      </c>
      <c r="DA3331">
        <v>1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 t="shared" ref="A3332:A3337" si="1427">"08/29/2020 06:21:32.616"</f>
        <v>08/29/2020 06:21:32.616</v>
      </c>
      <c r="C3332" t="str">
        <f t="shared" si="1424"/>
        <v>FFDFD3C0</v>
      </c>
      <c r="D3332" t="s">
        <v>128</v>
      </c>
      <c r="E3332">
        <v>5</v>
      </c>
      <c r="H3332">
        <v>241</v>
      </c>
      <c r="I3332" t="s">
        <v>129</v>
      </c>
      <c r="J3332" t="s">
        <v>130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ref="S3332:S3337" si="1428">"06:21:35.859"</f>
        <v>06:21:35.859</v>
      </c>
      <c r="T3332" t="str">
        <f t="shared" ref="T3332:T3337" si="1429">"06:21:35.459"</f>
        <v>06:21:35.459</v>
      </c>
      <c r="U3332" t="str">
        <f t="shared" si="1425"/>
        <v>A7E2E0</v>
      </c>
      <c r="V3332">
        <v>0</v>
      </c>
      <c r="W3332">
        <v>0</v>
      </c>
      <c r="X3332">
        <v>1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0</v>
      </c>
      <c r="AI3332" t="s">
        <v>1580</v>
      </c>
      <c r="AJ3332">
        <v>38.834952999999999</v>
      </c>
      <c r="AK3332" t="s">
        <v>1581</v>
      </c>
      <c r="AL3332">
        <v>-87.604122000000004</v>
      </c>
      <c r="AM3332">
        <v>100</v>
      </c>
      <c r="AN3332">
        <v>2100</v>
      </c>
      <c r="AO3332" t="s">
        <v>118</v>
      </c>
      <c r="AP3332">
        <v>12</v>
      </c>
      <c r="AQ3332">
        <v>-118</v>
      </c>
      <c r="AR3332">
        <v>-448</v>
      </c>
      <c r="AZ3332">
        <v>4552</v>
      </c>
      <c r="BA3332">
        <v>1</v>
      </c>
      <c r="BB3332" t="str">
        <f t="shared" si="1426"/>
        <v xml:space="preserve">N607SR  </v>
      </c>
      <c r="BC3332">
        <v>1</v>
      </c>
      <c r="BE3332">
        <v>0</v>
      </c>
      <c r="BF3332">
        <v>0</v>
      </c>
      <c r="BG3332">
        <v>0</v>
      </c>
      <c r="BH3332">
        <v>1900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 t="shared" ref="BW3332:BW3337" si="1430">"06:21:35.863"</f>
        <v>06:21:35.863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6</v>
      </c>
      <c r="CP3332" t="s">
        <v>119</v>
      </c>
      <c r="CQ3332">
        <v>465</v>
      </c>
      <c r="CR3332">
        <v>0</v>
      </c>
      <c r="CW3332">
        <v>4730446</v>
      </c>
      <c r="CY3332">
        <v>1</v>
      </c>
      <c r="CZ3332">
        <v>0</v>
      </c>
      <c r="DA3332">
        <v>0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 t="shared" si="1427"/>
        <v>08/29/2020 06:21:32.616</v>
      </c>
      <c r="C3333" t="str">
        <f t="shared" si="1424"/>
        <v>FFDFD3C0</v>
      </c>
      <c r="D3333" t="s">
        <v>121</v>
      </c>
      <c r="E3333">
        <v>10</v>
      </c>
      <c r="F3333">
        <v>1010</v>
      </c>
      <c r="G3333" t="s">
        <v>114</v>
      </c>
      <c r="J3333" t="s">
        <v>123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si="1428"/>
        <v>06:21:35.859</v>
      </c>
      <c r="T3333" t="str">
        <f t="shared" si="1429"/>
        <v>06:21:35.459</v>
      </c>
      <c r="U3333" t="str">
        <f t="shared" si="1425"/>
        <v>A7E2E0</v>
      </c>
      <c r="V3333">
        <v>0</v>
      </c>
      <c r="W3333">
        <v>0</v>
      </c>
      <c r="X3333">
        <v>1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0</v>
      </c>
      <c r="AI3333" t="s">
        <v>1580</v>
      </c>
      <c r="AJ3333">
        <v>38.834952999999999</v>
      </c>
      <c r="AK3333" t="s">
        <v>1581</v>
      </c>
      <c r="AL3333">
        <v>-87.604122000000004</v>
      </c>
      <c r="AM3333">
        <v>100</v>
      </c>
      <c r="AN3333">
        <v>2100</v>
      </c>
      <c r="AO3333" t="s">
        <v>118</v>
      </c>
      <c r="AP3333">
        <v>12</v>
      </c>
      <c r="AQ3333">
        <v>-118</v>
      </c>
      <c r="AR3333">
        <v>-448</v>
      </c>
      <c r="AZ3333">
        <v>4552</v>
      </c>
      <c r="BA3333">
        <v>1</v>
      </c>
      <c r="BB3333" t="str">
        <f t="shared" si="1426"/>
        <v xml:space="preserve">N607SR  </v>
      </c>
      <c r="BC3333">
        <v>1</v>
      </c>
      <c r="BE3333">
        <v>0</v>
      </c>
      <c r="BF3333">
        <v>0</v>
      </c>
      <c r="BG3333">
        <v>0</v>
      </c>
      <c r="BH3333">
        <v>1900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 t="shared" si="1430"/>
        <v>06:21:35.863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6</v>
      </c>
      <c r="CP3333" t="s">
        <v>119</v>
      </c>
      <c r="CQ3333">
        <v>465</v>
      </c>
      <c r="CR3333">
        <v>0</v>
      </c>
      <c r="CW3333">
        <v>4730446</v>
      </c>
      <c r="CY3333">
        <v>1</v>
      </c>
      <c r="CZ3333">
        <v>0</v>
      </c>
      <c r="DA3333">
        <v>1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 t="shared" si="1427"/>
        <v>08/29/2020 06:21:32.616</v>
      </c>
      <c r="C3334" t="str">
        <f t="shared" si="1424"/>
        <v>FFDFD3C0</v>
      </c>
      <c r="D3334" t="s">
        <v>121</v>
      </c>
      <c r="E3334">
        <v>13</v>
      </c>
      <c r="F3334">
        <v>1013</v>
      </c>
      <c r="G3334" t="s">
        <v>122</v>
      </c>
      <c r="J3334" t="s">
        <v>123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428"/>
        <v>06:21:35.859</v>
      </c>
      <c r="T3334" t="str">
        <f t="shared" si="1429"/>
        <v>06:21:35.459</v>
      </c>
      <c r="U3334" t="str">
        <f t="shared" si="1425"/>
        <v>A7E2E0</v>
      </c>
      <c r="V3334">
        <v>0</v>
      </c>
      <c r="W3334">
        <v>0</v>
      </c>
      <c r="X3334">
        <v>1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0</v>
      </c>
      <c r="AI3334" t="s">
        <v>1580</v>
      </c>
      <c r="AJ3334">
        <v>38.834952999999999</v>
      </c>
      <c r="AK3334" t="s">
        <v>1581</v>
      </c>
      <c r="AL3334">
        <v>-87.604122000000004</v>
      </c>
      <c r="AM3334">
        <v>100</v>
      </c>
      <c r="AN3334">
        <v>2100</v>
      </c>
      <c r="AO3334" t="s">
        <v>118</v>
      </c>
      <c r="AP3334">
        <v>12</v>
      </c>
      <c r="AQ3334">
        <v>-118</v>
      </c>
      <c r="AR3334">
        <v>-448</v>
      </c>
      <c r="AZ3334">
        <v>4552</v>
      </c>
      <c r="BA3334">
        <v>1</v>
      </c>
      <c r="BB3334" t="str">
        <f t="shared" si="1426"/>
        <v xml:space="preserve">N607SR  </v>
      </c>
      <c r="BC3334">
        <v>1</v>
      </c>
      <c r="BE3334">
        <v>0</v>
      </c>
      <c r="BF3334">
        <v>0</v>
      </c>
      <c r="BG3334">
        <v>0</v>
      </c>
      <c r="BH3334">
        <v>1900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 t="shared" si="1430"/>
        <v>06:21:35.863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6</v>
      </c>
      <c r="CP3334" t="s">
        <v>119</v>
      </c>
      <c r="CQ3334">
        <v>465</v>
      </c>
      <c r="CR3334">
        <v>0</v>
      </c>
      <c r="CW3334">
        <v>4730446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 t="shared" si="1427"/>
        <v>08/29/2020 06:21:32.616</v>
      </c>
      <c r="C3335" t="str">
        <f t="shared" si="1424"/>
        <v>FFDFD3C0</v>
      </c>
      <c r="D3335" t="s">
        <v>121</v>
      </c>
      <c r="E3335">
        <v>11</v>
      </c>
      <c r="F3335">
        <v>1011</v>
      </c>
      <c r="G3335" t="s">
        <v>125</v>
      </c>
      <c r="J3335" t="s">
        <v>123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428"/>
        <v>06:21:35.859</v>
      </c>
      <c r="T3335" t="str">
        <f t="shared" si="1429"/>
        <v>06:21:35.459</v>
      </c>
      <c r="U3335" t="str">
        <f t="shared" si="1425"/>
        <v>A7E2E0</v>
      </c>
      <c r="V3335">
        <v>0</v>
      </c>
      <c r="W3335">
        <v>0</v>
      </c>
      <c r="X3335">
        <v>1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0</v>
      </c>
      <c r="AI3335" t="s">
        <v>1580</v>
      </c>
      <c r="AJ3335">
        <v>38.834952999999999</v>
      </c>
      <c r="AK3335" t="s">
        <v>1581</v>
      </c>
      <c r="AL3335">
        <v>-87.604122000000004</v>
      </c>
      <c r="AM3335">
        <v>100</v>
      </c>
      <c r="AN3335">
        <v>2100</v>
      </c>
      <c r="AO3335" t="s">
        <v>118</v>
      </c>
      <c r="AP3335">
        <v>12</v>
      </c>
      <c r="AQ3335">
        <v>-118</v>
      </c>
      <c r="AR3335">
        <v>-448</v>
      </c>
      <c r="AZ3335">
        <v>4552</v>
      </c>
      <c r="BA3335">
        <v>1</v>
      </c>
      <c r="BB3335" t="str">
        <f t="shared" si="1426"/>
        <v xml:space="preserve">N607SR  </v>
      </c>
      <c r="BC3335">
        <v>1</v>
      </c>
      <c r="BE3335">
        <v>0</v>
      </c>
      <c r="BF3335">
        <v>0</v>
      </c>
      <c r="BG3335">
        <v>0</v>
      </c>
      <c r="BH3335">
        <v>1900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 t="shared" si="1430"/>
        <v>06:21:35.863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6</v>
      </c>
      <c r="CP3335" t="s">
        <v>119</v>
      </c>
      <c r="CQ3335">
        <v>457</v>
      </c>
      <c r="CR3335">
        <v>0</v>
      </c>
      <c r="CW3335">
        <v>15525644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 t="shared" si="1427"/>
        <v>08/29/2020 06:21:32.616</v>
      </c>
      <c r="C3336" t="str">
        <f t="shared" si="1424"/>
        <v>FFDFD3C0</v>
      </c>
      <c r="D3336" t="s">
        <v>939</v>
      </c>
      <c r="E3336">
        <v>10</v>
      </c>
      <c r="H3336">
        <v>79</v>
      </c>
      <c r="I3336" t="s">
        <v>940</v>
      </c>
      <c r="J3336" t="s">
        <v>130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428"/>
        <v>06:21:35.859</v>
      </c>
      <c r="T3336" t="str">
        <f t="shared" si="1429"/>
        <v>06:21:35.459</v>
      </c>
      <c r="U3336" t="str">
        <f t="shared" si="1425"/>
        <v>A7E2E0</v>
      </c>
      <c r="V3336">
        <v>0</v>
      </c>
      <c r="W3336">
        <v>0</v>
      </c>
      <c r="X3336">
        <v>1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0</v>
      </c>
      <c r="AI3336" t="s">
        <v>1580</v>
      </c>
      <c r="AJ3336">
        <v>38.834952999999999</v>
      </c>
      <c r="AK3336" t="s">
        <v>1581</v>
      </c>
      <c r="AL3336">
        <v>-87.604122000000004</v>
      </c>
      <c r="AM3336">
        <v>100</v>
      </c>
      <c r="AN3336">
        <v>2100</v>
      </c>
      <c r="AO3336" t="s">
        <v>118</v>
      </c>
      <c r="AP3336">
        <v>12</v>
      </c>
      <c r="AQ3336">
        <v>-118</v>
      </c>
      <c r="AR3336">
        <v>-448</v>
      </c>
      <c r="AZ3336">
        <v>4552</v>
      </c>
      <c r="BA3336">
        <v>1</v>
      </c>
      <c r="BB3336" t="str">
        <f t="shared" si="1426"/>
        <v xml:space="preserve">N607SR  </v>
      </c>
      <c r="BC3336">
        <v>1</v>
      </c>
      <c r="BE3336">
        <v>0</v>
      </c>
      <c r="BF3336">
        <v>0</v>
      </c>
      <c r="BG3336">
        <v>0</v>
      </c>
      <c r="BH3336">
        <v>1900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 t="shared" si="1430"/>
        <v>06:21:35.863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6</v>
      </c>
      <c r="CP3336" t="s">
        <v>119</v>
      </c>
      <c r="CQ3336">
        <v>465</v>
      </c>
      <c r="CR3336">
        <v>0</v>
      </c>
      <c r="CW3336">
        <v>4730446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 t="shared" si="1427"/>
        <v>08/29/2020 06:21:32.616</v>
      </c>
      <c r="C3337" t="str">
        <f t="shared" si="1424"/>
        <v>FFDFD3C0</v>
      </c>
      <c r="D3337" t="s">
        <v>113</v>
      </c>
      <c r="E3337">
        <v>5</v>
      </c>
      <c r="H3337">
        <v>163</v>
      </c>
      <c r="I3337" t="s">
        <v>114</v>
      </c>
      <c r="J3337" t="s">
        <v>115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428"/>
        <v>06:21:35.859</v>
      </c>
      <c r="T3337" t="str">
        <f t="shared" si="1429"/>
        <v>06:21:35.459</v>
      </c>
      <c r="U3337" t="str">
        <f t="shared" si="1425"/>
        <v>A7E2E0</v>
      </c>
      <c r="V3337">
        <v>0</v>
      </c>
      <c r="W3337">
        <v>0</v>
      </c>
      <c r="X3337">
        <v>1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0</v>
      </c>
      <c r="AI3337" t="s">
        <v>1580</v>
      </c>
      <c r="AJ3337">
        <v>38.834952999999999</v>
      </c>
      <c r="AK3337" t="s">
        <v>1581</v>
      </c>
      <c r="AL3337">
        <v>-87.604122000000004</v>
      </c>
      <c r="AM3337">
        <v>100</v>
      </c>
      <c r="AN3337">
        <v>2100</v>
      </c>
      <c r="AO3337" t="s">
        <v>118</v>
      </c>
      <c r="AP3337">
        <v>12</v>
      </c>
      <c r="AQ3337">
        <v>-118</v>
      </c>
      <c r="AR3337">
        <v>-448</v>
      </c>
      <c r="AZ3337">
        <v>4552</v>
      </c>
      <c r="BA3337">
        <v>1</v>
      </c>
      <c r="BB3337" t="str">
        <f t="shared" si="1426"/>
        <v xml:space="preserve">N607SR  </v>
      </c>
      <c r="BC3337">
        <v>1</v>
      </c>
      <c r="BE3337">
        <v>0</v>
      </c>
      <c r="BF3337">
        <v>0</v>
      </c>
      <c r="BG3337">
        <v>0</v>
      </c>
      <c r="BH3337">
        <v>1900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 t="shared" si="1430"/>
        <v>06:21:35.863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6</v>
      </c>
      <c r="CP3337" t="s">
        <v>119</v>
      </c>
      <c r="CQ3337">
        <v>465</v>
      </c>
      <c r="CR3337">
        <v>0</v>
      </c>
      <c r="CW3337">
        <v>4730446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 t="shared" ref="A3338:A3343" si="1431">"08/29/2020 06:21:33.642"</f>
        <v>08/29/2020 06:21:33.642</v>
      </c>
      <c r="C3338" t="str">
        <f t="shared" si="1424"/>
        <v>FFDFD3C0</v>
      </c>
      <c r="D3338" t="s">
        <v>121</v>
      </c>
      <c r="E3338">
        <v>11</v>
      </c>
      <c r="F3338">
        <v>1011</v>
      </c>
      <c r="G3338" t="s">
        <v>125</v>
      </c>
      <c r="J3338" t="s">
        <v>123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ref="S3338:S3343" si="1432">"06:21:36.875"</f>
        <v>06:21:36.875</v>
      </c>
      <c r="T3338" t="str">
        <f t="shared" ref="T3338:T3343" si="1433">"06:21:36.375"</f>
        <v>06:21:36.375</v>
      </c>
      <c r="U3338" t="str">
        <f t="shared" si="1425"/>
        <v>A7E2E0</v>
      </c>
      <c r="V3338">
        <v>0</v>
      </c>
      <c r="W3338">
        <v>0</v>
      </c>
      <c r="X3338">
        <v>1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0</v>
      </c>
      <c r="AI3338" t="s">
        <v>1582</v>
      </c>
      <c r="AJ3338">
        <v>38.834395000000001</v>
      </c>
      <c r="AK3338" t="s">
        <v>1583</v>
      </c>
      <c r="AL3338">
        <v>-87.604057999999995</v>
      </c>
      <c r="AM3338">
        <v>100</v>
      </c>
      <c r="AN3338">
        <v>2100</v>
      </c>
      <c r="AO3338" t="s">
        <v>118</v>
      </c>
      <c r="AP3338">
        <v>11</v>
      </c>
      <c r="AQ3338">
        <v>-117</v>
      </c>
      <c r="AR3338">
        <v>-448</v>
      </c>
      <c r="AZ3338">
        <v>4552</v>
      </c>
      <c r="BA3338">
        <v>1</v>
      </c>
      <c r="BB3338" t="str">
        <f t="shared" si="1426"/>
        <v xml:space="preserve">N607SR  </v>
      </c>
      <c r="BC3338">
        <v>1</v>
      </c>
      <c r="BE3338">
        <v>0</v>
      </c>
      <c r="BF3338">
        <v>0</v>
      </c>
      <c r="BG3338">
        <v>0</v>
      </c>
      <c r="BH3338">
        <v>1900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 t="shared" ref="BW3338:BW3343" si="1434">"06:21:36.879"</f>
        <v>06:21:36.879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6</v>
      </c>
      <c r="CP3338" t="s">
        <v>119</v>
      </c>
      <c r="CQ3338">
        <v>457</v>
      </c>
      <c r="CR3338">
        <v>0</v>
      </c>
      <c r="CW3338">
        <v>15525676</v>
      </c>
      <c r="CY3338">
        <v>1</v>
      </c>
      <c r="CZ3338">
        <v>0</v>
      </c>
      <c r="DA3338">
        <v>0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 t="shared" si="1431"/>
        <v>08/29/2020 06:21:33.642</v>
      </c>
      <c r="C3339" t="str">
        <f t="shared" si="1424"/>
        <v>FFDFD3C0</v>
      </c>
      <c r="D3339" t="s">
        <v>113</v>
      </c>
      <c r="E3339">
        <v>5</v>
      </c>
      <c r="H3339">
        <v>163</v>
      </c>
      <c r="I3339" t="s">
        <v>114</v>
      </c>
      <c r="J3339" t="s">
        <v>115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 t="shared" si="1432"/>
        <v>06:21:36.875</v>
      </c>
      <c r="T3339" t="str">
        <f t="shared" si="1433"/>
        <v>06:21:36.375</v>
      </c>
      <c r="U3339" t="str">
        <f t="shared" si="1425"/>
        <v>A7E2E0</v>
      </c>
      <c r="V3339">
        <v>0</v>
      </c>
      <c r="W3339">
        <v>0</v>
      </c>
      <c r="X3339">
        <v>1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0</v>
      </c>
      <c r="AI3339" t="s">
        <v>1582</v>
      </c>
      <c r="AJ3339">
        <v>38.834395000000001</v>
      </c>
      <c r="AK3339" t="s">
        <v>1583</v>
      </c>
      <c r="AL3339">
        <v>-87.604057999999995</v>
      </c>
      <c r="AM3339">
        <v>100</v>
      </c>
      <c r="AN3339">
        <v>2100</v>
      </c>
      <c r="AO3339" t="s">
        <v>118</v>
      </c>
      <c r="AP3339">
        <v>11</v>
      </c>
      <c r="AQ3339">
        <v>-117</v>
      </c>
      <c r="AR3339">
        <v>-448</v>
      </c>
      <c r="AZ3339">
        <v>4552</v>
      </c>
      <c r="BA3339">
        <v>1</v>
      </c>
      <c r="BB3339" t="str">
        <f t="shared" si="1426"/>
        <v xml:space="preserve">N607SR  </v>
      </c>
      <c r="BC3339">
        <v>1</v>
      </c>
      <c r="BE3339">
        <v>0</v>
      </c>
      <c r="BF3339">
        <v>0</v>
      </c>
      <c r="BG3339">
        <v>0</v>
      </c>
      <c r="BH3339">
        <v>1900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 t="shared" si="1434"/>
        <v>06:21:36.879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6</v>
      </c>
      <c r="CP3339" t="s">
        <v>119</v>
      </c>
      <c r="CQ3339">
        <v>465</v>
      </c>
      <c r="CR3339">
        <v>0</v>
      </c>
      <c r="CW3339">
        <v>4730473</v>
      </c>
      <c r="CY3339">
        <v>1</v>
      </c>
      <c r="CZ3339">
        <v>0</v>
      </c>
      <c r="DA3339">
        <v>1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 t="shared" si="1431"/>
        <v>08/29/2020 06:21:33.642</v>
      </c>
      <c r="C3340" t="str">
        <f t="shared" si="1424"/>
        <v>FFDFD3C0</v>
      </c>
      <c r="D3340" t="s">
        <v>128</v>
      </c>
      <c r="E3340">
        <v>5</v>
      </c>
      <c r="H3340">
        <v>241</v>
      </c>
      <c r="I3340" t="s">
        <v>129</v>
      </c>
      <c r="J3340" t="s">
        <v>130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si="1432"/>
        <v>06:21:36.875</v>
      </c>
      <c r="T3340" t="str">
        <f t="shared" si="1433"/>
        <v>06:21:36.375</v>
      </c>
      <c r="U3340" t="str">
        <f t="shared" si="1425"/>
        <v>A7E2E0</v>
      </c>
      <c r="V3340">
        <v>0</v>
      </c>
      <c r="W3340">
        <v>0</v>
      </c>
      <c r="X3340">
        <v>1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0</v>
      </c>
      <c r="AI3340" t="s">
        <v>1582</v>
      </c>
      <c r="AJ3340">
        <v>38.834395000000001</v>
      </c>
      <c r="AK3340" t="s">
        <v>1583</v>
      </c>
      <c r="AL3340">
        <v>-87.604057999999995</v>
      </c>
      <c r="AM3340">
        <v>100</v>
      </c>
      <c r="AN3340">
        <v>2100</v>
      </c>
      <c r="AO3340" t="s">
        <v>118</v>
      </c>
      <c r="AP3340">
        <v>11</v>
      </c>
      <c r="AQ3340">
        <v>-117</v>
      </c>
      <c r="AR3340">
        <v>-448</v>
      </c>
      <c r="AZ3340">
        <v>4552</v>
      </c>
      <c r="BA3340">
        <v>1</v>
      </c>
      <c r="BB3340" t="str">
        <f t="shared" si="1426"/>
        <v xml:space="preserve">N607SR  </v>
      </c>
      <c r="BC3340">
        <v>1</v>
      </c>
      <c r="BE3340">
        <v>0</v>
      </c>
      <c r="BF3340">
        <v>0</v>
      </c>
      <c r="BG3340">
        <v>0</v>
      </c>
      <c r="BH3340">
        <v>1900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 t="shared" si="1434"/>
        <v>06:21:36.879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6</v>
      </c>
      <c r="CP3340" t="s">
        <v>119</v>
      </c>
      <c r="CQ3340">
        <v>465</v>
      </c>
      <c r="CR3340">
        <v>0</v>
      </c>
      <c r="CW3340">
        <v>4730473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 t="shared" si="1431"/>
        <v>08/29/2020 06:21:33.642</v>
      </c>
      <c r="C3341" t="str">
        <f t="shared" si="1424"/>
        <v>FFDFD3C0</v>
      </c>
      <c r="D3341" t="s">
        <v>121</v>
      </c>
      <c r="E3341">
        <v>10</v>
      </c>
      <c r="F3341">
        <v>1010</v>
      </c>
      <c r="G3341" t="s">
        <v>114</v>
      </c>
      <c r="J3341" t="s">
        <v>123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432"/>
        <v>06:21:36.875</v>
      </c>
      <c r="T3341" t="str">
        <f t="shared" si="1433"/>
        <v>06:21:36.375</v>
      </c>
      <c r="U3341" t="str">
        <f t="shared" si="1425"/>
        <v>A7E2E0</v>
      </c>
      <c r="V3341">
        <v>0</v>
      </c>
      <c r="W3341">
        <v>0</v>
      </c>
      <c r="X3341">
        <v>1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0</v>
      </c>
      <c r="AI3341" t="s">
        <v>1582</v>
      </c>
      <c r="AJ3341">
        <v>38.834395000000001</v>
      </c>
      <c r="AK3341" t="s">
        <v>1583</v>
      </c>
      <c r="AL3341">
        <v>-87.604057999999995</v>
      </c>
      <c r="AM3341">
        <v>100</v>
      </c>
      <c r="AN3341">
        <v>2100</v>
      </c>
      <c r="AO3341" t="s">
        <v>118</v>
      </c>
      <c r="AP3341">
        <v>11</v>
      </c>
      <c r="AQ3341">
        <v>-117</v>
      </c>
      <c r="AR3341">
        <v>-448</v>
      </c>
      <c r="AZ3341">
        <v>4552</v>
      </c>
      <c r="BA3341">
        <v>1</v>
      </c>
      <c r="BB3341" t="str">
        <f t="shared" si="1426"/>
        <v xml:space="preserve">N607SR  </v>
      </c>
      <c r="BC3341">
        <v>1</v>
      </c>
      <c r="BE3341">
        <v>0</v>
      </c>
      <c r="BF3341">
        <v>0</v>
      </c>
      <c r="BG3341">
        <v>0</v>
      </c>
      <c r="BH3341">
        <v>1900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 t="shared" si="1434"/>
        <v>06:21:36.879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6</v>
      </c>
      <c r="CP3341" t="s">
        <v>119</v>
      </c>
      <c r="CQ3341">
        <v>465</v>
      </c>
      <c r="CR3341">
        <v>0</v>
      </c>
      <c r="CW3341">
        <v>4730473</v>
      </c>
      <c r="CY3341">
        <v>1</v>
      </c>
      <c r="CZ3341">
        <v>0</v>
      </c>
      <c r="DA3341">
        <v>1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 t="shared" si="1431"/>
        <v>08/29/2020 06:21:33.642</v>
      </c>
      <c r="C3342" t="str">
        <f t="shared" si="1424"/>
        <v>FFDFD3C0</v>
      </c>
      <c r="D3342" t="s">
        <v>939</v>
      </c>
      <c r="E3342">
        <v>10</v>
      </c>
      <c r="H3342">
        <v>79</v>
      </c>
      <c r="I3342" t="s">
        <v>940</v>
      </c>
      <c r="J3342" t="s">
        <v>130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432"/>
        <v>06:21:36.875</v>
      </c>
      <c r="T3342" t="str">
        <f t="shared" si="1433"/>
        <v>06:21:36.375</v>
      </c>
      <c r="U3342" t="str">
        <f t="shared" si="1425"/>
        <v>A7E2E0</v>
      </c>
      <c r="V3342">
        <v>0</v>
      </c>
      <c r="W3342">
        <v>0</v>
      </c>
      <c r="X3342">
        <v>1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0</v>
      </c>
      <c r="AI3342" t="s">
        <v>1582</v>
      </c>
      <c r="AJ3342">
        <v>38.834395000000001</v>
      </c>
      <c r="AK3342" t="s">
        <v>1583</v>
      </c>
      <c r="AL3342">
        <v>-87.604057999999995</v>
      </c>
      <c r="AM3342">
        <v>100</v>
      </c>
      <c r="AN3342">
        <v>2100</v>
      </c>
      <c r="AO3342" t="s">
        <v>118</v>
      </c>
      <c r="AP3342">
        <v>11</v>
      </c>
      <c r="AQ3342">
        <v>-117</v>
      </c>
      <c r="AR3342">
        <v>-448</v>
      </c>
      <c r="AZ3342">
        <v>4552</v>
      </c>
      <c r="BA3342">
        <v>1</v>
      </c>
      <c r="BB3342" t="str">
        <f t="shared" si="1426"/>
        <v xml:space="preserve">N607SR  </v>
      </c>
      <c r="BC3342">
        <v>1</v>
      </c>
      <c r="BE3342">
        <v>0</v>
      </c>
      <c r="BF3342">
        <v>0</v>
      </c>
      <c r="BG3342">
        <v>0</v>
      </c>
      <c r="BH3342">
        <v>1900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 t="shared" si="1434"/>
        <v>06:21:36.879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6</v>
      </c>
      <c r="CP3342" t="s">
        <v>119</v>
      </c>
      <c r="CQ3342">
        <v>465</v>
      </c>
      <c r="CR3342">
        <v>0</v>
      </c>
      <c r="CW3342">
        <v>4730473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 t="shared" si="1431"/>
        <v>08/29/2020 06:21:33.642</v>
      </c>
      <c r="C3343" t="str">
        <f t="shared" si="1424"/>
        <v>FFDFD3C0</v>
      </c>
      <c r="D3343" t="s">
        <v>121</v>
      </c>
      <c r="E3343">
        <v>13</v>
      </c>
      <c r="F3343">
        <v>1013</v>
      </c>
      <c r="G3343" t="s">
        <v>122</v>
      </c>
      <c r="J3343" t="s">
        <v>123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432"/>
        <v>06:21:36.875</v>
      </c>
      <c r="T3343" t="str">
        <f t="shared" si="1433"/>
        <v>06:21:36.375</v>
      </c>
      <c r="U3343" t="str">
        <f t="shared" si="1425"/>
        <v>A7E2E0</v>
      </c>
      <c r="V3343">
        <v>0</v>
      </c>
      <c r="W3343">
        <v>0</v>
      </c>
      <c r="X3343">
        <v>1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0</v>
      </c>
      <c r="AI3343" t="s">
        <v>1582</v>
      </c>
      <c r="AJ3343">
        <v>38.834395000000001</v>
      </c>
      <c r="AK3343" t="s">
        <v>1583</v>
      </c>
      <c r="AL3343">
        <v>-87.604057999999995</v>
      </c>
      <c r="AM3343">
        <v>100</v>
      </c>
      <c r="AN3343">
        <v>2100</v>
      </c>
      <c r="AO3343" t="s">
        <v>118</v>
      </c>
      <c r="AP3343">
        <v>11</v>
      </c>
      <c r="AQ3343">
        <v>-117</v>
      </c>
      <c r="AR3343">
        <v>-448</v>
      </c>
      <c r="AZ3343">
        <v>4552</v>
      </c>
      <c r="BA3343">
        <v>1</v>
      </c>
      <c r="BB3343" t="str">
        <f t="shared" si="1426"/>
        <v xml:space="preserve">N607SR  </v>
      </c>
      <c r="BC3343">
        <v>1</v>
      </c>
      <c r="BE3343">
        <v>0</v>
      </c>
      <c r="BF3343">
        <v>0</v>
      </c>
      <c r="BG3343">
        <v>0</v>
      </c>
      <c r="BH3343">
        <v>1900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 t="shared" si="1434"/>
        <v>06:21:36.879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6</v>
      </c>
      <c r="CP3343" t="s">
        <v>119</v>
      </c>
      <c r="CQ3343">
        <v>465</v>
      </c>
      <c r="CR3343">
        <v>0</v>
      </c>
      <c r="CW3343">
        <v>4730473</v>
      </c>
      <c r="CY3343">
        <v>1</v>
      </c>
      <c r="CZ3343">
        <v>0</v>
      </c>
      <c r="DA3343">
        <v>1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 t="shared" ref="A3344:A3349" si="1435">"08/29/2020 06:21:34.542"</f>
        <v>08/29/2020 06:21:34.542</v>
      </c>
      <c r="C3344" t="str">
        <f t="shared" si="1424"/>
        <v>FFDFD3C0</v>
      </c>
      <c r="D3344" t="s">
        <v>128</v>
      </c>
      <c r="E3344">
        <v>5</v>
      </c>
      <c r="H3344">
        <v>241</v>
      </c>
      <c r="I3344" t="s">
        <v>129</v>
      </c>
      <c r="J3344" t="s">
        <v>130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ref="S3344:S3349" si="1436">"06:21:37.781"</f>
        <v>06:21:37.781</v>
      </c>
      <c r="T3344" t="str">
        <f t="shared" ref="T3344:T3349" si="1437">"06:21:37.381"</f>
        <v>06:21:37.381</v>
      </c>
      <c r="U3344" t="str">
        <f t="shared" si="1425"/>
        <v>A7E2E0</v>
      </c>
      <c r="V3344">
        <v>0</v>
      </c>
      <c r="W3344">
        <v>0</v>
      </c>
      <c r="X3344">
        <v>1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0</v>
      </c>
      <c r="AI3344" t="s">
        <v>1584</v>
      </c>
      <c r="AJ3344">
        <v>38.833922999999999</v>
      </c>
      <c r="AK3344" t="s">
        <v>1585</v>
      </c>
      <c r="AL3344">
        <v>-87.604015000000004</v>
      </c>
      <c r="AM3344">
        <v>100</v>
      </c>
      <c r="AN3344">
        <v>2100</v>
      </c>
      <c r="AO3344" t="s">
        <v>118</v>
      </c>
      <c r="AP3344">
        <v>10</v>
      </c>
      <c r="AQ3344">
        <v>-117</v>
      </c>
      <c r="AR3344">
        <v>-448</v>
      </c>
      <c r="AZ3344">
        <v>4552</v>
      </c>
      <c r="BA3344">
        <v>1</v>
      </c>
      <c r="BB3344" t="str">
        <f t="shared" si="1426"/>
        <v xml:space="preserve">N607SR  </v>
      </c>
      <c r="BC3344">
        <v>1</v>
      </c>
      <c r="BE3344">
        <v>0</v>
      </c>
      <c r="BF3344">
        <v>0</v>
      </c>
      <c r="BG3344">
        <v>0</v>
      </c>
      <c r="BH3344">
        <v>1900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 t="shared" ref="BW3344:BW3349" si="1438">"06:21:37.783"</f>
        <v>06:21:37.783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6</v>
      </c>
      <c r="CP3344" t="s">
        <v>119</v>
      </c>
      <c r="CQ3344">
        <v>457</v>
      </c>
      <c r="CR3344">
        <v>0</v>
      </c>
      <c r="CW3344">
        <v>15525704</v>
      </c>
      <c r="CY3344">
        <v>1</v>
      </c>
      <c r="CZ3344">
        <v>0</v>
      </c>
      <c r="DA3344">
        <v>0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 t="shared" si="1435"/>
        <v>08/29/2020 06:21:34.542</v>
      </c>
      <c r="C3345" t="str">
        <f t="shared" si="1424"/>
        <v>FFDFD3C0</v>
      </c>
      <c r="D3345" t="s">
        <v>121</v>
      </c>
      <c r="E3345">
        <v>13</v>
      </c>
      <c r="F3345">
        <v>1013</v>
      </c>
      <c r="G3345" t="s">
        <v>122</v>
      </c>
      <c r="J3345" t="s">
        <v>123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si="1436"/>
        <v>06:21:37.781</v>
      </c>
      <c r="T3345" t="str">
        <f t="shared" si="1437"/>
        <v>06:21:37.381</v>
      </c>
      <c r="U3345" t="str">
        <f t="shared" si="1425"/>
        <v>A7E2E0</v>
      </c>
      <c r="V3345">
        <v>0</v>
      </c>
      <c r="W3345">
        <v>0</v>
      </c>
      <c r="X3345">
        <v>1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0</v>
      </c>
      <c r="AI3345" t="s">
        <v>1584</v>
      </c>
      <c r="AJ3345">
        <v>38.833922999999999</v>
      </c>
      <c r="AK3345" t="s">
        <v>1585</v>
      </c>
      <c r="AL3345">
        <v>-87.604015000000004</v>
      </c>
      <c r="AM3345">
        <v>100</v>
      </c>
      <c r="AN3345">
        <v>2100</v>
      </c>
      <c r="AO3345" t="s">
        <v>118</v>
      </c>
      <c r="AP3345">
        <v>10</v>
      </c>
      <c r="AQ3345">
        <v>-117</v>
      </c>
      <c r="AR3345">
        <v>-448</v>
      </c>
      <c r="AZ3345">
        <v>4552</v>
      </c>
      <c r="BA3345">
        <v>1</v>
      </c>
      <c r="BB3345" t="str">
        <f t="shared" si="1426"/>
        <v xml:space="preserve">N607SR  </v>
      </c>
      <c r="BC3345">
        <v>1</v>
      </c>
      <c r="BE3345">
        <v>0</v>
      </c>
      <c r="BF3345">
        <v>0</v>
      </c>
      <c r="BG3345">
        <v>0</v>
      </c>
      <c r="BH3345">
        <v>1900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 t="shared" si="1438"/>
        <v>06:21:37.783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6</v>
      </c>
      <c r="CP3345" t="s">
        <v>119</v>
      </c>
      <c r="CQ3345">
        <v>457</v>
      </c>
      <c r="CR3345">
        <v>0</v>
      </c>
      <c r="CW3345">
        <v>15525704</v>
      </c>
      <c r="CY3345">
        <v>1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 t="shared" si="1435"/>
        <v>08/29/2020 06:21:34.542</v>
      </c>
      <c r="C3346" t="str">
        <f t="shared" si="1424"/>
        <v>FFDFD3C0</v>
      </c>
      <c r="D3346" t="s">
        <v>121</v>
      </c>
      <c r="E3346">
        <v>11</v>
      </c>
      <c r="F3346">
        <v>1011</v>
      </c>
      <c r="G3346" t="s">
        <v>125</v>
      </c>
      <c r="J3346" t="s">
        <v>123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436"/>
        <v>06:21:37.781</v>
      </c>
      <c r="T3346" t="str">
        <f t="shared" si="1437"/>
        <v>06:21:37.381</v>
      </c>
      <c r="U3346" t="str">
        <f t="shared" si="1425"/>
        <v>A7E2E0</v>
      </c>
      <c r="V3346">
        <v>0</v>
      </c>
      <c r="W3346">
        <v>0</v>
      </c>
      <c r="X3346">
        <v>1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0</v>
      </c>
      <c r="AI3346" t="s">
        <v>1584</v>
      </c>
      <c r="AJ3346">
        <v>38.833922999999999</v>
      </c>
      <c r="AK3346" t="s">
        <v>1585</v>
      </c>
      <c r="AL3346">
        <v>-87.604015000000004</v>
      </c>
      <c r="AM3346">
        <v>100</v>
      </c>
      <c r="AN3346">
        <v>2100</v>
      </c>
      <c r="AO3346" t="s">
        <v>118</v>
      </c>
      <c r="AP3346">
        <v>10</v>
      </c>
      <c r="AQ3346">
        <v>-117</v>
      </c>
      <c r="AR3346">
        <v>-448</v>
      </c>
      <c r="AZ3346">
        <v>4552</v>
      </c>
      <c r="BA3346">
        <v>1</v>
      </c>
      <c r="BB3346" t="str">
        <f t="shared" si="1426"/>
        <v xml:space="preserve">N607SR  </v>
      </c>
      <c r="BC3346">
        <v>1</v>
      </c>
      <c r="BE3346">
        <v>0</v>
      </c>
      <c r="BF3346">
        <v>0</v>
      </c>
      <c r="BG3346">
        <v>0</v>
      </c>
      <c r="BH3346">
        <v>1900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 t="shared" si="1438"/>
        <v>06:21:37.783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6</v>
      </c>
      <c r="CP3346" t="s">
        <v>119</v>
      </c>
      <c r="CQ3346">
        <v>457</v>
      </c>
      <c r="CR3346">
        <v>0</v>
      </c>
      <c r="CW3346">
        <v>15525704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 t="shared" si="1435"/>
        <v>08/29/2020 06:21:34.542</v>
      </c>
      <c r="C3347" t="str">
        <f t="shared" si="1424"/>
        <v>FFDFD3C0</v>
      </c>
      <c r="D3347" t="s">
        <v>113</v>
      </c>
      <c r="E3347">
        <v>5</v>
      </c>
      <c r="H3347">
        <v>163</v>
      </c>
      <c r="I3347" t="s">
        <v>114</v>
      </c>
      <c r="J3347" t="s">
        <v>115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si="1436"/>
        <v>06:21:37.781</v>
      </c>
      <c r="T3347" t="str">
        <f t="shared" si="1437"/>
        <v>06:21:37.381</v>
      </c>
      <c r="U3347" t="str">
        <f t="shared" si="1425"/>
        <v>A7E2E0</v>
      </c>
      <c r="V3347">
        <v>0</v>
      </c>
      <c r="W3347">
        <v>0</v>
      </c>
      <c r="X3347">
        <v>1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0</v>
      </c>
      <c r="AI3347" t="s">
        <v>1584</v>
      </c>
      <c r="AJ3347">
        <v>38.833922999999999</v>
      </c>
      <c r="AK3347" t="s">
        <v>1585</v>
      </c>
      <c r="AL3347">
        <v>-87.604015000000004</v>
      </c>
      <c r="AM3347">
        <v>100</v>
      </c>
      <c r="AN3347">
        <v>2100</v>
      </c>
      <c r="AO3347" t="s">
        <v>118</v>
      </c>
      <c r="AP3347">
        <v>10</v>
      </c>
      <c r="AQ3347">
        <v>-117</v>
      </c>
      <c r="AR3347">
        <v>-448</v>
      </c>
      <c r="AZ3347">
        <v>4552</v>
      </c>
      <c r="BA3347">
        <v>1</v>
      </c>
      <c r="BB3347" t="str">
        <f t="shared" si="1426"/>
        <v xml:space="preserve">N607SR  </v>
      </c>
      <c r="BC3347">
        <v>1</v>
      </c>
      <c r="BE3347">
        <v>0</v>
      </c>
      <c r="BF3347">
        <v>0</v>
      </c>
      <c r="BG3347">
        <v>0</v>
      </c>
      <c r="BH3347">
        <v>1900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 t="shared" si="1438"/>
        <v>06:21:37.783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6</v>
      </c>
      <c r="CP3347" t="s">
        <v>119</v>
      </c>
      <c r="CQ3347">
        <v>457</v>
      </c>
      <c r="CR3347">
        <v>0</v>
      </c>
      <c r="CW3347">
        <v>15525704</v>
      </c>
      <c r="CY3347">
        <v>1</v>
      </c>
      <c r="CZ3347">
        <v>0</v>
      </c>
      <c r="DA3347">
        <v>1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 t="shared" si="1435"/>
        <v>08/29/2020 06:21:34.542</v>
      </c>
      <c r="C3348" t="str">
        <f t="shared" si="1424"/>
        <v>FFDFD3C0</v>
      </c>
      <c r="D3348" t="s">
        <v>939</v>
      </c>
      <c r="E3348">
        <v>10</v>
      </c>
      <c r="H3348">
        <v>79</v>
      </c>
      <c r="I3348" t="s">
        <v>940</v>
      </c>
      <c r="J3348" t="s">
        <v>130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436"/>
        <v>06:21:37.781</v>
      </c>
      <c r="T3348" t="str">
        <f t="shared" si="1437"/>
        <v>06:21:37.381</v>
      </c>
      <c r="U3348" t="str">
        <f t="shared" si="1425"/>
        <v>A7E2E0</v>
      </c>
      <c r="V3348">
        <v>0</v>
      </c>
      <c r="W3348">
        <v>0</v>
      </c>
      <c r="X3348">
        <v>1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0</v>
      </c>
      <c r="AI3348" t="s">
        <v>1584</v>
      </c>
      <c r="AJ3348">
        <v>38.833922999999999</v>
      </c>
      <c r="AK3348" t="s">
        <v>1585</v>
      </c>
      <c r="AL3348">
        <v>-87.604015000000004</v>
      </c>
      <c r="AM3348">
        <v>100</v>
      </c>
      <c r="AN3348">
        <v>2100</v>
      </c>
      <c r="AO3348" t="s">
        <v>118</v>
      </c>
      <c r="AP3348">
        <v>10</v>
      </c>
      <c r="AQ3348">
        <v>-117</v>
      </c>
      <c r="AR3348">
        <v>-448</v>
      </c>
      <c r="AZ3348">
        <v>4552</v>
      </c>
      <c r="BA3348">
        <v>1</v>
      </c>
      <c r="BB3348" t="str">
        <f t="shared" si="1426"/>
        <v xml:space="preserve">N607SR  </v>
      </c>
      <c r="BC3348">
        <v>1</v>
      </c>
      <c r="BE3348">
        <v>0</v>
      </c>
      <c r="BF3348">
        <v>0</v>
      </c>
      <c r="BG3348">
        <v>0</v>
      </c>
      <c r="BH3348">
        <v>1900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 t="shared" si="1438"/>
        <v>06:21:37.783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6</v>
      </c>
      <c r="CP3348" t="s">
        <v>119</v>
      </c>
      <c r="CQ3348">
        <v>465</v>
      </c>
      <c r="CR3348">
        <v>0</v>
      </c>
      <c r="CW3348">
        <v>4730499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 t="shared" si="1435"/>
        <v>08/29/2020 06:21:34.542</v>
      </c>
      <c r="C3349" t="str">
        <f t="shared" si="1424"/>
        <v>FFDFD3C0</v>
      </c>
      <c r="D3349" t="s">
        <v>121</v>
      </c>
      <c r="E3349">
        <v>10</v>
      </c>
      <c r="F3349">
        <v>1010</v>
      </c>
      <c r="G3349" t="s">
        <v>114</v>
      </c>
      <c r="J3349" t="s">
        <v>123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436"/>
        <v>06:21:37.781</v>
      </c>
      <c r="T3349" t="str">
        <f t="shared" si="1437"/>
        <v>06:21:37.381</v>
      </c>
      <c r="U3349" t="str">
        <f t="shared" si="1425"/>
        <v>A7E2E0</v>
      </c>
      <c r="V3349">
        <v>0</v>
      </c>
      <c r="W3349">
        <v>0</v>
      </c>
      <c r="X3349">
        <v>1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0</v>
      </c>
      <c r="AI3349" t="s">
        <v>1584</v>
      </c>
      <c r="AJ3349">
        <v>38.833922999999999</v>
      </c>
      <c r="AK3349" t="s">
        <v>1585</v>
      </c>
      <c r="AL3349">
        <v>-87.604015000000004</v>
      </c>
      <c r="AM3349">
        <v>100</v>
      </c>
      <c r="AN3349">
        <v>2100</v>
      </c>
      <c r="AO3349" t="s">
        <v>118</v>
      </c>
      <c r="AP3349">
        <v>10</v>
      </c>
      <c r="AQ3349">
        <v>-117</v>
      </c>
      <c r="AR3349">
        <v>-448</v>
      </c>
      <c r="AZ3349">
        <v>4552</v>
      </c>
      <c r="BA3349">
        <v>1</v>
      </c>
      <c r="BB3349" t="str">
        <f t="shared" si="1426"/>
        <v xml:space="preserve">N607SR  </v>
      </c>
      <c r="BC3349">
        <v>1</v>
      </c>
      <c r="BE3349">
        <v>0</v>
      </c>
      <c r="BF3349">
        <v>0</v>
      </c>
      <c r="BG3349">
        <v>0</v>
      </c>
      <c r="BH3349">
        <v>1900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 t="shared" si="1438"/>
        <v>06:21:37.783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6</v>
      </c>
      <c r="CP3349" t="s">
        <v>119</v>
      </c>
      <c r="CQ3349">
        <v>457</v>
      </c>
      <c r="CR3349">
        <v>0</v>
      </c>
      <c r="CW3349">
        <v>15525704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 t="shared" ref="A3350:A3355" si="1439">"08/29/2020 06:21:35.394"</f>
        <v>08/29/2020 06:21:35.394</v>
      </c>
      <c r="C3350" t="str">
        <f t="shared" si="1424"/>
        <v>FFDFD3C0</v>
      </c>
      <c r="D3350" t="s">
        <v>121</v>
      </c>
      <c r="E3350">
        <v>10</v>
      </c>
      <c r="F3350">
        <v>1010</v>
      </c>
      <c r="G3350" t="s">
        <v>114</v>
      </c>
      <c r="J3350" t="s">
        <v>123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ref="S3350:S3355" si="1440">"06:21:38.625"</f>
        <v>06:21:38.625</v>
      </c>
      <c r="T3350" t="str">
        <f t="shared" ref="T3350:T3355" si="1441">"06:21:38.225"</f>
        <v>06:21:38.225</v>
      </c>
      <c r="U3350" t="str">
        <f t="shared" si="1425"/>
        <v>A7E2E0</v>
      </c>
      <c r="V3350">
        <v>0</v>
      </c>
      <c r="W3350">
        <v>0</v>
      </c>
      <c r="X3350">
        <v>1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0</v>
      </c>
      <c r="AI3350" t="s">
        <v>1586</v>
      </c>
      <c r="AJ3350">
        <v>38.833407999999999</v>
      </c>
      <c r="AK3350" t="s">
        <v>1587</v>
      </c>
      <c r="AL3350">
        <v>-87.603950999999995</v>
      </c>
      <c r="AM3350">
        <v>100</v>
      </c>
      <c r="AN3350">
        <v>2100</v>
      </c>
      <c r="AO3350" t="s">
        <v>118</v>
      </c>
      <c r="AP3350">
        <v>10</v>
      </c>
      <c r="AQ3350">
        <v>-117</v>
      </c>
      <c r="AR3350">
        <v>-448</v>
      </c>
      <c r="AZ3350">
        <v>4552</v>
      </c>
      <c r="BA3350">
        <v>1</v>
      </c>
      <c r="BB3350" t="str">
        <f t="shared" si="1426"/>
        <v xml:space="preserve">N607SR  </v>
      </c>
      <c r="BC3350">
        <v>1</v>
      </c>
      <c r="BE3350">
        <v>0</v>
      </c>
      <c r="BF3350">
        <v>0</v>
      </c>
      <c r="BG3350">
        <v>0</v>
      </c>
      <c r="BH3350">
        <v>1875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 t="shared" ref="BW3350:BW3355" si="1442">"06:21:38.627"</f>
        <v>06:21:38.627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6</v>
      </c>
      <c r="CP3350" t="s">
        <v>119</v>
      </c>
      <c r="CQ3350">
        <v>465</v>
      </c>
      <c r="CR3350">
        <v>0</v>
      </c>
      <c r="CW3350">
        <v>4730530</v>
      </c>
      <c r="CY3350">
        <v>1</v>
      </c>
      <c r="CZ3350">
        <v>0</v>
      </c>
      <c r="DA3350">
        <v>0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 t="shared" si="1439"/>
        <v>08/29/2020 06:21:35.394</v>
      </c>
      <c r="C3351" t="str">
        <f t="shared" si="1424"/>
        <v>FFDFD3C0</v>
      </c>
      <c r="D3351" t="s">
        <v>128</v>
      </c>
      <c r="E3351">
        <v>5</v>
      </c>
      <c r="H3351">
        <v>241</v>
      </c>
      <c r="I3351" t="s">
        <v>129</v>
      </c>
      <c r="J3351" t="s">
        <v>130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440"/>
        <v>06:21:38.625</v>
      </c>
      <c r="T3351" t="str">
        <f t="shared" si="1441"/>
        <v>06:21:38.225</v>
      </c>
      <c r="U3351" t="str">
        <f t="shared" si="1425"/>
        <v>A7E2E0</v>
      </c>
      <c r="V3351">
        <v>0</v>
      </c>
      <c r="W3351">
        <v>0</v>
      </c>
      <c r="X3351">
        <v>1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0</v>
      </c>
      <c r="AI3351" t="s">
        <v>1586</v>
      </c>
      <c r="AJ3351">
        <v>38.833407999999999</v>
      </c>
      <c r="AK3351" t="s">
        <v>1587</v>
      </c>
      <c r="AL3351">
        <v>-87.603950999999995</v>
      </c>
      <c r="AM3351">
        <v>100</v>
      </c>
      <c r="AN3351">
        <v>2100</v>
      </c>
      <c r="AO3351" t="s">
        <v>118</v>
      </c>
      <c r="AP3351">
        <v>10</v>
      </c>
      <c r="AQ3351">
        <v>-117</v>
      </c>
      <c r="AR3351">
        <v>-448</v>
      </c>
      <c r="AZ3351">
        <v>4552</v>
      </c>
      <c r="BA3351">
        <v>1</v>
      </c>
      <c r="BB3351" t="str">
        <f t="shared" si="1426"/>
        <v xml:space="preserve">N607SR  </v>
      </c>
      <c r="BC3351">
        <v>1</v>
      </c>
      <c r="BE3351">
        <v>0</v>
      </c>
      <c r="BF3351">
        <v>0</v>
      </c>
      <c r="BG3351">
        <v>0</v>
      </c>
      <c r="BH3351">
        <v>1875</v>
      </c>
      <c r="BI3351">
        <v>1</v>
      </c>
      <c r="BJ3351">
        <v>1</v>
      </c>
      <c r="BK3351">
        <v>1</v>
      </c>
      <c r="BL3351">
        <v>0</v>
      </c>
      <c r="BO3351">
        <v>0</v>
      </c>
      <c r="BP3351">
        <v>0</v>
      </c>
      <c r="BW3351" t="str">
        <f t="shared" si="1442"/>
        <v>06:21:38.627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6</v>
      </c>
      <c r="CP3351" t="s">
        <v>119</v>
      </c>
      <c r="CQ3351">
        <v>465</v>
      </c>
      <c r="CR3351">
        <v>0</v>
      </c>
      <c r="CW3351">
        <v>4730530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 t="shared" si="1439"/>
        <v>08/29/2020 06:21:35.394</v>
      </c>
      <c r="C3352" t="str">
        <f t="shared" si="1424"/>
        <v>FFDFD3C0</v>
      </c>
      <c r="D3352" t="s">
        <v>121</v>
      </c>
      <c r="E3352">
        <v>13</v>
      </c>
      <c r="F3352">
        <v>1013</v>
      </c>
      <c r="G3352" t="s">
        <v>122</v>
      </c>
      <c r="J3352" t="s">
        <v>123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si="1440"/>
        <v>06:21:38.625</v>
      </c>
      <c r="T3352" t="str">
        <f t="shared" si="1441"/>
        <v>06:21:38.225</v>
      </c>
      <c r="U3352" t="str">
        <f t="shared" si="1425"/>
        <v>A7E2E0</v>
      </c>
      <c r="V3352">
        <v>0</v>
      </c>
      <c r="W3352">
        <v>0</v>
      </c>
      <c r="X3352">
        <v>1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0</v>
      </c>
      <c r="AI3352" t="s">
        <v>1586</v>
      </c>
      <c r="AJ3352">
        <v>38.833407999999999</v>
      </c>
      <c r="AK3352" t="s">
        <v>1587</v>
      </c>
      <c r="AL3352">
        <v>-87.603950999999995</v>
      </c>
      <c r="AM3352">
        <v>100</v>
      </c>
      <c r="AN3352">
        <v>2100</v>
      </c>
      <c r="AO3352" t="s">
        <v>118</v>
      </c>
      <c r="AP3352">
        <v>10</v>
      </c>
      <c r="AQ3352">
        <v>-117</v>
      </c>
      <c r="AR3352">
        <v>-448</v>
      </c>
      <c r="AZ3352">
        <v>4552</v>
      </c>
      <c r="BA3352">
        <v>1</v>
      </c>
      <c r="BB3352" t="str">
        <f t="shared" si="1426"/>
        <v xml:space="preserve">N607SR  </v>
      </c>
      <c r="BC3352">
        <v>1</v>
      </c>
      <c r="BE3352">
        <v>0</v>
      </c>
      <c r="BF3352">
        <v>0</v>
      </c>
      <c r="BG3352">
        <v>0</v>
      </c>
      <c r="BH3352">
        <v>1875</v>
      </c>
      <c r="BI3352">
        <v>1</v>
      </c>
      <c r="BJ3352">
        <v>1</v>
      </c>
      <c r="BK3352">
        <v>1</v>
      </c>
      <c r="BL3352">
        <v>0</v>
      </c>
      <c r="BO3352">
        <v>0</v>
      </c>
      <c r="BP3352">
        <v>0</v>
      </c>
      <c r="BW3352" t="str">
        <f t="shared" si="1442"/>
        <v>06:21:38.627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6</v>
      </c>
      <c r="CP3352" t="s">
        <v>119</v>
      </c>
      <c r="CQ3352">
        <v>465</v>
      </c>
      <c r="CR3352">
        <v>0</v>
      </c>
      <c r="CW3352">
        <v>4730530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 t="shared" si="1439"/>
        <v>08/29/2020 06:21:35.394</v>
      </c>
      <c r="C3353" t="str">
        <f t="shared" si="1424"/>
        <v>FFDFD3C0</v>
      </c>
      <c r="D3353" t="s">
        <v>121</v>
      </c>
      <c r="E3353">
        <v>11</v>
      </c>
      <c r="F3353">
        <v>1011</v>
      </c>
      <c r="G3353" t="s">
        <v>125</v>
      </c>
      <c r="J3353" t="s">
        <v>123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440"/>
        <v>06:21:38.625</v>
      </c>
      <c r="T3353" t="str">
        <f t="shared" si="1441"/>
        <v>06:21:38.225</v>
      </c>
      <c r="U3353" t="str">
        <f t="shared" si="1425"/>
        <v>A7E2E0</v>
      </c>
      <c r="V3353">
        <v>0</v>
      </c>
      <c r="W3353">
        <v>0</v>
      </c>
      <c r="X3353">
        <v>1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0</v>
      </c>
      <c r="AI3353" t="s">
        <v>1586</v>
      </c>
      <c r="AJ3353">
        <v>38.833407999999999</v>
      </c>
      <c r="AK3353" t="s">
        <v>1587</v>
      </c>
      <c r="AL3353">
        <v>-87.603950999999995</v>
      </c>
      <c r="AM3353">
        <v>100</v>
      </c>
      <c r="AN3353">
        <v>2100</v>
      </c>
      <c r="AO3353" t="s">
        <v>118</v>
      </c>
      <c r="AP3353">
        <v>10</v>
      </c>
      <c r="AQ3353">
        <v>-117</v>
      </c>
      <c r="AR3353">
        <v>-448</v>
      </c>
      <c r="AZ3353">
        <v>4552</v>
      </c>
      <c r="BA3353">
        <v>1</v>
      </c>
      <c r="BB3353" t="str">
        <f t="shared" si="1426"/>
        <v xml:space="preserve">N607SR  </v>
      </c>
      <c r="BC3353">
        <v>1</v>
      </c>
      <c r="BE3353">
        <v>0</v>
      </c>
      <c r="BF3353">
        <v>0</v>
      </c>
      <c r="BG3353">
        <v>0</v>
      </c>
      <c r="BH3353">
        <v>1875</v>
      </c>
      <c r="BI3353">
        <v>1</v>
      </c>
      <c r="BJ3353">
        <v>1</v>
      </c>
      <c r="BK3353">
        <v>1</v>
      </c>
      <c r="BL3353">
        <v>0</v>
      </c>
      <c r="BO3353">
        <v>0</v>
      </c>
      <c r="BP3353">
        <v>0</v>
      </c>
      <c r="BW3353" t="str">
        <f t="shared" si="1442"/>
        <v>06:21:38.627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6</v>
      </c>
      <c r="CP3353" t="s">
        <v>119</v>
      </c>
      <c r="CQ3353">
        <v>457</v>
      </c>
      <c r="CR3353">
        <v>0</v>
      </c>
      <c r="CW3353">
        <v>15525733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 t="shared" si="1439"/>
        <v>08/29/2020 06:21:35.394</v>
      </c>
      <c r="C3354" t="str">
        <f t="shared" si="1424"/>
        <v>FFDFD3C0</v>
      </c>
      <c r="D3354" t="s">
        <v>113</v>
      </c>
      <c r="E3354">
        <v>5</v>
      </c>
      <c r="H3354">
        <v>163</v>
      </c>
      <c r="I3354" t="s">
        <v>114</v>
      </c>
      <c r="J3354" t="s">
        <v>115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1440"/>
        <v>06:21:38.625</v>
      </c>
      <c r="T3354" t="str">
        <f t="shared" si="1441"/>
        <v>06:21:38.225</v>
      </c>
      <c r="U3354" t="str">
        <f t="shared" si="1425"/>
        <v>A7E2E0</v>
      </c>
      <c r="V3354">
        <v>0</v>
      </c>
      <c r="W3354">
        <v>0</v>
      </c>
      <c r="X3354">
        <v>1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0</v>
      </c>
      <c r="AI3354" t="s">
        <v>1586</v>
      </c>
      <c r="AJ3354">
        <v>38.833407999999999</v>
      </c>
      <c r="AK3354" t="s">
        <v>1587</v>
      </c>
      <c r="AL3354">
        <v>-87.603950999999995</v>
      </c>
      <c r="AM3354">
        <v>100</v>
      </c>
      <c r="AN3354">
        <v>2100</v>
      </c>
      <c r="AO3354" t="s">
        <v>118</v>
      </c>
      <c r="AP3354">
        <v>10</v>
      </c>
      <c r="AQ3354">
        <v>-117</v>
      </c>
      <c r="AR3354">
        <v>-448</v>
      </c>
      <c r="AZ3354">
        <v>4552</v>
      </c>
      <c r="BA3354">
        <v>1</v>
      </c>
      <c r="BB3354" t="str">
        <f t="shared" si="1426"/>
        <v xml:space="preserve">N607SR  </v>
      </c>
      <c r="BC3354">
        <v>1</v>
      </c>
      <c r="BE3354">
        <v>0</v>
      </c>
      <c r="BF3354">
        <v>0</v>
      </c>
      <c r="BG3354">
        <v>0</v>
      </c>
      <c r="BH3354">
        <v>1875</v>
      </c>
      <c r="BI3354">
        <v>1</v>
      </c>
      <c r="BJ3354">
        <v>1</v>
      </c>
      <c r="BK3354">
        <v>1</v>
      </c>
      <c r="BL3354">
        <v>0</v>
      </c>
      <c r="BO3354">
        <v>0</v>
      </c>
      <c r="BP3354">
        <v>0</v>
      </c>
      <c r="BW3354" t="str">
        <f t="shared" si="1442"/>
        <v>06:21:38.627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6</v>
      </c>
      <c r="CP3354" t="s">
        <v>119</v>
      </c>
      <c r="CQ3354">
        <v>465</v>
      </c>
      <c r="CR3354">
        <v>0</v>
      </c>
      <c r="CW3354">
        <v>4730530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 t="shared" si="1439"/>
        <v>08/29/2020 06:21:35.394</v>
      </c>
      <c r="C3355" t="str">
        <f t="shared" si="1424"/>
        <v>FFDFD3C0</v>
      </c>
      <c r="D3355" t="s">
        <v>939</v>
      </c>
      <c r="E3355">
        <v>10</v>
      </c>
      <c r="H3355">
        <v>79</v>
      </c>
      <c r="I3355" t="s">
        <v>940</v>
      </c>
      <c r="J3355" t="s">
        <v>130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440"/>
        <v>06:21:38.625</v>
      </c>
      <c r="T3355" t="str">
        <f t="shared" si="1441"/>
        <v>06:21:38.225</v>
      </c>
      <c r="U3355" t="str">
        <f t="shared" si="1425"/>
        <v>A7E2E0</v>
      </c>
      <c r="V3355">
        <v>0</v>
      </c>
      <c r="W3355">
        <v>0</v>
      </c>
      <c r="X3355">
        <v>1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0</v>
      </c>
      <c r="AI3355" t="s">
        <v>1586</v>
      </c>
      <c r="AJ3355">
        <v>38.833407999999999</v>
      </c>
      <c r="AK3355" t="s">
        <v>1587</v>
      </c>
      <c r="AL3355">
        <v>-87.603950999999995</v>
      </c>
      <c r="AM3355">
        <v>100</v>
      </c>
      <c r="AN3355">
        <v>2100</v>
      </c>
      <c r="AO3355" t="s">
        <v>118</v>
      </c>
      <c r="AP3355">
        <v>10</v>
      </c>
      <c r="AQ3355">
        <v>-117</v>
      </c>
      <c r="AR3355">
        <v>-448</v>
      </c>
      <c r="AZ3355">
        <v>4552</v>
      </c>
      <c r="BA3355">
        <v>1</v>
      </c>
      <c r="BB3355" t="str">
        <f t="shared" si="1426"/>
        <v xml:space="preserve">N607SR  </v>
      </c>
      <c r="BC3355">
        <v>1</v>
      </c>
      <c r="BE3355">
        <v>0</v>
      </c>
      <c r="BF3355">
        <v>0</v>
      </c>
      <c r="BG3355">
        <v>0</v>
      </c>
      <c r="BH3355">
        <v>1875</v>
      </c>
      <c r="BI3355">
        <v>1</v>
      </c>
      <c r="BJ3355">
        <v>1</v>
      </c>
      <c r="BK3355">
        <v>1</v>
      </c>
      <c r="BL3355">
        <v>0</v>
      </c>
      <c r="BO3355">
        <v>0</v>
      </c>
      <c r="BP3355">
        <v>0</v>
      </c>
      <c r="BW3355" t="str">
        <f t="shared" si="1442"/>
        <v>06:21:38.627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6</v>
      </c>
      <c r="CP3355" t="s">
        <v>119</v>
      </c>
      <c r="CQ3355">
        <v>465</v>
      </c>
      <c r="CR3355">
        <v>0</v>
      </c>
      <c r="CW3355">
        <v>4730530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 t="shared" ref="A3356:A3361" si="1443">"08/29/2020 06:21:36.475"</f>
        <v>08/29/2020 06:21:36.475</v>
      </c>
      <c r="C3356" t="str">
        <f t="shared" si="1424"/>
        <v>FFDFD3C0</v>
      </c>
      <c r="D3356" t="s">
        <v>121</v>
      </c>
      <c r="E3356">
        <v>13</v>
      </c>
      <c r="F3356">
        <v>1013</v>
      </c>
      <c r="G3356" t="s">
        <v>122</v>
      </c>
      <c r="J3356" t="s">
        <v>123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ref="S3356:S3361" si="1444">"06:21:39.703"</f>
        <v>06:21:39.703</v>
      </c>
      <c r="T3356" t="str">
        <f t="shared" ref="T3356:T3361" si="1445">"06:21:39.303"</f>
        <v>06:21:39.303</v>
      </c>
      <c r="U3356" t="str">
        <f t="shared" si="1425"/>
        <v>A7E2E0</v>
      </c>
      <c r="V3356">
        <v>0</v>
      </c>
      <c r="W3356">
        <v>0</v>
      </c>
      <c r="X3356">
        <v>1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0</v>
      </c>
      <c r="AI3356" t="s">
        <v>1588</v>
      </c>
      <c r="AJ3356">
        <v>38.832892999999999</v>
      </c>
      <c r="AK3356" t="s">
        <v>1220</v>
      </c>
      <c r="AL3356">
        <v>-87.603886000000003</v>
      </c>
      <c r="AM3356">
        <v>100</v>
      </c>
      <c r="AN3356">
        <v>2100</v>
      </c>
      <c r="AO3356" t="s">
        <v>118</v>
      </c>
      <c r="AP3356">
        <v>9</v>
      </c>
      <c r="AQ3356">
        <v>-116</v>
      </c>
      <c r="AR3356">
        <v>-448</v>
      </c>
      <c r="AZ3356">
        <v>4552</v>
      </c>
      <c r="BA3356">
        <v>1</v>
      </c>
      <c r="BB3356" t="str">
        <f t="shared" si="1426"/>
        <v xml:space="preserve">N607SR  </v>
      </c>
      <c r="BC3356">
        <v>1</v>
      </c>
      <c r="BE3356">
        <v>0</v>
      </c>
      <c r="BF3356">
        <v>0</v>
      </c>
      <c r="BG3356">
        <v>0</v>
      </c>
      <c r="BH3356">
        <v>1875</v>
      </c>
      <c r="BI3356">
        <v>1</v>
      </c>
      <c r="BJ3356">
        <v>1</v>
      </c>
      <c r="BK3356">
        <v>1</v>
      </c>
      <c r="BL3356">
        <v>0</v>
      </c>
      <c r="BO3356">
        <v>0</v>
      </c>
      <c r="BP3356">
        <v>0</v>
      </c>
      <c r="BW3356" t="str">
        <f>"06:21:39.703"</f>
        <v>06:21:39.703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6</v>
      </c>
      <c r="CP3356" t="s">
        <v>119</v>
      </c>
      <c r="CQ3356">
        <v>457</v>
      </c>
      <c r="CR3356">
        <v>0</v>
      </c>
      <c r="CW3356">
        <v>15525767</v>
      </c>
      <c r="CY3356">
        <v>1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 t="shared" si="1443"/>
        <v>08/29/2020 06:21:36.475</v>
      </c>
      <c r="C3357" t="str">
        <f t="shared" si="1424"/>
        <v>FFDFD3C0</v>
      </c>
      <c r="D3357" t="s">
        <v>121</v>
      </c>
      <c r="E3357">
        <v>11</v>
      </c>
      <c r="F3357">
        <v>1011</v>
      </c>
      <c r="G3357" t="s">
        <v>125</v>
      </c>
      <c r="J3357" t="s">
        <v>123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si="1444"/>
        <v>06:21:39.703</v>
      </c>
      <c r="T3357" t="str">
        <f t="shared" si="1445"/>
        <v>06:21:39.303</v>
      </c>
      <c r="U3357" t="str">
        <f t="shared" si="1425"/>
        <v>A7E2E0</v>
      </c>
      <c r="V3357">
        <v>0</v>
      </c>
      <c r="W3357">
        <v>0</v>
      </c>
      <c r="X3357">
        <v>1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0</v>
      </c>
      <c r="AI3357" t="s">
        <v>1588</v>
      </c>
      <c r="AJ3357">
        <v>38.832892999999999</v>
      </c>
      <c r="AK3357" t="s">
        <v>1220</v>
      </c>
      <c r="AL3357">
        <v>-87.603886000000003</v>
      </c>
      <c r="AM3357">
        <v>100</v>
      </c>
      <c r="AN3357">
        <v>2100</v>
      </c>
      <c r="AO3357" t="s">
        <v>118</v>
      </c>
      <c r="AP3357">
        <v>9</v>
      </c>
      <c r="AQ3357">
        <v>-116</v>
      </c>
      <c r="AR3357">
        <v>-448</v>
      </c>
      <c r="AZ3357">
        <v>4552</v>
      </c>
      <c r="BA3357">
        <v>1</v>
      </c>
      <c r="BB3357" t="str">
        <f t="shared" si="1426"/>
        <v xml:space="preserve">N607SR  </v>
      </c>
      <c r="BC3357">
        <v>1</v>
      </c>
      <c r="BE3357">
        <v>0</v>
      </c>
      <c r="BF3357">
        <v>0</v>
      </c>
      <c r="BG3357">
        <v>0</v>
      </c>
      <c r="BH3357">
        <v>1875</v>
      </c>
      <c r="BI3357">
        <v>1</v>
      </c>
      <c r="BJ3357">
        <v>1</v>
      </c>
      <c r="BK3357">
        <v>1</v>
      </c>
      <c r="BL3357">
        <v>0</v>
      </c>
      <c r="BO3357">
        <v>0</v>
      </c>
      <c r="BP3357">
        <v>0</v>
      </c>
      <c r="BW3357" t="str">
        <f>"06:21:39.703"</f>
        <v>06:21:39.703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6</v>
      </c>
      <c r="CP3357" t="s">
        <v>119</v>
      </c>
      <c r="CQ3357">
        <v>457</v>
      </c>
      <c r="CR3357">
        <v>0</v>
      </c>
      <c r="CW3357">
        <v>15525767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 t="shared" si="1443"/>
        <v>08/29/2020 06:21:36.475</v>
      </c>
      <c r="C3358" t="str">
        <f t="shared" si="1424"/>
        <v>FFDFD3C0</v>
      </c>
      <c r="D3358" t="s">
        <v>939</v>
      </c>
      <c r="E3358">
        <v>10</v>
      </c>
      <c r="H3358">
        <v>79</v>
      </c>
      <c r="I3358" t="s">
        <v>940</v>
      </c>
      <c r="J3358" t="s">
        <v>130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444"/>
        <v>06:21:39.703</v>
      </c>
      <c r="T3358" t="str">
        <f t="shared" si="1445"/>
        <v>06:21:39.303</v>
      </c>
      <c r="U3358" t="str">
        <f t="shared" si="1425"/>
        <v>A7E2E0</v>
      </c>
      <c r="V3358">
        <v>0</v>
      </c>
      <c r="W3358">
        <v>0</v>
      </c>
      <c r="X3358">
        <v>1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0</v>
      </c>
      <c r="AI3358" t="s">
        <v>1588</v>
      </c>
      <c r="AJ3358">
        <v>38.832892999999999</v>
      </c>
      <c r="AK3358" t="s">
        <v>1220</v>
      </c>
      <c r="AL3358">
        <v>-87.603886000000003</v>
      </c>
      <c r="AM3358">
        <v>100</v>
      </c>
      <c r="AN3358">
        <v>2100</v>
      </c>
      <c r="AO3358" t="s">
        <v>118</v>
      </c>
      <c r="AP3358">
        <v>9</v>
      </c>
      <c r="AQ3358">
        <v>-116</v>
      </c>
      <c r="AR3358">
        <v>-448</v>
      </c>
      <c r="AZ3358">
        <v>4552</v>
      </c>
      <c r="BA3358">
        <v>1</v>
      </c>
      <c r="BB3358" t="str">
        <f t="shared" si="1426"/>
        <v xml:space="preserve">N607SR  </v>
      </c>
      <c r="BC3358">
        <v>1</v>
      </c>
      <c r="BE3358">
        <v>0</v>
      </c>
      <c r="BF3358">
        <v>0</v>
      </c>
      <c r="BG3358">
        <v>0</v>
      </c>
      <c r="BH3358">
        <v>1875</v>
      </c>
      <c r="BI3358">
        <v>1</v>
      </c>
      <c r="BJ3358">
        <v>1</v>
      </c>
      <c r="BK3358">
        <v>1</v>
      </c>
      <c r="BL3358">
        <v>0</v>
      </c>
      <c r="BO3358">
        <v>0</v>
      </c>
      <c r="BP3358">
        <v>0</v>
      </c>
      <c r="BW3358" t="str">
        <f>"06:21:39.704"</f>
        <v>06:21:39.704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6</v>
      </c>
      <c r="CP3358" t="s">
        <v>119</v>
      </c>
      <c r="CQ3358">
        <v>465</v>
      </c>
      <c r="CR3358">
        <v>0</v>
      </c>
      <c r="CW3358">
        <v>4730559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 t="shared" si="1443"/>
        <v>08/29/2020 06:21:36.475</v>
      </c>
      <c r="C3359" t="str">
        <f t="shared" si="1424"/>
        <v>FFDFD3C0</v>
      </c>
      <c r="D3359" t="s">
        <v>121</v>
      </c>
      <c r="E3359">
        <v>10</v>
      </c>
      <c r="F3359">
        <v>1010</v>
      </c>
      <c r="G3359" t="s">
        <v>114</v>
      </c>
      <c r="J3359" t="s">
        <v>123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444"/>
        <v>06:21:39.703</v>
      </c>
      <c r="T3359" t="str">
        <f t="shared" si="1445"/>
        <v>06:21:39.303</v>
      </c>
      <c r="U3359" t="str">
        <f t="shared" si="1425"/>
        <v>A7E2E0</v>
      </c>
      <c r="V3359">
        <v>0</v>
      </c>
      <c r="W3359">
        <v>0</v>
      </c>
      <c r="X3359">
        <v>1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0</v>
      </c>
      <c r="AI3359" t="s">
        <v>1588</v>
      </c>
      <c r="AJ3359">
        <v>38.832892999999999</v>
      </c>
      <c r="AK3359" t="s">
        <v>1220</v>
      </c>
      <c r="AL3359">
        <v>-87.603886000000003</v>
      </c>
      <c r="AM3359">
        <v>100</v>
      </c>
      <c r="AN3359">
        <v>2100</v>
      </c>
      <c r="AO3359" t="s">
        <v>118</v>
      </c>
      <c r="AP3359">
        <v>9</v>
      </c>
      <c r="AQ3359">
        <v>-116</v>
      </c>
      <c r="AR3359">
        <v>-448</v>
      </c>
      <c r="AZ3359">
        <v>4552</v>
      </c>
      <c r="BA3359">
        <v>1</v>
      </c>
      <c r="BB3359" t="str">
        <f t="shared" si="1426"/>
        <v xml:space="preserve">N607SR  </v>
      </c>
      <c r="BC3359">
        <v>1</v>
      </c>
      <c r="BE3359">
        <v>0</v>
      </c>
      <c r="BF3359">
        <v>0</v>
      </c>
      <c r="BG3359">
        <v>0</v>
      </c>
      <c r="BH3359">
        <v>1875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>"06:21:39.703"</f>
        <v>06:21:39.703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6</v>
      </c>
      <c r="CP3359" t="s">
        <v>119</v>
      </c>
      <c r="CQ3359">
        <v>457</v>
      </c>
      <c r="CR3359">
        <v>0</v>
      </c>
      <c r="CW3359">
        <v>15525767</v>
      </c>
      <c r="CY3359">
        <v>1</v>
      </c>
      <c r="CZ3359">
        <v>0</v>
      </c>
      <c r="DA3359">
        <v>1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 t="shared" si="1443"/>
        <v>08/29/2020 06:21:36.475</v>
      </c>
      <c r="C3360" t="str">
        <f t="shared" si="1424"/>
        <v>FFDFD3C0</v>
      </c>
      <c r="D3360" t="s">
        <v>113</v>
      </c>
      <c r="E3360">
        <v>5</v>
      </c>
      <c r="H3360">
        <v>163</v>
      </c>
      <c r="I3360" t="s">
        <v>114</v>
      </c>
      <c r="J3360" t="s">
        <v>115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444"/>
        <v>06:21:39.703</v>
      </c>
      <c r="T3360" t="str">
        <f t="shared" si="1445"/>
        <v>06:21:39.303</v>
      </c>
      <c r="U3360" t="str">
        <f t="shared" si="1425"/>
        <v>A7E2E0</v>
      </c>
      <c r="V3360">
        <v>0</v>
      </c>
      <c r="W3360">
        <v>0</v>
      </c>
      <c r="X3360">
        <v>1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0</v>
      </c>
      <c r="AI3360" t="s">
        <v>1588</v>
      </c>
      <c r="AJ3360">
        <v>38.832892999999999</v>
      </c>
      <c r="AK3360" t="s">
        <v>1220</v>
      </c>
      <c r="AL3360">
        <v>-87.603886000000003</v>
      </c>
      <c r="AM3360">
        <v>100</v>
      </c>
      <c r="AN3360">
        <v>2100</v>
      </c>
      <c r="AO3360" t="s">
        <v>118</v>
      </c>
      <c r="AP3360">
        <v>9</v>
      </c>
      <c r="AQ3360">
        <v>-116</v>
      </c>
      <c r="AR3360">
        <v>-448</v>
      </c>
      <c r="AZ3360">
        <v>4552</v>
      </c>
      <c r="BA3360">
        <v>1</v>
      </c>
      <c r="BB3360" t="str">
        <f t="shared" si="1426"/>
        <v xml:space="preserve">N607SR  </v>
      </c>
      <c r="BC3360">
        <v>1</v>
      </c>
      <c r="BE3360">
        <v>0</v>
      </c>
      <c r="BF3360">
        <v>0</v>
      </c>
      <c r="BG3360">
        <v>0</v>
      </c>
      <c r="BH3360">
        <v>1875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>"06:21:39.703"</f>
        <v>06:21:39.703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6</v>
      </c>
      <c r="CP3360" t="s">
        <v>119</v>
      </c>
      <c r="CQ3360">
        <v>457</v>
      </c>
      <c r="CR3360">
        <v>0</v>
      </c>
      <c r="CW3360">
        <v>15525767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 t="shared" si="1443"/>
        <v>08/29/2020 06:21:36.475</v>
      </c>
      <c r="C3361" t="str">
        <f t="shared" si="1424"/>
        <v>FFDFD3C0</v>
      </c>
      <c r="D3361" t="s">
        <v>128</v>
      </c>
      <c r="E3361">
        <v>5</v>
      </c>
      <c r="H3361">
        <v>241</v>
      </c>
      <c r="I3361" t="s">
        <v>129</v>
      </c>
      <c r="J3361" t="s">
        <v>130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si="1444"/>
        <v>06:21:39.703</v>
      </c>
      <c r="T3361" t="str">
        <f t="shared" si="1445"/>
        <v>06:21:39.303</v>
      </c>
      <c r="U3361" t="str">
        <f t="shared" si="1425"/>
        <v>A7E2E0</v>
      </c>
      <c r="V3361">
        <v>0</v>
      </c>
      <c r="W3361">
        <v>0</v>
      </c>
      <c r="X3361">
        <v>1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0</v>
      </c>
      <c r="AI3361" t="s">
        <v>1588</v>
      </c>
      <c r="AJ3361">
        <v>38.832892999999999</v>
      </c>
      <c r="AK3361" t="s">
        <v>1220</v>
      </c>
      <c r="AL3361">
        <v>-87.603886000000003</v>
      </c>
      <c r="AM3361">
        <v>100</v>
      </c>
      <c r="AN3361">
        <v>2100</v>
      </c>
      <c r="AO3361" t="s">
        <v>118</v>
      </c>
      <c r="AP3361">
        <v>9</v>
      </c>
      <c r="AQ3361">
        <v>-116</v>
      </c>
      <c r="AR3361">
        <v>-448</v>
      </c>
      <c r="AZ3361">
        <v>4552</v>
      </c>
      <c r="BA3361">
        <v>1</v>
      </c>
      <c r="BB3361" t="str">
        <f t="shared" si="1426"/>
        <v xml:space="preserve">N607SR  </v>
      </c>
      <c r="BC3361">
        <v>1</v>
      </c>
      <c r="BE3361">
        <v>0</v>
      </c>
      <c r="BF3361">
        <v>0</v>
      </c>
      <c r="BG3361">
        <v>0</v>
      </c>
      <c r="BH3361">
        <v>1875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>"06:21:39.703"</f>
        <v>06:21:39.703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6</v>
      </c>
      <c r="CP3361" t="s">
        <v>119</v>
      </c>
      <c r="CQ3361">
        <v>457</v>
      </c>
      <c r="CR3361">
        <v>0</v>
      </c>
      <c r="CW3361">
        <v>15525767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 t="shared" ref="A3362:A3367" si="1446">"08/29/2020 06:21:37.405"</f>
        <v>08/29/2020 06:21:37.405</v>
      </c>
      <c r="C3362" t="str">
        <f t="shared" si="1424"/>
        <v>FFDFD3C0</v>
      </c>
      <c r="D3362" t="s">
        <v>939</v>
      </c>
      <c r="E3362">
        <v>10</v>
      </c>
      <c r="H3362">
        <v>79</v>
      </c>
      <c r="I3362" t="s">
        <v>940</v>
      </c>
      <c r="J3362" t="s">
        <v>130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ref="S3362:S3367" si="1447">"06:21:40.648"</f>
        <v>06:21:40.648</v>
      </c>
      <c r="T3362" t="str">
        <f t="shared" ref="T3362:T3367" si="1448">"06:21:40.248"</f>
        <v>06:21:40.248</v>
      </c>
      <c r="U3362" t="str">
        <f t="shared" si="1425"/>
        <v>A7E2E0</v>
      </c>
      <c r="V3362">
        <v>0</v>
      </c>
      <c r="W3362">
        <v>0</v>
      </c>
      <c r="X3362">
        <v>1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0</v>
      </c>
      <c r="AI3362" t="s">
        <v>1589</v>
      </c>
      <c r="AJ3362">
        <v>38.832335</v>
      </c>
      <c r="AK3362" t="s">
        <v>1220</v>
      </c>
      <c r="AL3362">
        <v>-87.603886000000003</v>
      </c>
      <c r="AM3362">
        <v>100</v>
      </c>
      <c r="AN3362">
        <v>2100</v>
      </c>
      <c r="AO3362" t="s">
        <v>118</v>
      </c>
      <c r="AP3362">
        <v>8</v>
      </c>
      <c r="AQ3362">
        <v>-116</v>
      </c>
      <c r="AR3362">
        <v>-512</v>
      </c>
      <c r="AZ3362">
        <v>4552</v>
      </c>
      <c r="BA3362">
        <v>1</v>
      </c>
      <c r="BB3362" t="str">
        <f t="shared" si="1426"/>
        <v xml:space="preserve">N607SR  </v>
      </c>
      <c r="BC3362">
        <v>1</v>
      </c>
      <c r="BE3362">
        <v>0</v>
      </c>
      <c r="BF3362">
        <v>0</v>
      </c>
      <c r="BG3362">
        <v>0</v>
      </c>
      <c r="BH3362">
        <v>1875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 t="shared" ref="BW3362:BW3367" si="1449">"06:21:40.649"</f>
        <v>06:21:40.649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6</v>
      </c>
      <c r="CP3362" t="s">
        <v>119</v>
      </c>
      <c r="CQ3362">
        <v>465</v>
      </c>
      <c r="CR3362">
        <v>0</v>
      </c>
      <c r="CW3362">
        <v>4730588</v>
      </c>
      <c r="CY3362">
        <v>1</v>
      </c>
      <c r="CZ3362">
        <v>0</v>
      </c>
      <c r="DA3362">
        <v>0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 t="shared" si="1446"/>
        <v>08/29/2020 06:21:37.405</v>
      </c>
      <c r="C3363" t="str">
        <f t="shared" si="1424"/>
        <v>FFDFD3C0</v>
      </c>
      <c r="D3363" t="s">
        <v>121</v>
      </c>
      <c r="E3363">
        <v>10</v>
      </c>
      <c r="F3363">
        <v>1010</v>
      </c>
      <c r="G3363" t="s">
        <v>114</v>
      </c>
      <c r="J3363" t="s">
        <v>123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447"/>
        <v>06:21:40.648</v>
      </c>
      <c r="T3363" t="str">
        <f t="shared" si="1448"/>
        <v>06:21:40.248</v>
      </c>
      <c r="U3363" t="str">
        <f t="shared" si="1425"/>
        <v>A7E2E0</v>
      </c>
      <c r="V3363">
        <v>0</v>
      </c>
      <c r="W3363">
        <v>0</v>
      </c>
      <c r="X3363">
        <v>1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0</v>
      </c>
      <c r="AI3363" t="s">
        <v>1589</v>
      </c>
      <c r="AJ3363">
        <v>38.832335</v>
      </c>
      <c r="AK3363" t="s">
        <v>1220</v>
      </c>
      <c r="AL3363">
        <v>-87.603886000000003</v>
      </c>
      <c r="AM3363">
        <v>100</v>
      </c>
      <c r="AN3363">
        <v>2100</v>
      </c>
      <c r="AO3363" t="s">
        <v>118</v>
      </c>
      <c r="AP3363">
        <v>8</v>
      </c>
      <c r="AQ3363">
        <v>-116</v>
      </c>
      <c r="AR3363">
        <v>-512</v>
      </c>
      <c r="AZ3363">
        <v>4552</v>
      </c>
      <c r="BA3363">
        <v>1</v>
      </c>
      <c r="BB3363" t="str">
        <f t="shared" si="1426"/>
        <v xml:space="preserve">N607SR  </v>
      </c>
      <c r="BC3363">
        <v>1</v>
      </c>
      <c r="BE3363">
        <v>0</v>
      </c>
      <c r="BF3363">
        <v>0</v>
      </c>
      <c r="BG3363">
        <v>0</v>
      </c>
      <c r="BH3363">
        <v>1875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 t="shared" si="1449"/>
        <v>06:21:40.649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6</v>
      </c>
      <c r="CP3363" t="s">
        <v>119</v>
      </c>
      <c r="CQ3363">
        <v>457</v>
      </c>
      <c r="CR3363">
        <v>0</v>
      </c>
      <c r="CW3363">
        <v>15525796</v>
      </c>
      <c r="CY3363">
        <v>1</v>
      </c>
      <c r="CZ3363">
        <v>0</v>
      </c>
      <c r="DA3363">
        <v>1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 t="shared" si="1446"/>
        <v>08/29/2020 06:21:37.405</v>
      </c>
      <c r="C3364" t="str">
        <f t="shared" si="1424"/>
        <v>FFDFD3C0</v>
      </c>
      <c r="D3364" t="s">
        <v>113</v>
      </c>
      <c r="E3364">
        <v>5</v>
      </c>
      <c r="H3364">
        <v>163</v>
      </c>
      <c r="I3364" t="s">
        <v>114</v>
      </c>
      <c r="J3364" t="s">
        <v>115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si="1447"/>
        <v>06:21:40.648</v>
      </c>
      <c r="T3364" t="str">
        <f t="shared" si="1448"/>
        <v>06:21:40.248</v>
      </c>
      <c r="U3364" t="str">
        <f t="shared" si="1425"/>
        <v>A7E2E0</v>
      </c>
      <c r="V3364">
        <v>0</v>
      </c>
      <c r="W3364">
        <v>0</v>
      </c>
      <c r="X3364">
        <v>1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0</v>
      </c>
      <c r="AI3364" t="s">
        <v>1589</v>
      </c>
      <c r="AJ3364">
        <v>38.832335</v>
      </c>
      <c r="AK3364" t="s">
        <v>1220</v>
      </c>
      <c r="AL3364">
        <v>-87.603886000000003</v>
      </c>
      <c r="AM3364">
        <v>100</v>
      </c>
      <c r="AN3364">
        <v>2100</v>
      </c>
      <c r="AO3364" t="s">
        <v>118</v>
      </c>
      <c r="AP3364">
        <v>8</v>
      </c>
      <c r="AQ3364">
        <v>-116</v>
      </c>
      <c r="AR3364">
        <v>-512</v>
      </c>
      <c r="AZ3364">
        <v>4552</v>
      </c>
      <c r="BA3364">
        <v>1</v>
      </c>
      <c r="BB3364" t="str">
        <f t="shared" si="1426"/>
        <v xml:space="preserve">N607SR  </v>
      </c>
      <c r="BC3364">
        <v>1</v>
      </c>
      <c r="BE3364">
        <v>0</v>
      </c>
      <c r="BF3364">
        <v>0</v>
      </c>
      <c r="BG3364">
        <v>0</v>
      </c>
      <c r="BH3364">
        <v>1875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 t="shared" si="1449"/>
        <v>06:21:40.649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6</v>
      </c>
      <c r="CP3364" t="s">
        <v>119</v>
      </c>
      <c r="CQ3364">
        <v>457</v>
      </c>
      <c r="CR3364">
        <v>0</v>
      </c>
      <c r="CW3364">
        <v>15525796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 t="shared" si="1446"/>
        <v>08/29/2020 06:21:37.405</v>
      </c>
      <c r="C3365" t="str">
        <f t="shared" si="1424"/>
        <v>FFDFD3C0</v>
      </c>
      <c r="D3365" t="s">
        <v>128</v>
      </c>
      <c r="E3365">
        <v>5</v>
      </c>
      <c r="H3365">
        <v>241</v>
      </c>
      <c r="I3365" t="s">
        <v>129</v>
      </c>
      <c r="J3365" t="s">
        <v>130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447"/>
        <v>06:21:40.648</v>
      </c>
      <c r="T3365" t="str">
        <f t="shared" si="1448"/>
        <v>06:21:40.248</v>
      </c>
      <c r="U3365" t="str">
        <f t="shared" si="1425"/>
        <v>A7E2E0</v>
      </c>
      <c r="V3365">
        <v>0</v>
      </c>
      <c r="W3365">
        <v>0</v>
      </c>
      <c r="X3365">
        <v>1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0</v>
      </c>
      <c r="AI3365" t="s">
        <v>1589</v>
      </c>
      <c r="AJ3365">
        <v>38.832335</v>
      </c>
      <c r="AK3365" t="s">
        <v>1220</v>
      </c>
      <c r="AL3365">
        <v>-87.603886000000003</v>
      </c>
      <c r="AM3365">
        <v>100</v>
      </c>
      <c r="AN3365">
        <v>2100</v>
      </c>
      <c r="AO3365" t="s">
        <v>118</v>
      </c>
      <c r="AP3365">
        <v>8</v>
      </c>
      <c r="AQ3365">
        <v>-116</v>
      </c>
      <c r="AR3365">
        <v>-512</v>
      </c>
      <c r="AZ3365">
        <v>4552</v>
      </c>
      <c r="BA3365">
        <v>1</v>
      </c>
      <c r="BB3365" t="str">
        <f t="shared" si="1426"/>
        <v xml:space="preserve">N607SR  </v>
      </c>
      <c r="BC3365">
        <v>1</v>
      </c>
      <c r="BE3365">
        <v>0</v>
      </c>
      <c r="BF3365">
        <v>0</v>
      </c>
      <c r="BG3365">
        <v>0</v>
      </c>
      <c r="BH3365">
        <v>1875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 t="shared" si="1449"/>
        <v>06:21:40.649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6</v>
      </c>
      <c r="CP3365" t="s">
        <v>119</v>
      </c>
      <c r="CQ3365">
        <v>457</v>
      </c>
      <c r="CR3365">
        <v>0</v>
      </c>
      <c r="CW3365">
        <v>15525796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 t="shared" si="1446"/>
        <v>08/29/2020 06:21:37.405</v>
      </c>
      <c r="C3366" t="str">
        <f t="shared" si="1424"/>
        <v>FFDFD3C0</v>
      </c>
      <c r="D3366" t="s">
        <v>121</v>
      </c>
      <c r="E3366">
        <v>13</v>
      </c>
      <c r="F3366">
        <v>1013</v>
      </c>
      <c r="G3366" t="s">
        <v>122</v>
      </c>
      <c r="J3366" t="s">
        <v>123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447"/>
        <v>06:21:40.648</v>
      </c>
      <c r="T3366" t="str">
        <f t="shared" si="1448"/>
        <v>06:21:40.248</v>
      </c>
      <c r="U3366" t="str">
        <f t="shared" si="1425"/>
        <v>A7E2E0</v>
      </c>
      <c r="V3366">
        <v>0</v>
      </c>
      <c r="W3366">
        <v>0</v>
      </c>
      <c r="X3366">
        <v>1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0</v>
      </c>
      <c r="AI3366" t="s">
        <v>1589</v>
      </c>
      <c r="AJ3366">
        <v>38.832335</v>
      </c>
      <c r="AK3366" t="s">
        <v>1220</v>
      </c>
      <c r="AL3366">
        <v>-87.603886000000003</v>
      </c>
      <c r="AM3366">
        <v>100</v>
      </c>
      <c r="AN3366">
        <v>2100</v>
      </c>
      <c r="AO3366" t="s">
        <v>118</v>
      </c>
      <c r="AP3366">
        <v>8</v>
      </c>
      <c r="AQ3366">
        <v>-116</v>
      </c>
      <c r="AR3366">
        <v>-512</v>
      </c>
      <c r="AZ3366">
        <v>4552</v>
      </c>
      <c r="BA3366">
        <v>1</v>
      </c>
      <c r="BB3366" t="str">
        <f t="shared" si="1426"/>
        <v xml:space="preserve">N607SR  </v>
      </c>
      <c r="BC3366">
        <v>1</v>
      </c>
      <c r="BE3366">
        <v>0</v>
      </c>
      <c r="BF3366">
        <v>0</v>
      </c>
      <c r="BG3366">
        <v>0</v>
      </c>
      <c r="BH3366">
        <v>1875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 t="shared" si="1449"/>
        <v>06:21:40.649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6</v>
      </c>
      <c r="CP3366" t="s">
        <v>119</v>
      </c>
      <c r="CQ3366">
        <v>457</v>
      </c>
      <c r="CR3366">
        <v>0</v>
      </c>
      <c r="CW3366">
        <v>15525796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 t="shared" si="1446"/>
        <v>08/29/2020 06:21:37.405</v>
      </c>
      <c r="C3367" t="str">
        <f t="shared" si="1424"/>
        <v>FFDFD3C0</v>
      </c>
      <c r="D3367" t="s">
        <v>121</v>
      </c>
      <c r="E3367">
        <v>11</v>
      </c>
      <c r="F3367">
        <v>1011</v>
      </c>
      <c r="G3367" t="s">
        <v>125</v>
      </c>
      <c r="J3367" t="s">
        <v>123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447"/>
        <v>06:21:40.648</v>
      </c>
      <c r="T3367" t="str">
        <f t="shared" si="1448"/>
        <v>06:21:40.248</v>
      </c>
      <c r="U3367" t="str">
        <f t="shared" si="1425"/>
        <v>A7E2E0</v>
      </c>
      <c r="V3367">
        <v>0</v>
      </c>
      <c r="W3367">
        <v>0</v>
      </c>
      <c r="X3367">
        <v>1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0</v>
      </c>
      <c r="AI3367" t="s">
        <v>1589</v>
      </c>
      <c r="AJ3367">
        <v>38.832335</v>
      </c>
      <c r="AK3367" t="s">
        <v>1220</v>
      </c>
      <c r="AL3367">
        <v>-87.603886000000003</v>
      </c>
      <c r="AM3367">
        <v>100</v>
      </c>
      <c r="AN3367">
        <v>2100</v>
      </c>
      <c r="AO3367" t="s">
        <v>118</v>
      </c>
      <c r="AP3367">
        <v>8</v>
      </c>
      <c r="AQ3367">
        <v>-116</v>
      </c>
      <c r="AR3367">
        <v>-512</v>
      </c>
      <c r="AZ3367">
        <v>4552</v>
      </c>
      <c r="BA3367">
        <v>1</v>
      </c>
      <c r="BB3367" t="str">
        <f t="shared" si="1426"/>
        <v xml:space="preserve">N607SR  </v>
      </c>
      <c r="BC3367">
        <v>1</v>
      </c>
      <c r="BE3367">
        <v>0</v>
      </c>
      <c r="BF3367">
        <v>0</v>
      </c>
      <c r="BG3367">
        <v>0</v>
      </c>
      <c r="BH3367">
        <v>1875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 t="shared" si="1449"/>
        <v>06:21:40.649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6</v>
      </c>
      <c r="CP3367" t="s">
        <v>119</v>
      </c>
      <c r="CQ3367">
        <v>457</v>
      </c>
      <c r="CR3367">
        <v>0</v>
      </c>
      <c r="CW3367">
        <v>15525796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>"08/29/2020 06:21:38.309"</f>
        <v>08/29/2020 06:21:38.309</v>
      </c>
      <c r="C3368" t="str">
        <f t="shared" si="1424"/>
        <v>FFDFD3C0</v>
      </c>
      <c r="D3368" t="s">
        <v>939</v>
      </c>
      <c r="E3368">
        <v>10</v>
      </c>
      <c r="H3368">
        <v>79</v>
      </c>
      <c r="I3368" t="s">
        <v>940</v>
      </c>
      <c r="J3368" t="s">
        <v>130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"06:21:41.531"</f>
        <v>06:21:41.531</v>
      </c>
      <c r="T3368" t="str">
        <f>"06:21:41.131"</f>
        <v>06:21:41.131</v>
      </c>
      <c r="U3368" t="str">
        <f t="shared" si="1425"/>
        <v>A7E2E0</v>
      </c>
      <c r="V3368">
        <v>0</v>
      </c>
      <c r="W3368">
        <v>0</v>
      </c>
      <c r="X3368">
        <v>1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0</v>
      </c>
      <c r="AI3368" t="s">
        <v>1590</v>
      </c>
      <c r="AJ3368">
        <v>38.831862999999998</v>
      </c>
      <c r="AK3368" t="s">
        <v>1591</v>
      </c>
      <c r="AL3368">
        <v>-87.603842999999998</v>
      </c>
      <c r="AM3368">
        <v>100</v>
      </c>
      <c r="AN3368">
        <v>2100</v>
      </c>
      <c r="AO3368" t="s">
        <v>118</v>
      </c>
      <c r="AP3368">
        <v>6</v>
      </c>
      <c r="AQ3368">
        <v>-116</v>
      </c>
      <c r="AR3368">
        <v>-512</v>
      </c>
      <c r="AZ3368">
        <v>4552</v>
      </c>
      <c r="BA3368">
        <v>1</v>
      </c>
      <c r="BB3368" t="str">
        <f t="shared" si="1426"/>
        <v xml:space="preserve">N607SR  </v>
      </c>
      <c r="BC3368">
        <v>1</v>
      </c>
      <c r="BE3368">
        <v>0</v>
      </c>
      <c r="BF3368">
        <v>0</v>
      </c>
      <c r="BG3368">
        <v>0</v>
      </c>
      <c r="BH3368">
        <v>1850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>"06:21:41.535"</f>
        <v>06:21:41.535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6</v>
      </c>
      <c r="CP3368" t="s">
        <v>119</v>
      </c>
      <c r="CQ3368">
        <v>465</v>
      </c>
      <c r="CR3368">
        <v>0</v>
      </c>
      <c r="CW3368">
        <v>4730614</v>
      </c>
      <c r="CY3368">
        <v>1</v>
      </c>
      <c r="CZ3368">
        <v>0</v>
      </c>
      <c r="DA3368">
        <v>0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>"08/29/2020 06:21:38.309"</f>
        <v>08/29/2020 06:21:38.309</v>
      </c>
      <c r="C3369" t="str">
        <f t="shared" si="1424"/>
        <v>FFDFD3C0</v>
      </c>
      <c r="D3369" t="s">
        <v>121</v>
      </c>
      <c r="E3369">
        <v>10</v>
      </c>
      <c r="F3369">
        <v>1010</v>
      </c>
      <c r="G3369" t="s">
        <v>114</v>
      </c>
      <c r="J3369" t="s">
        <v>123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"06:21:41.531"</f>
        <v>06:21:41.531</v>
      </c>
      <c r="T3369" t="str">
        <f>"06:21:41.131"</f>
        <v>06:21:41.131</v>
      </c>
      <c r="U3369" t="str">
        <f t="shared" si="1425"/>
        <v>A7E2E0</v>
      </c>
      <c r="V3369">
        <v>0</v>
      </c>
      <c r="W3369">
        <v>0</v>
      </c>
      <c r="X3369">
        <v>1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0</v>
      </c>
      <c r="AI3369" t="s">
        <v>1590</v>
      </c>
      <c r="AJ3369">
        <v>38.831862999999998</v>
      </c>
      <c r="AK3369" t="s">
        <v>1591</v>
      </c>
      <c r="AL3369">
        <v>-87.603842999999998</v>
      </c>
      <c r="AM3369">
        <v>100</v>
      </c>
      <c r="AN3369">
        <v>2100</v>
      </c>
      <c r="AO3369" t="s">
        <v>118</v>
      </c>
      <c r="AP3369">
        <v>6</v>
      </c>
      <c r="AQ3369">
        <v>-116</v>
      </c>
      <c r="AR3369">
        <v>-512</v>
      </c>
      <c r="AZ3369">
        <v>4552</v>
      </c>
      <c r="BA3369">
        <v>1</v>
      </c>
      <c r="BB3369" t="str">
        <f t="shared" si="1426"/>
        <v xml:space="preserve">N607SR  </v>
      </c>
      <c r="BC3369">
        <v>1</v>
      </c>
      <c r="BE3369">
        <v>0</v>
      </c>
      <c r="BF3369">
        <v>0</v>
      </c>
      <c r="BG3369">
        <v>0</v>
      </c>
      <c r="BH3369">
        <v>1850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>"06:21:41.535"</f>
        <v>06:21:41.535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6</v>
      </c>
      <c r="CP3369" t="s">
        <v>119</v>
      </c>
      <c r="CQ3369">
        <v>465</v>
      </c>
      <c r="CR3369">
        <v>0</v>
      </c>
      <c r="CW3369">
        <v>4730614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>"08/29/2020 06:21:38.309"</f>
        <v>08/29/2020 06:21:38.309</v>
      </c>
      <c r="C3370" t="str">
        <f t="shared" si="1424"/>
        <v>FFDFD3C0</v>
      </c>
      <c r="D3370" t="s">
        <v>113</v>
      </c>
      <c r="E3370">
        <v>5</v>
      </c>
      <c r="H3370">
        <v>163</v>
      </c>
      <c r="I3370" t="s">
        <v>114</v>
      </c>
      <c r="J3370" t="s">
        <v>115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"06:21:41.531"</f>
        <v>06:21:41.531</v>
      </c>
      <c r="T3370" t="str">
        <f>"06:21:41.131"</f>
        <v>06:21:41.131</v>
      </c>
      <c r="U3370" t="str">
        <f t="shared" si="1425"/>
        <v>A7E2E0</v>
      </c>
      <c r="V3370">
        <v>0</v>
      </c>
      <c r="W3370">
        <v>0</v>
      </c>
      <c r="X3370">
        <v>1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0</v>
      </c>
      <c r="AI3370" t="s">
        <v>1590</v>
      </c>
      <c r="AJ3370">
        <v>38.831862999999998</v>
      </c>
      <c r="AK3370" t="s">
        <v>1591</v>
      </c>
      <c r="AL3370">
        <v>-87.603842999999998</v>
      </c>
      <c r="AM3370">
        <v>100</v>
      </c>
      <c r="AN3370">
        <v>2100</v>
      </c>
      <c r="AO3370" t="s">
        <v>118</v>
      </c>
      <c r="AP3370">
        <v>6</v>
      </c>
      <c r="AQ3370">
        <v>-116</v>
      </c>
      <c r="AR3370">
        <v>-512</v>
      </c>
      <c r="AZ3370">
        <v>4552</v>
      </c>
      <c r="BA3370">
        <v>1</v>
      </c>
      <c r="BB3370" t="str">
        <f t="shared" si="1426"/>
        <v xml:space="preserve">N607SR  </v>
      </c>
      <c r="BC3370">
        <v>1</v>
      </c>
      <c r="BE3370">
        <v>0</v>
      </c>
      <c r="BF3370">
        <v>0</v>
      </c>
      <c r="BG3370">
        <v>0</v>
      </c>
      <c r="BH3370">
        <v>1850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>"06:21:41.535"</f>
        <v>06:21:41.535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6</v>
      </c>
      <c r="CP3370" t="s">
        <v>119</v>
      </c>
      <c r="CQ3370">
        <v>465</v>
      </c>
      <c r="CR3370">
        <v>0</v>
      </c>
      <c r="CW3370">
        <v>4730614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>"08/29/2020 06:21:38.309"</f>
        <v>08/29/2020 06:21:38.309</v>
      </c>
      <c r="C3371" t="str">
        <f t="shared" si="1424"/>
        <v>FFDFD3C0</v>
      </c>
      <c r="D3371" t="s">
        <v>128</v>
      </c>
      <c r="E3371">
        <v>5</v>
      </c>
      <c r="H3371">
        <v>241</v>
      </c>
      <c r="I3371" t="s">
        <v>129</v>
      </c>
      <c r="J3371" t="s">
        <v>130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"06:21:41.531"</f>
        <v>06:21:41.531</v>
      </c>
      <c r="T3371" t="str">
        <f>"06:21:41.131"</f>
        <v>06:21:41.131</v>
      </c>
      <c r="U3371" t="str">
        <f t="shared" si="1425"/>
        <v>A7E2E0</v>
      </c>
      <c r="V3371">
        <v>0</v>
      </c>
      <c r="W3371">
        <v>0</v>
      </c>
      <c r="X3371">
        <v>1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0</v>
      </c>
      <c r="AI3371" t="s">
        <v>1590</v>
      </c>
      <c r="AJ3371">
        <v>38.831862999999998</v>
      </c>
      <c r="AK3371" t="s">
        <v>1591</v>
      </c>
      <c r="AL3371">
        <v>-87.603842999999998</v>
      </c>
      <c r="AM3371">
        <v>100</v>
      </c>
      <c r="AN3371">
        <v>2100</v>
      </c>
      <c r="AO3371" t="s">
        <v>118</v>
      </c>
      <c r="AP3371">
        <v>6</v>
      </c>
      <c r="AQ3371">
        <v>-116</v>
      </c>
      <c r="AR3371">
        <v>-512</v>
      </c>
      <c r="AZ3371">
        <v>4552</v>
      </c>
      <c r="BA3371">
        <v>1</v>
      </c>
      <c r="BB3371" t="str">
        <f t="shared" si="1426"/>
        <v xml:space="preserve">N607SR  </v>
      </c>
      <c r="BC3371">
        <v>1</v>
      </c>
      <c r="BE3371">
        <v>0</v>
      </c>
      <c r="BF3371">
        <v>0</v>
      </c>
      <c r="BG3371">
        <v>0</v>
      </c>
      <c r="BH3371">
        <v>1850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>"06:21:41.535"</f>
        <v>06:21:41.535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6</v>
      </c>
      <c r="CP3371" t="s">
        <v>119</v>
      </c>
      <c r="CQ3371">
        <v>465</v>
      </c>
      <c r="CR3371">
        <v>0</v>
      </c>
      <c r="CW3371">
        <v>4730614</v>
      </c>
      <c r="CY3371">
        <v>1</v>
      </c>
      <c r="CZ3371">
        <v>0</v>
      </c>
      <c r="DA3371">
        <v>1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>"08/29/2020 06:21:38.309"</f>
        <v>08/29/2020 06:21:38.309</v>
      </c>
      <c r="C3372" t="str">
        <f t="shared" si="1424"/>
        <v>FFDFD3C0</v>
      </c>
      <c r="D3372" t="s">
        <v>121</v>
      </c>
      <c r="E3372">
        <v>13</v>
      </c>
      <c r="F3372">
        <v>1013</v>
      </c>
      <c r="G3372" t="s">
        <v>122</v>
      </c>
      <c r="J3372" t="s">
        <v>123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"06:21:41.531"</f>
        <v>06:21:41.531</v>
      </c>
      <c r="T3372" t="str">
        <f>"06:21:41.131"</f>
        <v>06:21:41.131</v>
      </c>
      <c r="U3372" t="str">
        <f t="shared" si="1425"/>
        <v>A7E2E0</v>
      </c>
      <c r="V3372">
        <v>0</v>
      </c>
      <c r="W3372">
        <v>0</v>
      </c>
      <c r="X3372">
        <v>1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0</v>
      </c>
      <c r="AI3372" t="s">
        <v>1590</v>
      </c>
      <c r="AJ3372">
        <v>38.831862999999998</v>
      </c>
      <c r="AK3372" t="s">
        <v>1591</v>
      </c>
      <c r="AL3372">
        <v>-87.603842999999998</v>
      </c>
      <c r="AM3372">
        <v>100</v>
      </c>
      <c r="AN3372">
        <v>2100</v>
      </c>
      <c r="AO3372" t="s">
        <v>118</v>
      </c>
      <c r="AP3372">
        <v>6</v>
      </c>
      <c r="AQ3372">
        <v>-116</v>
      </c>
      <c r="AR3372">
        <v>-512</v>
      </c>
      <c r="AZ3372">
        <v>4552</v>
      </c>
      <c r="BA3372">
        <v>1</v>
      </c>
      <c r="BB3372" t="str">
        <f t="shared" si="1426"/>
        <v xml:space="preserve">N607SR  </v>
      </c>
      <c r="BC3372">
        <v>1</v>
      </c>
      <c r="BE3372">
        <v>0</v>
      </c>
      <c r="BF3372">
        <v>0</v>
      </c>
      <c r="BG3372">
        <v>0</v>
      </c>
      <c r="BH3372">
        <v>1850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>"06:21:41.535"</f>
        <v>06:21:41.535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6</v>
      </c>
      <c r="CP3372" t="s">
        <v>119</v>
      </c>
      <c r="CQ3372">
        <v>465</v>
      </c>
      <c r="CR3372">
        <v>0</v>
      </c>
      <c r="CW3372">
        <v>4730614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>"08/29/2020 06:21:39.192"</f>
        <v>08/29/2020 06:21:39.192</v>
      </c>
      <c r="C3373" t="str">
        <f t="shared" si="1424"/>
        <v>FFDFD3C0</v>
      </c>
      <c r="D3373" t="s">
        <v>113</v>
      </c>
      <c r="E3373">
        <v>5</v>
      </c>
      <c r="H3373">
        <v>163</v>
      </c>
      <c r="I3373" t="s">
        <v>114</v>
      </c>
      <c r="J3373" t="s">
        <v>115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"06:21:42.398"</f>
        <v>06:21:42.398</v>
      </c>
      <c r="T3373" t="str">
        <f>"06:21:41.998"</f>
        <v>06:21:41.998</v>
      </c>
      <c r="U3373" t="str">
        <f t="shared" si="1425"/>
        <v>A7E2E0</v>
      </c>
      <c r="V3373">
        <v>0</v>
      </c>
      <c r="W3373">
        <v>0</v>
      </c>
      <c r="X3373">
        <v>1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0</v>
      </c>
      <c r="AI3373" t="s">
        <v>1592</v>
      </c>
      <c r="AJ3373">
        <v>38.831456000000003</v>
      </c>
      <c r="AK3373" t="s">
        <v>1593</v>
      </c>
      <c r="AL3373">
        <v>-87.603779000000003</v>
      </c>
      <c r="AM3373">
        <v>100</v>
      </c>
      <c r="AN3373">
        <v>2000</v>
      </c>
      <c r="AO3373" t="s">
        <v>118</v>
      </c>
      <c r="AP3373">
        <v>5</v>
      </c>
      <c r="AQ3373">
        <v>-115</v>
      </c>
      <c r="AR3373">
        <v>-576</v>
      </c>
      <c r="AZ3373">
        <v>4552</v>
      </c>
      <c r="BA3373">
        <v>1</v>
      </c>
      <c r="BB3373" t="str">
        <f t="shared" si="1426"/>
        <v xml:space="preserve">N607SR  </v>
      </c>
      <c r="BC3373">
        <v>1</v>
      </c>
      <c r="BE3373">
        <v>0</v>
      </c>
      <c r="BF3373">
        <v>0</v>
      </c>
      <c r="BG3373">
        <v>0</v>
      </c>
      <c r="BH3373">
        <v>1750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>"06:21:42.399"</f>
        <v>06:21:42.399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6</v>
      </c>
      <c r="CP3373" t="s">
        <v>119</v>
      </c>
      <c r="CQ3373">
        <v>457</v>
      </c>
      <c r="CR3373">
        <v>0</v>
      </c>
      <c r="CW3373">
        <v>15525850</v>
      </c>
      <c r="CY3373">
        <v>1</v>
      </c>
      <c r="CZ3373">
        <v>0</v>
      </c>
      <c r="DA3373">
        <v>0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>"08/29/2020 06:21:39.192"</f>
        <v>08/29/2020 06:21:39.192</v>
      </c>
      <c r="C3374" t="str">
        <f t="shared" si="1424"/>
        <v>FFDFD3C0</v>
      </c>
      <c r="D3374" t="s">
        <v>128</v>
      </c>
      <c r="E3374">
        <v>5</v>
      </c>
      <c r="H3374">
        <v>241</v>
      </c>
      <c r="I3374" t="s">
        <v>129</v>
      </c>
      <c r="J3374" t="s">
        <v>130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"06:21:42.398"</f>
        <v>06:21:42.398</v>
      </c>
      <c r="T3374" t="str">
        <f>"06:21:41.998"</f>
        <v>06:21:41.998</v>
      </c>
      <c r="U3374" t="str">
        <f t="shared" si="1425"/>
        <v>A7E2E0</v>
      </c>
      <c r="V3374">
        <v>0</v>
      </c>
      <c r="W3374">
        <v>0</v>
      </c>
      <c r="X3374">
        <v>1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0</v>
      </c>
      <c r="AI3374" t="s">
        <v>1592</v>
      </c>
      <c r="AJ3374">
        <v>38.831456000000003</v>
      </c>
      <c r="AK3374" t="s">
        <v>1593</v>
      </c>
      <c r="AL3374">
        <v>-87.603779000000003</v>
      </c>
      <c r="AM3374">
        <v>100</v>
      </c>
      <c r="AN3374">
        <v>2000</v>
      </c>
      <c r="AO3374" t="s">
        <v>118</v>
      </c>
      <c r="AP3374">
        <v>5</v>
      </c>
      <c r="AQ3374">
        <v>-115</v>
      </c>
      <c r="AR3374">
        <v>-576</v>
      </c>
      <c r="AZ3374">
        <v>4552</v>
      </c>
      <c r="BA3374">
        <v>1</v>
      </c>
      <c r="BB3374" t="str">
        <f t="shared" si="1426"/>
        <v xml:space="preserve">N607SR  </v>
      </c>
      <c r="BC3374">
        <v>1</v>
      </c>
      <c r="BE3374">
        <v>0</v>
      </c>
      <c r="BF3374">
        <v>0</v>
      </c>
      <c r="BG3374">
        <v>0</v>
      </c>
      <c r="BH3374">
        <v>1750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>"06:21:42.399"</f>
        <v>06:21:42.399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6</v>
      </c>
      <c r="CP3374" t="s">
        <v>119</v>
      </c>
      <c r="CQ3374">
        <v>457</v>
      </c>
      <c r="CR3374">
        <v>0</v>
      </c>
      <c r="CW3374">
        <v>15525850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>"08/29/2020 06:21:39.192"</f>
        <v>08/29/2020 06:21:39.192</v>
      </c>
      <c r="C3375" t="str">
        <f t="shared" si="1424"/>
        <v>FFDFD3C0</v>
      </c>
      <c r="D3375" t="s">
        <v>121</v>
      </c>
      <c r="E3375">
        <v>13</v>
      </c>
      <c r="F3375">
        <v>1013</v>
      </c>
      <c r="G3375" t="s">
        <v>122</v>
      </c>
      <c r="J3375" t="s">
        <v>123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"06:21:42.398"</f>
        <v>06:21:42.398</v>
      </c>
      <c r="T3375" t="str">
        <f>"06:21:41.998"</f>
        <v>06:21:41.998</v>
      </c>
      <c r="U3375" t="str">
        <f t="shared" si="1425"/>
        <v>A7E2E0</v>
      </c>
      <c r="V3375">
        <v>0</v>
      </c>
      <c r="W3375">
        <v>0</v>
      </c>
      <c r="X3375">
        <v>1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0</v>
      </c>
      <c r="AI3375" t="s">
        <v>1592</v>
      </c>
      <c r="AJ3375">
        <v>38.831456000000003</v>
      </c>
      <c r="AK3375" t="s">
        <v>1593</v>
      </c>
      <c r="AL3375">
        <v>-87.603779000000003</v>
      </c>
      <c r="AM3375">
        <v>100</v>
      </c>
      <c r="AN3375">
        <v>2000</v>
      </c>
      <c r="AO3375" t="s">
        <v>118</v>
      </c>
      <c r="AP3375">
        <v>5</v>
      </c>
      <c r="AQ3375">
        <v>-115</v>
      </c>
      <c r="AR3375">
        <v>-576</v>
      </c>
      <c r="AZ3375">
        <v>4552</v>
      </c>
      <c r="BA3375">
        <v>1</v>
      </c>
      <c r="BB3375" t="str">
        <f t="shared" si="1426"/>
        <v xml:space="preserve">N607SR  </v>
      </c>
      <c r="BC3375">
        <v>1</v>
      </c>
      <c r="BE3375">
        <v>0</v>
      </c>
      <c r="BF3375">
        <v>0</v>
      </c>
      <c r="BG3375">
        <v>0</v>
      </c>
      <c r="BH3375">
        <v>1750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>"06:21:42.399"</f>
        <v>06:21:42.399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457</v>
      </c>
      <c r="CR3375">
        <v>0</v>
      </c>
      <c r="CW3375">
        <v>15525850</v>
      </c>
      <c r="CY3375">
        <v>1</v>
      </c>
      <c r="CZ3375">
        <v>0</v>
      </c>
      <c r="DA3375">
        <v>1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>"08/29/2020 06:21:39.192"</f>
        <v>08/29/2020 06:21:39.192</v>
      </c>
      <c r="C3376" t="str">
        <f t="shared" si="1424"/>
        <v>FFDFD3C0</v>
      </c>
      <c r="D3376" t="s">
        <v>121</v>
      </c>
      <c r="E3376">
        <v>11</v>
      </c>
      <c r="F3376">
        <v>1011</v>
      </c>
      <c r="G3376" t="s">
        <v>125</v>
      </c>
      <c r="J3376" t="s">
        <v>123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"06:21:42.398"</f>
        <v>06:21:42.398</v>
      </c>
      <c r="T3376" t="str">
        <f>"06:21:41.998"</f>
        <v>06:21:41.998</v>
      </c>
      <c r="U3376" t="str">
        <f t="shared" si="1425"/>
        <v>A7E2E0</v>
      </c>
      <c r="V3376">
        <v>0</v>
      </c>
      <c r="W3376">
        <v>0</v>
      </c>
      <c r="X3376">
        <v>1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0</v>
      </c>
      <c r="AI3376" t="s">
        <v>1592</v>
      </c>
      <c r="AJ3376">
        <v>38.831456000000003</v>
      </c>
      <c r="AK3376" t="s">
        <v>1593</v>
      </c>
      <c r="AL3376">
        <v>-87.603779000000003</v>
      </c>
      <c r="AM3376">
        <v>100</v>
      </c>
      <c r="AN3376">
        <v>2000</v>
      </c>
      <c r="AO3376" t="s">
        <v>118</v>
      </c>
      <c r="AP3376">
        <v>5</v>
      </c>
      <c r="AQ3376">
        <v>-115</v>
      </c>
      <c r="AR3376">
        <v>-576</v>
      </c>
      <c r="AZ3376">
        <v>4552</v>
      </c>
      <c r="BA3376">
        <v>1</v>
      </c>
      <c r="BB3376" t="str">
        <f t="shared" si="1426"/>
        <v xml:space="preserve">N607SR  </v>
      </c>
      <c r="BC3376">
        <v>1</v>
      </c>
      <c r="BE3376">
        <v>0</v>
      </c>
      <c r="BF3376">
        <v>0</v>
      </c>
      <c r="BG3376">
        <v>0</v>
      </c>
      <c r="BH3376">
        <v>1750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>"06:21:42.399"</f>
        <v>06:21:42.399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6</v>
      </c>
      <c r="CP3376" t="s">
        <v>119</v>
      </c>
      <c r="CQ3376">
        <v>457</v>
      </c>
      <c r="CR3376">
        <v>0</v>
      </c>
      <c r="CW3376">
        <v>15525850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>"08/29/2020 06:21:39.192"</f>
        <v>08/29/2020 06:21:39.192</v>
      </c>
      <c r="C3377" t="str">
        <f t="shared" si="1424"/>
        <v>FFDFD3C0</v>
      </c>
      <c r="D3377" t="s">
        <v>121</v>
      </c>
      <c r="E3377">
        <v>10</v>
      </c>
      <c r="F3377">
        <v>1010</v>
      </c>
      <c r="G3377" t="s">
        <v>114</v>
      </c>
      <c r="J3377" t="s">
        <v>123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"06:21:42.398"</f>
        <v>06:21:42.398</v>
      </c>
      <c r="T3377" t="str">
        <f>"06:21:41.998"</f>
        <v>06:21:41.998</v>
      </c>
      <c r="U3377" t="str">
        <f t="shared" si="1425"/>
        <v>A7E2E0</v>
      </c>
      <c r="V3377">
        <v>0</v>
      </c>
      <c r="W3377">
        <v>0</v>
      </c>
      <c r="X3377">
        <v>1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0</v>
      </c>
      <c r="AI3377" t="s">
        <v>1592</v>
      </c>
      <c r="AJ3377">
        <v>38.831456000000003</v>
      </c>
      <c r="AK3377" t="s">
        <v>1593</v>
      </c>
      <c r="AL3377">
        <v>-87.603779000000003</v>
      </c>
      <c r="AM3377">
        <v>100</v>
      </c>
      <c r="AN3377">
        <v>2000</v>
      </c>
      <c r="AO3377" t="s">
        <v>118</v>
      </c>
      <c r="AP3377">
        <v>5</v>
      </c>
      <c r="AQ3377">
        <v>-115</v>
      </c>
      <c r="AR3377">
        <v>-576</v>
      </c>
      <c r="AZ3377">
        <v>4552</v>
      </c>
      <c r="BA3377">
        <v>1</v>
      </c>
      <c r="BB3377" t="str">
        <f t="shared" si="1426"/>
        <v xml:space="preserve">N607SR  </v>
      </c>
      <c r="BC3377">
        <v>1</v>
      </c>
      <c r="BE3377">
        <v>0</v>
      </c>
      <c r="BF3377">
        <v>0</v>
      </c>
      <c r="BG3377">
        <v>0</v>
      </c>
      <c r="BH3377">
        <v>1750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>"06:21:42.399"</f>
        <v>06:21:42.399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6</v>
      </c>
      <c r="CP3377" t="s">
        <v>119</v>
      </c>
      <c r="CQ3377">
        <v>457</v>
      </c>
      <c r="CR3377">
        <v>0</v>
      </c>
      <c r="CW3377">
        <v>15525850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 t="shared" ref="A3378:A3383" si="1450">"08/29/2020 06:21:40.068"</f>
        <v>08/29/2020 06:21:40.068</v>
      </c>
      <c r="C3378" t="str">
        <f t="shared" si="1424"/>
        <v>FFDFD3C0</v>
      </c>
      <c r="D3378" t="s">
        <v>128</v>
      </c>
      <c r="E3378">
        <v>5</v>
      </c>
      <c r="H3378">
        <v>241</v>
      </c>
      <c r="I3378" t="s">
        <v>129</v>
      </c>
      <c r="J3378" t="s">
        <v>130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ref="S3378:S3383" si="1451">"06:21:43.281"</f>
        <v>06:21:43.281</v>
      </c>
      <c r="T3378" t="str">
        <f t="shared" ref="T3378:T3383" si="1452">"06:21:42.881"</f>
        <v>06:21:42.881</v>
      </c>
      <c r="U3378" t="str">
        <f t="shared" si="1425"/>
        <v>A7E2E0</v>
      </c>
      <c r="V3378">
        <v>0</v>
      </c>
      <c r="W3378">
        <v>0</v>
      </c>
      <c r="X3378">
        <v>1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0</v>
      </c>
      <c r="AI3378" t="s">
        <v>1594</v>
      </c>
      <c r="AJ3378">
        <v>38.830941000000003</v>
      </c>
      <c r="AK3378" t="s">
        <v>1595</v>
      </c>
      <c r="AL3378">
        <v>-87.603821999999994</v>
      </c>
      <c r="AM3378">
        <v>100</v>
      </c>
      <c r="AN3378">
        <v>2000</v>
      </c>
      <c r="AO3378" t="s">
        <v>118</v>
      </c>
      <c r="AP3378">
        <v>4</v>
      </c>
      <c r="AQ3378">
        <v>-115</v>
      </c>
      <c r="AR3378">
        <v>-640</v>
      </c>
      <c r="AZ3378">
        <v>4552</v>
      </c>
      <c r="BA3378">
        <v>1</v>
      </c>
      <c r="BB3378" t="str">
        <f t="shared" si="1426"/>
        <v xml:space="preserve">N607SR  </v>
      </c>
      <c r="BC3378">
        <v>1</v>
      </c>
      <c r="BE3378">
        <v>0</v>
      </c>
      <c r="BF3378">
        <v>0</v>
      </c>
      <c r="BG3378">
        <v>0</v>
      </c>
      <c r="BH3378">
        <v>1850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 t="shared" ref="BW3378:BW3383" si="1453">"06:21:43.287"</f>
        <v>06:21:43.287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6</v>
      </c>
      <c r="CP3378" t="s">
        <v>119</v>
      </c>
      <c r="CQ3378">
        <v>457</v>
      </c>
      <c r="CR3378">
        <v>0</v>
      </c>
      <c r="CW3378">
        <v>15525874</v>
      </c>
      <c r="CY3378">
        <v>1</v>
      </c>
      <c r="CZ3378">
        <v>0</v>
      </c>
      <c r="DA3378">
        <v>0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 t="shared" si="1450"/>
        <v>08/29/2020 06:21:40.068</v>
      </c>
      <c r="C3379" t="str">
        <f t="shared" si="1424"/>
        <v>FFDFD3C0</v>
      </c>
      <c r="D3379" t="s">
        <v>939</v>
      </c>
      <c r="E3379">
        <v>10</v>
      </c>
      <c r="H3379">
        <v>79</v>
      </c>
      <c r="I3379" t="s">
        <v>940</v>
      </c>
      <c r="J3379" t="s">
        <v>130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451"/>
        <v>06:21:43.281</v>
      </c>
      <c r="T3379" t="str">
        <f t="shared" si="1452"/>
        <v>06:21:42.881</v>
      </c>
      <c r="U3379" t="str">
        <f t="shared" si="1425"/>
        <v>A7E2E0</v>
      </c>
      <c r="V3379">
        <v>0</v>
      </c>
      <c r="W3379">
        <v>0</v>
      </c>
      <c r="X3379">
        <v>1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0</v>
      </c>
      <c r="AI3379" t="s">
        <v>1594</v>
      </c>
      <c r="AJ3379">
        <v>38.830941000000003</v>
      </c>
      <c r="AK3379" t="s">
        <v>1595</v>
      </c>
      <c r="AL3379">
        <v>-87.603821999999994</v>
      </c>
      <c r="AM3379">
        <v>100</v>
      </c>
      <c r="AN3379">
        <v>2000</v>
      </c>
      <c r="AO3379" t="s">
        <v>118</v>
      </c>
      <c r="AP3379">
        <v>4</v>
      </c>
      <c r="AQ3379">
        <v>-115</v>
      </c>
      <c r="AR3379">
        <v>-640</v>
      </c>
      <c r="AZ3379">
        <v>4552</v>
      </c>
      <c r="BA3379">
        <v>1</v>
      </c>
      <c r="BB3379" t="str">
        <f t="shared" si="1426"/>
        <v xml:space="preserve">N607SR  </v>
      </c>
      <c r="BC3379">
        <v>1</v>
      </c>
      <c r="BE3379">
        <v>0</v>
      </c>
      <c r="BF3379">
        <v>0</v>
      </c>
      <c r="BG3379">
        <v>0</v>
      </c>
      <c r="BH3379">
        <v>1850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 t="shared" si="1453"/>
        <v>06:21:43.287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5</v>
      </c>
      <c r="CP3379" t="s">
        <v>119</v>
      </c>
      <c r="CQ3379">
        <v>465</v>
      </c>
      <c r="CR3379">
        <v>0</v>
      </c>
      <c r="CW3379">
        <v>4730664</v>
      </c>
      <c r="CY3379">
        <v>1</v>
      </c>
      <c r="CZ3379">
        <v>0</v>
      </c>
      <c r="DA3379">
        <v>1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 t="shared" si="1450"/>
        <v>08/29/2020 06:21:40.068</v>
      </c>
      <c r="C3380" t="str">
        <f t="shared" si="1424"/>
        <v>FFDFD3C0</v>
      </c>
      <c r="D3380" t="s">
        <v>121</v>
      </c>
      <c r="E3380">
        <v>13</v>
      </c>
      <c r="F3380">
        <v>1013</v>
      </c>
      <c r="G3380" t="s">
        <v>122</v>
      </c>
      <c r="J3380" t="s">
        <v>123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451"/>
        <v>06:21:43.281</v>
      </c>
      <c r="T3380" t="str">
        <f t="shared" si="1452"/>
        <v>06:21:42.881</v>
      </c>
      <c r="U3380" t="str">
        <f t="shared" si="1425"/>
        <v>A7E2E0</v>
      </c>
      <c r="V3380">
        <v>0</v>
      </c>
      <c r="W3380">
        <v>0</v>
      </c>
      <c r="X3380">
        <v>1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0</v>
      </c>
      <c r="AI3380" t="s">
        <v>1594</v>
      </c>
      <c r="AJ3380">
        <v>38.830941000000003</v>
      </c>
      <c r="AK3380" t="s">
        <v>1595</v>
      </c>
      <c r="AL3380">
        <v>-87.603821999999994</v>
      </c>
      <c r="AM3380">
        <v>100</v>
      </c>
      <c r="AN3380">
        <v>2000</v>
      </c>
      <c r="AO3380" t="s">
        <v>118</v>
      </c>
      <c r="AP3380">
        <v>4</v>
      </c>
      <c r="AQ3380">
        <v>-115</v>
      </c>
      <c r="AR3380">
        <v>-640</v>
      </c>
      <c r="AZ3380">
        <v>4552</v>
      </c>
      <c r="BA3380">
        <v>1</v>
      </c>
      <c r="BB3380" t="str">
        <f t="shared" si="1426"/>
        <v xml:space="preserve">N607SR  </v>
      </c>
      <c r="BC3380">
        <v>1</v>
      </c>
      <c r="BE3380">
        <v>0</v>
      </c>
      <c r="BF3380">
        <v>0</v>
      </c>
      <c r="BG3380">
        <v>0</v>
      </c>
      <c r="BH3380">
        <v>1850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 t="shared" si="1453"/>
        <v>06:21:43.287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457</v>
      </c>
      <c r="CR3380">
        <v>0</v>
      </c>
      <c r="CW3380">
        <v>15525874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 t="shared" si="1450"/>
        <v>08/29/2020 06:21:40.068</v>
      </c>
      <c r="C3381" t="str">
        <f t="shared" si="1424"/>
        <v>FFDFD3C0</v>
      </c>
      <c r="D3381" t="s">
        <v>121</v>
      </c>
      <c r="E3381">
        <v>11</v>
      </c>
      <c r="F3381">
        <v>1011</v>
      </c>
      <c r="G3381" t="s">
        <v>125</v>
      </c>
      <c r="J3381" t="s">
        <v>123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 t="shared" si="1451"/>
        <v>06:21:43.281</v>
      </c>
      <c r="T3381" t="str">
        <f t="shared" si="1452"/>
        <v>06:21:42.881</v>
      </c>
      <c r="U3381" t="str">
        <f t="shared" si="1425"/>
        <v>A7E2E0</v>
      </c>
      <c r="V3381">
        <v>0</v>
      </c>
      <c r="W3381">
        <v>0</v>
      </c>
      <c r="X3381">
        <v>1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0</v>
      </c>
      <c r="AI3381" t="s">
        <v>1594</v>
      </c>
      <c r="AJ3381">
        <v>38.830941000000003</v>
      </c>
      <c r="AK3381" t="s">
        <v>1595</v>
      </c>
      <c r="AL3381">
        <v>-87.603821999999994</v>
      </c>
      <c r="AM3381">
        <v>100</v>
      </c>
      <c r="AN3381">
        <v>2000</v>
      </c>
      <c r="AO3381" t="s">
        <v>118</v>
      </c>
      <c r="AP3381">
        <v>4</v>
      </c>
      <c r="AQ3381">
        <v>-115</v>
      </c>
      <c r="AR3381">
        <v>-640</v>
      </c>
      <c r="AZ3381">
        <v>4552</v>
      </c>
      <c r="BA3381">
        <v>1</v>
      </c>
      <c r="BB3381" t="str">
        <f t="shared" si="1426"/>
        <v xml:space="preserve">N607SR  </v>
      </c>
      <c r="BC3381">
        <v>1</v>
      </c>
      <c r="BE3381">
        <v>0</v>
      </c>
      <c r="BF3381">
        <v>0</v>
      </c>
      <c r="BG3381">
        <v>0</v>
      </c>
      <c r="BH3381">
        <v>1850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 t="shared" si="1453"/>
        <v>06:21:43.287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6</v>
      </c>
      <c r="CP3381" t="s">
        <v>119</v>
      </c>
      <c r="CQ3381">
        <v>457</v>
      </c>
      <c r="CR3381">
        <v>0</v>
      </c>
      <c r="CW3381">
        <v>15525874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 t="shared" si="1450"/>
        <v>08/29/2020 06:21:40.068</v>
      </c>
      <c r="C3382" t="str">
        <f t="shared" si="1424"/>
        <v>FFDFD3C0</v>
      </c>
      <c r="D3382" t="s">
        <v>121</v>
      </c>
      <c r="E3382">
        <v>10</v>
      </c>
      <c r="F3382">
        <v>1010</v>
      </c>
      <c r="G3382" t="s">
        <v>114</v>
      </c>
      <c r="J3382" t="s">
        <v>123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 t="shared" si="1451"/>
        <v>06:21:43.281</v>
      </c>
      <c r="T3382" t="str">
        <f t="shared" si="1452"/>
        <v>06:21:42.881</v>
      </c>
      <c r="U3382" t="str">
        <f t="shared" si="1425"/>
        <v>A7E2E0</v>
      </c>
      <c r="V3382">
        <v>0</v>
      </c>
      <c r="W3382">
        <v>0</v>
      </c>
      <c r="X3382">
        <v>1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0</v>
      </c>
      <c r="AI3382" t="s">
        <v>1594</v>
      </c>
      <c r="AJ3382">
        <v>38.830941000000003</v>
      </c>
      <c r="AK3382" t="s">
        <v>1595</v>
      </c>
      <c r="AL3382">
        <v>-87.603821999999994</v>
      </c>
      <c r="AM3382">
        <v>100</v>
      </c>
      <c r="AN3382">
        <v>2000</v>
      </c>
      <c r="AO3382" t="s">
        <v>118</v>
      </c>
      <c r="AP3382">
        <v>4</v>
      </c>
      <c r="AQ3382">
        <v>-115</v>
      </c>
      <c r="AR3382">
        <v>-640</v>
      </c>
      <c r="AZ3382">
        <v>4552</v>
      </c>
      <c r="BA3382">
        <v>1</v>
      </c>
      <c r="BB3382" t="str">
        <f t="shared" si="1426"/>
        <v xml:space="preserve">N607SR  </v>
      </c>
      <c r="BC3382">
        <v>1</v>
      </c>
      <c r="BE3382">
        <v>0</v>
      </c>
      <c r="BF3382">
        <v>0</v>
      </c>
      <c r="BG3382">
        <v>0</v>
      </c>
      <c r="BH3382">
        <v>1850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 t="shared" si="1453"/>
        <v>06:21:43.287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6</v>
      </c>
      <c r="CP3382" t="s">
        <v>119</v>
      </c>
      <c r="CQ3382">
        <v>457</v>
      </c>
      <c r="CR3382">
        <v>0</v>
      </c>
      <c r="CW3382">
        <v>15525874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 t="shared" si="1450"/>
        <v>08/29/2020 06:21:40.068</v>
      </c>
      <c r="C3383" t="str">
        <f t="shared" si="1424"/>
        <v>FFDFD3C0</v>
      </c>
      <c r="D3383" t="s">
        <v>113</v>
      </c>
      <c r="E3383">
        <v>5</v>
      </c>
      <c r="H3383">
        <v>163</v>
      </c>
      <c r="I3383" t="s">
        <v>114</v>
      </c>
      <c r="J3383" t="s">
        <v>115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 t="shared" si="1451"/>
        <v>06:21:43.281</v>
      </c>
      <c r="T3383" t="str">
        <f t="shared" si="1452"/>
        <v>06:21:42.881</v>
      </c>
      <c r="U3383" t="str">
        <f t="shared" si="1425"/>
        <v>A7E2E0</v>
      </c>
      <c r="V3383">
        <v>0</v>
      </c>
      <c r="W3383">
        <v>0</v>
      </c>
      <c r="X3383">
        <v>1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0</v>
      </c>
      <c r="AI3383" t="s">
        <v>1594</v>
      </c>
      <c r="AJ3383">
        <v>38.830941000000003</v>
      </c>
      <c r="AK3383" t="s">
        <v>1595</v>
      </c>
      <c r="AL3383">
        <v>-87.603821999999994</v>
      </c>
      <c r="AM3383">
        <v>100</v>
      </c>
      <c r="AN3383">
        <v>2000</v>
      </c>
      <c r="AO3383" t="s">
        <v>118</v>
      </c>
      <c r="AP3383">
        <v>4</v>
      </c>
      <c r="AQ3383">
        <v>-115</v>
      </c>
      <c r="AR3383">
        <v>-640</v>
      </c>
      <c r="AZ3383">
        <v>4552</v>
      </c>
      <c r="BA3383">
        <v>1</v>
      </c>
      <c r="BB3383" t="str">
        <f t="shared" si="1426"/>
        <v xml:space="preserve">N607SR  </v>
      </c>
      <c r="BC3383">
        <v>1</v>
      </c>
      <c r="BE3383">
        <v>0</v>
      </c>
      <c r="BF3383">
        <v>0</v>
      </c>
      <c r="BG3383">
        <v>0</v>
      </c>
      <c r="BH3383">
        <v>1850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 t="shared" si="1453"/>
        <v>06:21:43.287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6</v>
      </c>
      <c r="CP3383" t="s">
        <v>119</v>
      </c>
      <c r="CQ3383">
        <v>457</v>
      </c>
      <c r="CR3383">
        <v>0</v>
      </c>
      <c r="CW3383">
        <v>15525874</v>
      </c>
      <c r="CY3383">
        <v>1</v>
      </c>
      <c r="CZ3383">
        <v>0</v>
      </c>
      <c r="DA3383">
        <v>1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 t="shared" ref="A3384:A3389" si="1454">"08/29/2020 06:21:41.031"</f>
        <v>08/29/2020 06:21:41.031</v>
      </c>
      <c r="C3384" t="str">
        <f t="shared" si="1424"/>
        <v>FFDFD3C0</v>
      </c>
      <c r="D3384" t="s">
        <v>128</v>
      </c>
      <c r="E3384">
        <v>5</v>
      </c>
      <c r="H3384">
        <v>241</v>
      </c>
      <c r="I3384" t="s">
        <v>129</v>
      </c>
      <c r="J3384" t="s">
        <v>130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ref="S3384:S3389" si="1455">"06:21:44.281"</f>
        <v>06:21:44.281</v>
      </c>
      <c r="T3384" t="str">
        <f t="shared" ref="T3384:T3389" si="1456">"06:21:43.881"</f>
        <v>06:21:43.881</v>
      </c>
      <c r="U3384" t="str">
        <f t="shared" si="1425"/>
        <v>A7E2E0</v>
      </c>
      <c r="V3384">
        <v>0</v>
      </c>
      <c r="W3384">
        <v>0</v>
      </c>
      <c r="X3384">
        <v>1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0</v>
      </c>
      <c r="AI3384" t="s">
        <v>1596</v>
      </c>
      <c r="AJ3384">
        <v>38.830426000000003</v>
      </c>
      <c r="AK3384" t="s">
        <v>1597</v>
      </c>
      <c r="AL3384">
        <v>-87.603757000000002</v>
      </c>
      <c r="AM3384">
        <v>100</v>
      </c>
      <c r="AN3384">
        <v>2000</v>
      </c>
      <c r="AO3384" t="s">
        <v>118</v>
      </c>
      <c r="AP3384">
        <v>3</v>
      </c>
      <c r="AQ3384">
        <v>-115</v>
      </c>
      <c r="AR3384">
        <v>-704</v>
      </c>
      <c r="AZ3384">
        <v>4552</v>
      </c>
      <c r="BA3384">
        <v>1</v>
      </c>
      <c r="BB3384" t="str">
        <f t="shared" si="1426"/>
        <v xml:space="preserve">N607SR  </v>
      </c>
      <c r="BC3384">
        <v>1</v>
      </c>
      <c r="BE3384">
        <v>0</v>
      </c>
      <c r="BF3384">
        <v>0</v>
      </c>
      <c r="BG3384">
        <v>0</v>
      </c>
      <c r="BH3384">
        <v>1825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 t="shared" ref="BW3384:BW3389" si="1457">"06:21:44.281"</f>
        <v>06:21:44.281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6</v>
      </c>
      <c r="CP3384" t="s">
        <v>119</v>
      </c>
      <c r="CQ3384">
        <v>457</v>
      </c>
      <c r="CR3384">
        <v>0</v>
      </c>
      <c r="CW3384">
        <v>15525904</v>
      </c>
      <c r="CY3384">
        <v>1</v>
      </c>
      <c r="CZ3384">
        <v>0</v>
      </c>
      <c r="DA3384">
        <v>0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 t="shared" si="1454"/>
        <v>08/29/2020 06:21:41.031</v>
      </c>
      <c r="C3385" t="str">
        <f t="shared" si="1424"/>
        <v>FFDFD3C0</v>
      </c>
      <c r="D3385" t="s">
        <v>939</v>
      </c>
      <c r="E3385">
        <v>10</v>
      </c>
      <c r="H3385">
        <v>79</v>
      </c>
      <c r="I3385" t="s">
        <v>940</v>
      </c>
      <c r="J3385" t="s">
        <v>130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455"/>
        <v>06:21:44.281</v>
      </c>
      <c r="T3385" t="str">
        <f t="shared" si="1456"/>
        <v>06:21:43.881</v>
      </c>
      <c r="U3385" t="str">
        <f t="shared" si="1425"/>
        <v>A7E2E0</v>
      </c>
      <c r="V3385">
        <v>0</v>
      </c>
      <c r="W3385">
        <v>0</v>
      </c>
      <c r="X3385">
        <v>1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0</v>
      </c>
      <c r="AI3385" t="s">
        <v>1596</v>
      </c>
      <c r="AJ3385">
        <v>38.830426000000003</v>
      </c>
      <c r="AK3385" t="s">
        <v>1597</v>
      </c>
      <c r="AL3385">
        <v>-87.603757000000002</v>
      </c>
      <c r="AM3385">
        <v>100</v>
      </c>
      <c r="AN3385">
        <v>2000</v>
      </c>
      <c r="AO3385" t="s">
        <v>118</v>
      </c>
      <c r="AP3385">
        <v>3</v>
      </c>
      <c r="AQ3385">
        <v>-115</v>
      </c>
      <c r="AR3385">
        <v>-704</v>
      </c>
      <c r="AZ3385">
        <v>4552</v>
      </c>
      <c r="BA3385">
        <v>1</v>
      </c>
      <c r="BB3385" t="str">
        <f t="shared" si="1426"/>
        <v xml:space="preserve">N607SR  </v>
      </c>
      <c r="BC3385">
        <v>1</v>
      </c>
      <c r="BE3385">
        <v>0</v>
      </c>
      <c r="BF3385">
        <v>0</v>
      </c>
      <c r="BG3385">
        <v>0</v>
      </c>
      <c r="BH3385">
        <v>1825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 t="shared" si="1457"/>
        <v>06:21:44.281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5</v>
      </c>
      <c r="CP3385" t="s">
        <v>119</v>
      </c>
      <c r="CQ3385">
        <v>465</v>
      </c>
      <c r="CR3385">
        <v>0</v>
      </c>
      <c r="CW3385">
        <v>4730692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 t="shared" si="1454"/>
        <v>08/29/2020 06:21:41.031</v>
      </c>
      <c r="C3386" t="str">
        <f t="shared" si="1424"/>
        <v>FFDFD3C0</v>
      </c>
      <c r="D3386" t="s">
        <v>121</v>
      </c>
      <c r="E3386">
        <v>13</v>
      </c>
      <c r="F3386">
        <v>1013</v>
      </c>
      <c r="G3386" t="s">
        <v>122</v>
      </c>
      <c r="J3386" t="s">
        <v>123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455"/>
        <v>06:21:44.281</v>
      </c>
      <c r="T3386" t="str">
        <f t="shared" si="1456"/>
        <v>06:21:43.881</v>
      </c>
      <c r="U3386" t="str">
        <f t="shared" si="1425"/>
        <v>A7E2E0</v>
      </c>
      <c r="V3386">
        <v>0</v>
      </c>
      <c r="W3386">
        <v>0</v>
      </c>
      <c r="X3386">
        <v>1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0</v>
      </c>
      <c r="AI3386" t="s">
        <v>1596</v>
      </c>
      <c r="AJ3386">
        <v>38.830426000000003</v>
      </c>
      <c r="AK3386" t="s">
        <v>1597</v>
      </c>
      <c r="AL3386">
        <v>-87.603757000000002</v>
      </c>
      <c r="AM3386">
        <v>100</v>
      </c>
      <c r="AN3386">
        <v>2000</v>
      </c>
      <c r="AO3386" t="s">
        <v>118</v>
      </c>
      <c r="AP3386">
        <v>3</v>
      </c>
      <c r="AQ3386">
        <v>-115</v>
      </c>
      <c r="AR3386">
        <v>-704</v>
      </c>
      <c r="AZ3386">
        <v>4552</v>
      </c>
      <c r="BA3386">
        <v>1</v>
      </c>
      <c r="BB3386" t="str">
        <f t="shared" si="1426"/>
        <v xml:space="preserve">N607SR  </v>
      </c>
      <c r="BC3386">
        <v>1</v>
      </c>
      <c r="BE3386">
        <v>0</v>
      </c>
      <c r="BF3386">
        <v>0</v>
      </c>
      <c r="BG3386">
        <v>0</v>
      </c>
      <c r="BH3386">
        <v>1825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 t="shared" si="1457"/>
        <v>06:21:44.281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6</v>
      </c>
      <c r="CP3386" t="s">
        <v>119</v>
      </c>
      <c r="CQ3386">
        <v>457</v>
      </c>
      <c r="CR3386">
        <v>0</v>
      </c>
      <c r="CW3386">
        <v>15525904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 t="shared" si="1454"/>
        <v>08/29/2020 06:21:41.031</v>
      </c>
      <c r="C3387" t="str">
        <f t="shared" si="1424"/>
        <v>FFDFD3C0</v>
      </c>
      <c r="D3387" t="s">
        <v>121</v>
      </c>
      <c r="E3387">
        <v>11</v>
      </c>
      <c r="F3387">
        <v>1011</v>
      </c>
      <c r="G3387" t="s">
        <v>125</v>
      </c>
      <c r="J3387" t="s">
        <v>123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455"/>
        <v>06:21:44.281</v>
      </c>
      <c r="T3387" t="str">
        <f t="shared" si="1456"/>
        <v>06:21:43.881</v>
      </c>
      <c r="U3387" t="str">
        <f t="shared" si="1425"/>
        <v>A7E2E0</v>
      </c>
      <c r="V3387">
        <v>0</v>
      </c>
      <c r="W3387">
        <v>0</v>
      </c>
      <c r="X3387">
        <v>1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0</v>
      </c>
      <c r="AI3387" t="s">
        <v>1596</v>
      </c>
      <c r="AJ3387">
        <v>38.830426000000003</v>
      </c>
      <c r="AK3387" t="s">
        <v>1597</v>
      </c>
      <c r="AL3387">
        <v>-87.603757000000002</v>
      </c>
      <c r="AM3387">
        <v>100</v>
      </c>
      <c r="AN3387">
        <v>2000</v>
      </c>
      <c r="AO3387" t="s">
        <v>118</v>
      </c>
      <c r="AP3387">
        <v>3</v>
      </c>
      <c r="AQ3387">
        <v>-115</v>
      </c>
      <c r="AR3387">
        <v>-704</v>
      </c>
      <c r="AZ3387">
        <v>4552</v>
      </c>
      <c r="BA3387">
        <v>1</v>
      </c>
      <c r="BB3387" t="str">
        <f t="shared" si="1426"/>
        <v xml:space="preserve">N607SR  </v>
      </c>
      <c r="BC3387">
        <v>1</v>
      </c>
      <c r="BE3387">
        <v>0</v>
      </c>
      <c r="BF3387">
        <v>0</v>
      </c>
      <c r="BG3387">
        <v>0</v>
      </c>
      <c r="BH3387">
        <v>1825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 t="shared" si="1457"/>
        <v>06:21:44.281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6</v>
      </c>
      <c r="CP3387" t="s">
        <v>119</v>
      </c>
      <c r="CQ3387">
        <v>457</v>
      </c>
      <c r="CR3387">
        <v>0</v>
      </c>
      <c r="CW3387">
        <v>15525904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 t="shared" si="1454"/>
        <v>08/29/2020 06:21:41.031</v>
      </c>
      <c r="C3388" t="str">
        <f t="shared" si="1424"/>
        <v>FFDFD3C0</v>
      </c>
      <c r="D3388" t="s">
        <v>121</v>
      </c>
      <c r="E3388">
        <v>10</v>
      </c>
      <c r="F3388">
        <v>1010</v>
      </c>
      <c r="G3388" t="s">
        <v>114</v>
      </c>
      <c r="J3388" t="s">
        <v>123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455"/>
        <v>06:21:44.281</v>
      </c>
      <c r="T3388" t="str">
        <f t="shared" si="1456"/>
        <v>06:21:43.881</v>
      </c>
      <c r="U3388" t="str">
        <f t="shared" si="1425"/>
        <v>A7E2E0</v>
      </c>
      <c r="V3388">
        <v>0</v>
      </c>
      <c r="W3388">
        <v>0</v>
      </c>
      <c r="X3388">
        <v>1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0</v>
      </c>
      <c r="AI3388" t="s">
        <v>1596</v>
      </c>
      <c r="AJ3388">
        <v>38.830426000000003</v>
      </c>
      <c r="AK3388" t="s">
        <v>1597</v>
      </c>
      <c r="AL3388">
        <v>-87.603757000000002</v>
      </c>
      <c r="AM3388">
        <v>100</v>
      </c>
      <c r="AN3388">
        <v>2000</v>
      </c>
      <c r="AO3388" t="s">
        <v>118</v>
      </c>
      <c r="AP3388">
        <v>3</v>
      </c>
      <c r="AQ3388">
        <v>-115</v>
      </c>
      <c r="AR3388">
        <v>-704</v>
      </c>
      <c r="AZ3388">
        <v>4552</v>
      </c>
      <c r="BA3388">
        <v>1</v>
      </c>
      <c r="BB3388" t="str">
        <f t="shared" si="1426"/>
        <v xml:space="preserve">N607SR  </v>
      </c>
      <c r="BC3388">
        <v>1</v>
      </c>
      <c r="BE3388">
        <v>0</v>
      </c>
      <c r="BF3388">
        <v>0</v>
      </c>
      <c r="BG3388">
        <v>0</v>
      </c>
      <c r="BH3388">
        <v>1825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 t="shared" si="1457"/>
        <v>06:21:44.281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6</v>
      </c>
      <c r="CP3388" t="s">
        <v>119</v>
      </c>
      <c r="CQ3388">
        <v>457</v>
      </c>
      <c r="CR3388">
        <v>0</v>
      </c>
      <c r="CW3388">
        <v>15525904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 t="shared" si="1454"/>
        <v>08/29/2020 06:21:41.031</v>
      </c>
      <c r="C3389" t="str">
        <f t="shared" si="1424"/>
        <v>FFDFD3C0</v>
      </c>
      <c r="D3389" t="s">
        <v>113</v>
      </c>
      <c r="E3389">
        <v>5</v>
      </c>
      <c r="H3389">
        <v>163</v>
      </c>
      <c r="I3389" t="s">
        <v>114</v>
      </c>
      <c r="J3389" t="s">
        <v>115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si="1455"/>
        <v>06:21:44.281</v>
      </c>
      <c r="T3389" t="str">
        <f t="shared" si="1456"/>
        <v>06:21:43.881</v>
      </c>
      <c r="U3389" t="str">
        <f t="shared" si="1425"/>
        <v>A7E2E0</v>
      </c>
      <c r="V3389">
        <v>0</v>
      </c>
      <c r="W3389">
        <v>0</v>
      </c>
      <c r="X3389">
        <v>1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0</v>
      </c>
      <c r="AI3389" t="s">
        <v>1596</v>
      </c>
      <c r="AJ3389">
        <v>38.830426000000003</v>
      </c>
      <c r="AK3389" t="s">
        <v>1597</v>
      </c>
      <c r="AL3389">
        <v>-87.603757000000002</v>
      </c>
      <c r="AM3389">
        <v>100</v>
      </c>
      <c r="AN3389">
        <v>2000</v>
      </c>
      <c r="AO3389" t="s">
        <v>118</v>
      </c>
      <c r="AP3389">
        <v>3</v>
      </c>
      <c r="AQ3389">
        <v>-115</v>
      </c>
      <c r="AR3389">
        <v>-704</v>
      </c>
      <c r="AZ3389">
        <v>4552</v>
      </c>
      <c r="BA3389">
        <v>1</v>
      </c>
      <c r="BB3389" t="str">
        <f t="shared" si="1426"/>
        <v xml:space="preserve">N607SR  </v>
      </c>
      <c r="BC3389">
        <v>1</v>
      </c>
      <c r="BE3389">
        <v>0</v>
      </c>
      <c r="BF3389">
        <v>0</v>
      </c>
      <c r="BG3389">
        <v>0</v>
      </c>
      <c r="BH3389">
        <v>1825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 t="shared" si="1457"/>
        <v>06:21:44.281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6</v>
      </c>
      <c r="CP3389" t="s">
        <v>119</v>
      </c>
      <c r="CQ3389">
        <v>457</v>
      </c>
      <c r="CR3389">
        <v>0</v>
      </c>
      <c r="CW3389">
        <v>15525904</v>
      </c>
      <c r="CY3389">
        <v>1</v>
      </c>
      <c r="CZ3389">
        <v>0</v>
      </c>
      <c r="DA3389">
        <v>1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 t="shared" ref="A3390:A3395" si="1458">"08/29/2020 06:21:42.082"</f>
        <v>08/29/2020 06:21:42.082</v>
      </c>
      <c r="C3390" t="str">
        <f t="shared" si="1424"/>
        <v>FFDFD3C0</v>
      </c>
      <c r="D3390" t="s">
        <v>113</v>
      </c>
      <c r="E3390">
        <v>5</v>
      </c>
      <c r="H3390">
        <v>163</v>
      </c>
      <c r="I3390" t="s">
        <v>114</v>
      </c>
      <c r="J3390" t="s">
        <v>115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ref="S3390:S3395" si="1459">"06:21:45.305"</f>
        <v>06:21:45.305</v>
      </c>
      <c r="T3390" t="str">
        <f t="shared" ref="T3390:T3395" si="1460">"06:21:44.905"</f>
        <v>06:21:44.905</v>
      </c>
      <c r="U3390" t="str">
        <f t="shared" si="1425"/>
        <v>A7E2E0</v>
      </c>
      <c r="V3390">
        <v>0</v>
      </c>
      <c r="W3390">
        <v>0</v>
      </c>
      <c r="X3390">
        <v>1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0</v>
      </c>
      <c r="AI3390" t="s">
        <v>1598</v>
      </c>
      <c r="AJ3390">
        <v>38.829911000000003</v>
      </c>
      <c r="AK3390" t="s">
        <v>1597</v>
      </c>
      <c r="AL3390">
        <v>-87.603757000000002</v>
      </c>
      <c r="AM3390">
        <v>100</v>
      </c>
      <c r="AN3390">
        <v>2000</v>
      </c>
      <c r="AO3390" t="s">
        <v>118</v>
      </c>
      <c r="AP3390">
        <v>3</v>
      </c>
      <c r="AQ3390">
        <v>-115</v>
      </c>
      <c r="AR3390">
        <v>-832</v>
      </c>
      <c r="AZ3390">
        <v>4552</v>
      </c>
      <c r="BA3390">
        <v>1</v>
      </c>
      <c r="BB3390" t="str">
        <f t="shared" si="1426"/>
        <v xml:space="preserve">N607SR  </v>
      </c>
      <c r="BC3390">
        <v>1</v>
      </c>
      <c r="BE3390">
        <v>0</v>
      </c>
      <c r="BF3390">
        <v>0</v>
      </c>
      <c r="BG3390">
        <v>0</v>
      </c>
      <c r="BH3390">
        <v>1825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 t="shared" ref="BW3390:BW3395" si="1461">"06:21:45.309"</f>
        <v>06:21:45.309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6</v>
      </c>
      <c r="CP3390" t="s">
        <v>119</v>
      </c>
      <c r="CQ3390">
        <v>177</v>
      </c>
      <c r="CR3390">
        <v>2</v>
      </c>
      <c r="CW3390">
        <v>1697951</v>
      </c>
      <c r="CY3390">
        <v>1</v>
      </c>
      <c r="CZ3390">
        <v>0</v>
      </c>
      <c r="DA3390">
        <v>0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 t="shared" si="1458"/>
        <v>08/29/2020 06:21:42.082</v>
      </c>
      <c r="C3391" t="str">
        <f t="shared" si="1424"/>
        <v>FFDFD3C0</v>
      </c>
      <c r="D3391" t="s">
        <v>939</v>
      </c>
      <c r="E3391">
        <v>10</v>
      </c>
      <c r="H3391">
        <v>79</v>
      </c>
      <c r="I3391" t="s">
        <v>940</v>
      </c>
      <c r="J3391" t="s">
        <v>130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459"/>
        <v>06:21:45.305</v>
      </c>
      <c r="T3391" t="str">
        <f t="shared" si="1460"/>
        <v>06:21:44.905</v>
      </c>
      <c r="U3391" t="str">
        <f t="shared" si="1425"/>
        <v>A7E2E0</v>
      </c>
      <c r="V3391">
        <v>0</v>
      </c>
      <c r="W3391">
        <v>0</v>
      </c>
      <c r="X3391">
        <v>1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0</v>
      </c>
      <c r="AI3391" t="s">
        <v>1598</v>
      </c>
      <c r="AJ3391">
        <v>38.829911000000003</v>
      </c>
      <c r="AK3391" t="s">
        <v>1597</v>
      </c>
      <c r="AL3391">
        <v>-87.603757000000002</v>
      </c>
      <c r="AM3391">
        <v>100</v>
      </c>
      <c r="AN3391">
        <v>2000</v>
      </c>
      <c r="AO3391" t="s">
        <v>118</v>
      </c>
      <c r="AP3391">
        <v>3</v>
      </c>
      <c r="AQ3391">
        <v>-115</v>
      </c>
      <c r="AR3391">
        <v>-832</v>
      </c>
      <c r="AZ3391">
        <v>4552</v>
      </c>
      <c r="BA3391">
        <v>1</v>
      </c>
      <c r="BB3391" t="str">
        <f t="shared" si="1426"/>
        <v xml:space="preserve">N607SR  </v>
      </c>
      <c r="BC3391">
        <v>1</v>
      </c>
      <c r="BE3391">
        <v>0</v>
      </c>
      <c r="BF3391">
        <v>0</v>
      </c>
      <c r="BG3391">
        <v>0</v>
      </c>
      <c r="BH3391">
        <v>1825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 t="shared" si="1461"/>
        <v>06:21:45.309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5</v>
      </c>
      <c r="CP3391" t="s">
        <v>119</v>
      </c>
      <c r="CQ3391">
        <v>465</v>
      </c>
      <c r="CR3391">
        <v>0</v>
      </c>
      <c r="CW3391">
        <v>4730732</v>
      </c>
      <c r="CY3391">
        <v>1</v>
      </c>
      <c r="CZ3391">
        <v>0</v>
      </c>
      <c r="DA3391">
        <v>1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 t="shared" si="1458"/>
        <v>08/29/2020 06:21:42.082</v>
      </c>
      <c r="C3392" t="str">
        <f t="shared" si="1424"/>
        <v>FFDFD3C0</v>
      </c>
      <c r="D3392" t="s">
        <v>128</v>
      </c>
      <c r="E3392">
        <v>5</v>
      </c>
      <c r="H3392">
        <v>241</v>
      </c>
      <c r="I3392" t="s">
        <v>129</v>
      </c>
      <c r="J3392" t="s">
        <v>130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459"/>
        <v>06:21:45.305</v>
      </c>
      <c r="T3392" t="str">
        <f t="shared" si="1460"/>
        <v>06:21:44.905</v>
      </c>
      <c r="U3392" t="str">
        <f t="shared" si="1425"/>
        <v>A7E2E0</v>
      </c>
      <c r="V3392">
        <v>0</v>
      </c>
      <c r="W3392">
        <v>0</v>
      </c>
      <c r="X3392">
        <v>1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0</v>
      </c>
      <c r="AI3392" t="s">
        <v>1598</v>
      </c>
      <c r="AJ3392">
        <v>38.829911000000003</v>
      </c>
      <c r="AK3392" t="s">
        <v>1597</v>
      </c>
      <c r="AL3392">
        <v>-87.603757000000002</v>
      </c>
      <c r="AM3392">
        <v>100</v>
      </c>
      <c r="AN3392">
        <v>2000</v>
      </c>
      <c r="AO3392" t="s">
        <v>118</v>
      </c>
      <c r="AP3392">
        <v>3</v>
      </c>
      <c r="AQ3392">
        <v>-115</v>
      </c>
      <c r="AR3392">
        <v>-832</v>
      </c>
      <c r="AZ3392">
        <v>4552</v>
      </c>
      <c r="BA3392">
        <v>1</v>
      </c>
      <c r="BB3392" t="str">
        <f t="shared" si="1426"/>
        <v xml:space="preserve">N607SR  </v>
      </c>
      <c r="BC3392">
        <v>1</v>
      </c>
      <c r="BE3392">
        <v>0</v>
      </c>
      <c r="BF3392">
        <v>0</v>
      </c>
      <c r="BG3392">
        <v>0</v>
      </c>
      <c r="BH3392">
        <v>1825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 t="shared" si="1461"/>
        <v>06:21:45.309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6</v>
      </c>
      <c r="CP3392" t="s">
        <v>119</v>
      </c>
      <c r="CQ3392">
        <v>177</v>
      </c>
      <c r="CR3392">
        <v>2</v>
      </c>
      <c r="CW3392">
        <v>1697951</v>
      </c>
      <c r="CY3392">
        <v>1</v>
      </c>
      <c r="CZ3392">
        <v>0</v>
      </c>
      <c r="DA3392">
        <v>1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 t="shared" si="1458"/>
        <v>08/29/2020 06:21:42.082</v>
      </c>
      <c r="C3393" t="str">
        <f t="shared" si="1424"/>
        <v>FFDFD3C0</v>
      </c>
      <c r="D3393" t="s">
        <v>121</v>
      </c>
      <c r="E3393">
        <v>13</v>
      </c>
      <c r="F3393">
        <v>1013</v>
      </c>
      <c r="G3393" t="s">
        <v>122</v>
      </c>
      <c r="J3393" t="s">
        <v>123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1459"/>
        <v>06:21:45.305</v>
      </c>
      <c r="T3393" t="str">
        <f t="shared" si="1460"/>
        <v>06:21:44.905</v>
      </c>
      <c r="U3393" t="str">
        <f t="shared" si="1425"/>
        <v>A7E2E0</v>
      </c>
      <c r="V3393">
        <v>0</v>
      </c>
      <c r="W3393">
        <v>0</v>
      </c>
      <c r="X3393">
        <v>1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0</v>
      </c>
      <c r="AI3393" t="s">
        <v>1598</v>
      </c>
      <c r="AJ3393">
        <v>38.829911000000003</v>
      </c>
      <c r="AK3393" t="s">
        <v>1597</v>
      </c>
      <c r="AL3393">
        <v>-87.603757000000002</v>
      </c>
      <c r="AM3393">
        <v>100</v>
      </c>
      <c r="AN3393">
        <v>2000</v>
      </c>
      <c r="AO3393" t="s">
        <v>118</v>
      </c>
      <c r="AP3393">
        <v>3</v>
      </c>
      <c r="AQ3393">
        <v>-115</v>
      </c>
      <c r="AR3393">
        <v>-832</v>
      </c>
      <c r="AZ3393">
        <v>4552</v>
      </c>
      <c r="BA3393">
        <v>1</v>
      </c>
      <c r="BB3393" t="str">
        <f t="shared" si="1426"/>
        <v xml:space="preserve">N607SR  </v>
      </c>
      <c r="BC3393">
        <v>1</v>
      </c>
      <c r="BE3393">
        <v>0</v>
      </c>
      <c r="BF3393">
        <v>0</v>
      </c>
      <c r="BG3393">
        <v>0</v>
      </c>
      <c r="BH3393">
        <v>1825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 t="shared" si="1461"/>
        <v>06:21:45.309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6</v>
      </c>
      <c r="CP3393" t="s">
        <v>119</v>
      </c>
      <c r="CQ3393">
        <v>177</v>
      </c>
      <c r="CR3393">
        <v>2</v>
      </c>
      <c r="CW3393">
        <v>1697951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 t="shared" si="1458"/>
        <v>08/29/2020 06:21:42.082</v>
      </c>
      <c r="C3394" t="str">
        <f t="shared" ref="C3394:C3457" si="1462">"FFDFD3C0"</f>
        <v>FFDFD3C0</v>
      </c>
      <c r="D3394" t="s">
        <v>121</v>
      </c>
      <c r="E3394">
        <v>11</v>
      </c>
      <c r="F3394">
        <v>1011</v>
      </c>
      <c r="G3394" t="s">
        <v>125</v>
      </c>
      <c r="J3394" t="s">
        <v>123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459"/>
        <v>06:21:45.305</v>
      </c>
      <c r="T3394" t="str">
        <f t="shared" si="1460"/>
        <v>06:21:44.905</v>
      </c>
      <c r="U3394" t="str">
        <f t="shared" ref="U3394:U3457" si="1463">"A7E2E0"</f>
        <v>A7E2E0</v>
      </c>
      <c r="V3394">
        <v>0</v>
      </c>
      <c r="W3394">
        <v>0</v>
      </c>
      <c r="X3394">
        <v>1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0</v>
      </c>
      <c r="AI3394" t="s">
        <v>1598</v>
      </c>
      <c r="AJ3394">
        <v>38.829911000000003</v>
      </c>
      <c r="AK3394" t="s">
        <v>1597</v>
      </c>
      <c r="AL3394">
        <v>-87.603757000000002</v>
      </c>
      <c r="AM3394">
        <v>100</v>
      </c>
      <c r="AN3394">
        <v>2000</v>
      </c>
      <c r="AO3394" t="s">
        <v>118</v>
      </c>
      <c r="AP3394">
        <v>3</v>
      </c>
      <c r="AQ3394">
        <v>-115</v>
      </c>
      <c r="AR3394">
        <v>-832</v>
      </c>
      <c r="AZ3394">
        <v>4552</v>
      </c>
      <c r="BA3394">
        <v>1</v>
      </c>
      <c r="BB3394" t="str">
        <f t="shared" ref="BB3394:BB3457" si="1464">"N607SR  "</f>
        <v xml:space="preserve">N607SR  </v>
      </c>
      <c r="BC3394">
        <v>1</v>
      </c>
      <c r="BE3394">
        <v>0</v>
      </c>
      <c r="BF3394">
        <v>0</v>
      </c>
      <c r="BG3394">
        <v>0</v>
      </c>
      <c r="BH3394">
        <v>1825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 t="shared" si="1461"/>
        <v>06:21:45.309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6</v>
      </c>
      <c r="CP3394" t="s">
        <v>119</v>
      </c>
      <c r="CQ3394">
        <v>177</v>
      </c>
      <c r="CR3394">
        <v>2</v>
      </c>
      <c r="CW3394">
        <v>1697951</v>
      </c>
      <c r="CY3394">
        <v>1</v>
      </c>
      <c r="CZ3394">
        <v>0</v>
      </c>
      <c r="DA3394">
        <v>1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 t="shared" si="1458"/>
        <v>08/29/2020 06:21:42.082</v>
      </c>
      <c r="C3395" t="str">
        <f t="shared" si="1462"/>
        <v>FFDFD3C0</v>
      </c>
      <c r="D3395" t="s">
        <v>121</v>
      </c>
      <c r="E3395">
        <v>10</v>
      </c>
      <c r="F3395">
        <v>1010</v>
      </c>
      <c r="G3395" t="s">
        <v>114</v>
      </c>
      <c r="J3395" t="s">
        <v>123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459"/>
        <v>06:21:45.305</v>
      </c>
      <c r="T3395" t="str">
        <f t="shared" si="1460"/>
        <v>06:21:44.905</v>
      </c>
      <c r="U3395" t="str">
        <f t="shared" si="1463"/>
        <v>A7E2E0</v>
      </c>
      <c r="V3395">
        <v>0</v>
      </c>
      <c r="W3395">
        <v>0</v>
      </c>
      <c r="X3395">
        <v>1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0</v>
      </c>
      <c r="AI3395" t="s">
        <v>1598</v>
      </c>
      <c r="AJ3395">
        <v>38.829911000000003</v>
      </c>
      <c r="AK3395" t="s">
        <v>1597</v>
      </c>
      <c r="AL3395">
        <v>-87.603757000000002</v>
      </c>
      <c r="AM3395">
        <v>100</v>
      </c>
      <c r="AN3395">
        <v>2000</v>
      </c>
      <c r="AO3395" t="s">
        <v>118</v>
      </c>
      <c r="AP3395">
        <v>3</v>
      </c>
      <c r="AQ3395">
        <v>-115</v>
      </c>
      <c r="AR3395">
        <v>-832</v>
      </c>
      <c r="AZ3395">
        <v>4552</v>
      </c>
      <c r="BA3395">
        <v>1</v>
      </c>
      <c r="BB3395" t="str">
        <f t="shared" si="1464"/>
        <v xml:space="preserve">N607SR  </v>
      </c>
      <c r="BC3395">
        <v>1</v>
      </c>
      <c r="BE3395">
        <v>0</v>
      </c>
      <c r="BF3395">
        <v>0</v>
      </c>
      <c r="BG3395">
        <v>0</v>
      </c>
      <c r="BH3395">
        <v>1825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 t="shared" si="1461"/>
        <v>06:21:45.309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6</v>
      </c>
      <c r="CP3395" t="s">
        <v>119</v>
      </c>
      <c r="CQ3395">
        <v>177</v>
      </c>
      <c r="CR3395">
        <v>2</v>
      </c>
      <c r="CW3395">
        <v>1697951</v>
      </c>
      <c r="CY3395">
        <v>1</v>
      </c>
      <c r="CZ3395">
        <v>0</v>
      </c>
      <c r="DA3395">
        <v>1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 t="shared" ref="A3396:A3401" si="1465">"08/29/2020 06:21:43.025"</f>
        <v>08/29/2020 06:21:43.025</v>
      </c>
      <c r="C3396" t="str">
        <f t="shared" si="1462"/>
        <v>FFDFD3C0</v>
      </c>
      <c r="D3396" t="s">
        <v>121</v>
      </c>
      <c r="E3396">
        <v>11</v>
      </c>
      <c r="F3396">
        <v>1011</v>
      </c>
      <c r="G3396" t="s">
        <v>125</v>
      </c>
      <c r="J3396" t="s">
        <v>123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ref="S3396:S3401" si="1466">"06:21:46.250"</f>
        <v>06:21:46.250</v>
      </c>
      <c r="T3396" t="str">
        <f t="shared" ref="T3396:T3401" si="1467">"06:21:45.850"</f>
        <v>06:21:45.850</v>
      </c>
      <c r="U3396" t="str">
        <f t="shared" si="1463"/>
        <v>A7E2E0</v>
      </c>
      <c r="V3396">
        <v>0</v>
      </c>
      <c r="W3396">
        <v>0</v>
      </c>
      <c r="X3396">
        <v>1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0</v>
      </c>
      <c r="AI3396" t="s">
        <v>1599</v>
      </c>
      <c r="AJ3396">
        <v>38.829352999999998</v>
      </c>
      <c r="AK3396" t="s">
        <v>1597</v>
      </c>
      <c r="AL3396">
        <v>-87.603757000000002</v>
      </c>
      <c r="AM3396">
        <v>100</v>
      </c>
      <c r="AN3396">
        <v>2000</v>
      </c>
      <c r="AO3396" t="s">
        <v>118</v>
      </c>
      <c r="AP3396">
        <v>2</v>
      </c>
      <c r="AQ3396">
        <v>-114</v>
      </c>
      <c r="AR3396">
        <v>-832</v>
      </c>
      <c r="AZ3396">
        <v>4552</v>
      </c>
      <c r="BA3396">
        <v>1</v>
      </c>
      <c r="BB3396" t="str">
        <f t="shared" si="1464"/>
        <v xml:space="preserve">N607SR  </v>
      </c>
      <c r="BC3396">
        <v>1</v>
      </c>
      <c r="BE3396">
        <v>0</v>
      </c>
      <c r="BF3396">
        <v>0</v>
      </c>
      <c r="BG3396">
        <v>0</v>
      </c>
      <c r="BH3396">
        <v>1800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 t="shared" ref="BW3396:BW3401" si="1468">"06:21:46.257"</f>
        <v>06:21:46.257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6</v>
      </c>
      <c r="CP3396" t="s">
        <v>119</v>
      </c>
      <c r="CQ3396">
        <v>457</v>
      </c>
      <c r="CR3396">
        <v>0</v>
      </c>
      <c r="CW3396">
        <v>15525962</v>
      </c>
      <c r="CY3396">
        <v>1</v>
      </c>
      <c r="CZ3396">
        <v>0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 t="shared" si="1465"/>
        <v>08/29/2020 06:21:43.025</v>
      </c>
      <c r="C3397" t="str">
        <f t="shared" si="1462"/>
        <v>FFDFD3C0</v>
      </c>
      <c r="D3397" t="s">
        <v>121</v>
      </c>
      <c r="E3397">
        <v>10</v>
      </c>
      <c r="F3397">
        <v>1010</v>
      </c>
      <c r="G3397" t="s">
        <v>114</v>
      </c>
      <c r="J3397" t="s">
        <v>123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466"/>
        <v>06:21:46.250</v>
      </c>
      <c r="T3397" t="str">
        <f t="shared" si="1467"/>
        <v>06:21:45.850</v>
      </c>
      <c r="U3397" t="str">
        <f t="shared" si="1463"/>
        <v>A7E2E0</v>
      </c>
      <c r="V3397">
        <v>0</v>
      </c>
      <c r="W3397">
        <v>0</v>
      </c>
      <c r="X3397">
        <v>1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0</v>
      </c>
      <c r="AI3397" t="s">
        <v>1599</v>
      </c>
      <c r="AJ3397">
        <v>38.829352999999998</v>
      </c>
      <c r="AK3397" t="s">
        <v>1597</v>
      </c>
      <c r="AL3397">
        <v>-87.603757000000002</v>
      </c>
      <c r="AM3397">
        <v>100</v>
      </c>
      <c r="AN3397">
        <v>2000</v>
      </c>
      <c r="AO3397" t="s">
        <v>118</v>
      </c>
      <c r="AP3397">
        <v>2</v>
      </c>
      <c r="AQ3397">
        <v>-114</v>
      </c>
      <c r="AR3397">
        <v>-832</v>
      </c>
      <c r="AZ3397">
        <v>4552</v>
      </c>
      <c r="BA3397">
        <v>1</v>
      </c>
      <c r="BB3397" t="str">
        <f t="shared" si="1464"/>
        <v xml:space="preserve">N607SR  </v>
      </c>
      <c r="BC3397">
        <v>1</v>
      </c>
      <c r="BE3397">
        <v>0</v>
      </c>
      <c r="BF3397">
        <v>0</v>
      </c>
      <c r="BG3397">
        <v>0</v>
      </c>
      <c r="BH3397">
        <v>1800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 t="shared" si="1468"/>
        <v>06:21:46.257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6</v>
      </c>
      <c r="CP3397" t="s">
        <v>119</v>
      </c>
      <c r="CQ3397">
        <v>457</v>
      </c>
      <c r="CR3397">
        <v>0</v>
      </c>
      <c r="CW3397">
        <v>15525962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 t="shared" si="1465"/>
        <v>08/29/2020 06:21:43.025</v>
      </c>
      <c r="C3398" t="str">
        <f t="shared" si="1462"/>
        <v>FFDFD3C0</v>
      </c>
      <c r="D3398" t="s">
        <v>939</v>
      </c>
      <c r="E3398">
        <v>10</v>
      </c>
      <c r="H3398">
        <v>79</v>
      </c>
      <c r="I3398" t="s">
        <v>940</v>
      </c>
      <c r="J3398" t="s">
        <v>130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466"/>
        <v>06:21:46.250</v>
      </c>
      <c r="T3398" t="str">
        <f t="shared" si="1467"/>
        <v>06:21:45.850</v>
      </c>
      <c r="U3398" t="str">
        <f t="shared" si="1463"/>
        <v>A7E2E0</v>
      </c>
      <c r="V3398">
        <v>0</v>
      </c>
      <c r="W3398">
        <v>0</v>
      </c>
      <c r="X3398">
        <v>1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0</v>
      </c>
      <c r="AI3398" t="s">
        <v>1599</v>
      </c>
      <c r="AJ3398">
        <v>38.829352999999998</v>
      </c>
      <c r="AK3398" t="s">
        <v>1597</v>
      </c>
      <c r="AL3398">
        <v>-87.603757000000002</v>
      </c>
      <c r="AM3398">
        <v>100</v>
      </c>
      <c r="AN3398">
        <v>2000</v>
      </c>
      <c r="AO3398" t="s">
        <v>118</v>
      </c>
      <c r="AP3398">
        <v>2</v>
      </c>
      <c r="AQ3398">
        <v>-114</v>
      </c>
      <c r="AR3398">
        <v>-832</v>
      </c>
      <c r="AZ3398">
        <v>4552</v>
      </c>
      <c r="BA3398">
        <v>1</v>
      </c>
      <c r="BB3398" t="str">
        <f t="shared" si="1464"/>
        <v xml:space="preserve">N607SR  </v>
      </c>
      <c r="BC3398">
        <v>1</v>
      </c>
      <c r="BE3398">
        <v>0</v>
      </c>
      <c r="BF3398">
        <v>0</v>
      </c>
      <c r="BG3398">
        <v>0</v>
      </c>
      <c r="BH3398">
        <v>1800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 t="shared" si="1468"/>
        <v>06:21:46.257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5</v>
      </c>
      <c r="CP3398" t="s">
        <v>119</v>
      </c>
      <c r="CQ3398">
        <v>465</v>
      </c>
      <c r="CR3398">
        <v>0</v>
      </c>
      <c r="CW3398">
        <v>4730759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 t="shared" si="1465"/>
        <v>08/29/2020 06:21:43.025</v>
      </c>
      <c r="C3399" t="str">
        <f t="shared" si="1462"/>
        <v>FFDFD3C0</v>
      </c>
      <c r="D3399" t="s">
        <v>113</v>
      </c>
      <c r="E3399">
        <v>5</v>
      </c>
      <c r="H3399">
        <v>163</v>
      </c>
      <c r="I3399" t="s">
        <v>114</v>
      </c>
      <c r="J3399" t="s">
        <v>115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466"/>
        <v>06:21:46.250</v>
      </c>
      <c r="T3399" t="str">
        <f t="shared" si="1467"/>
        <v>06:21:45.850</v>
      </c>
      <c r="U3399" t="str">
        <f t="shared" si="1463"/>
        <v>A7E2E0</v>
      </c>
      <c r="V3399">
        <v>0</v>
      </c>
      <c r="W3399">
        <v>0</v>
      </c>
      <c r="X3399">
        <v>1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0</v>
      </c>
      <c r="AI3399" t="s">
        <v>1599</v>
      </c>
      <c r="AJ3399">
        <v>38.829352999999998</v>
      </c>
      <c r="AK3399" t="s">
        <v>1597</v>
      </c>
      <c r="AL3399">
        <v>-87.603757000000002</v>
      </c>
      <c r="AM3399">
        <v>100</v>
      </c>
      <c r="AN3399">
        <v>2000</v>
      </c>
      <c r="AO3399" t="s">
        <v>118</v>
      </c>
      <c r="AP3399">
        <v>2</v>
      </c>
      <c r="AQ3399">
        <v>-114</v>
      </c>
      <c r="AR3399">
        <v>-832</v>
      </c>
      <c r="AZ3399">
        <v>4552</v>
      </c>
      <c r="BA3399">
        <v>1</v>
      </c>
      <c r="BB3399" t="str">
        <f t="shared" si="1464"/>
        <v xml:space="preserve">N607SR  </v>
      </c>
      <c r="BC3399">
        <v>1</v>
      </c>
      <c r="BE3399">
        <v>0</v>
      </c>
      <c r="BF3399">
        <v>0</v>
      </c>
      <c r="BG3399">
        <v>0</v>
      </c>
      <c r="BH3399">
        <v>1800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 t="shared" si="1468"/>
        <v>06:21:46.257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6</v>
      </c>
      <c r="CP3399" t="s">
        <v>119</v>
      </c>
      <c r="CQ3399">
        <v>457</v>
      </c>
      <c r="CR3399">
        <v>0</v>
      </c>
      <c r="CW3399">
        <v>15525962</v>
      </c>
      <c r="CY3399">
        <v>1</v>
      </c>
      <c r="CZ3399">
        <v>0</v>
      </c>
      <c r="DA3399">
        <v>1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 t="shared" si="1465"/>
        <v>08/29/2020 06:21:43.025</v>
      </c>
      <c r="C3400" t="str">
        <f t="shared" si="1462"/>
        <v>FFDFD3C0</v>
      </c>
      <c r="D3400" t="s">
        <v>128</v>
      </c>
      <c r="E3400">
        <v>5</v>
      </c>
      <c r="H3400">
        <v>241</v>
      </c>
      <c r="I3400" t="s">
        <v>129</v>
      </c>
      <c r="J3400" t="s">
        <v>130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466"/>
        <v>06:21:46.250</v>
      </c>
      <c r="T3400" t="str">
        <f t="shared" si="1467"/>
        <v>06:21:45.850</v>
      </c>
      <c r="U3400" t="str">
        <f t="shared" si="1463"/>
        <v>A7E2E0</v>
      </c>
      <c r="V3400">
        <v>0</v>
      </c>
      <c r="W3400">
        <v>0</v>
      </c>
      <c r="X3400">
        <v>1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0</v>
      </c>
      <c r="AI3400" t="s">
        <v>1599</v>
      </c>
      <c r="AJ3400">
        <v>38.829352999999998</v>
      </c>
      <c r="AK3400" t="s">
        <v>1597</v>
      </c>
      <c r="AL3400">
        <v>-87.603757000000002</v>
      </c>
      <c r="AM3400">
        <v>100</v>
      </c>
      <c r="AN3400">
        <v>2000</v>
      </c>
      <c r="AO3400" t="s">
        <v>118</v>
      </c>
      <c r="AP3400">
        <v>2</v>
      </c>
      <c r="AQ3400">
        <v>-114</v>
      </c>
      <c r="AR3400">
        <v>-832</v>
      </c>
      <c r="AZ3400">
        <v>4552</v>
      </c>
      <c r="BA3400">
        <v>1</v>
      </c>
      <c r="BB3400" t="str">
        <f t="shared" si="1464"/>
        <v xml:space="preserve">N607SR  </v>
      </c>
      <c r="BC3400">
        <v>1</v>
      </c>
      <c r="BE3400">
        <v>0</v>
      </c>
      <c r="BF3400">
        <v>0</v>
      </c>
      <c r="BG3400">
        <v>0</v>
      </c>
      <c r="BH3400">
        <v>1800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 t="shared" si="1468"/>
        <v>06:21:46.257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6</v>
      </c>
      <c r="CP3400" t="s">
        <v>119</v>
      </c>
      <c r="CQ3400">
        <v>457</v>
      </c>
      <c r="CR3400">
        <v>0</v>
      </c>
      <c r="CW3400">
        <v>15525962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 t="shared" si="1465"/>
        <v>08/29/2020 06:21:43.025</v>
      </c>
      <c r="C3401" t="str">
        <f t="shared" si="1462"/>
        <v>FFDFD3C0</v>
      </c>
      <c r="D3401" t="s">
        <v>121</v>
      </c>
      <c r="E3401">
        <v>13</v>
      </c>
      <c r="F3401">
        <v>1013</v>
      </c>
      <c r="G3401" t="s">
        <v>122</v>
      </c>
      <c r="J3401" t="s">
        <v>123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466"/>
        <v>06:21:46.250</v>
      </c>
      <c r="T3401" t="str">
        <f t="shared" si="1467"/>
        <v>06:21:45.850</v>
      </c>
      <c r="U3401" t="str">
        <f t="shared" si="1463"/>
        <v>A7E2E0</v>
      </c>
      <c r="V3401">
        <v>0</v>
      </c>
      <c r="W3401">
        <v>0</v>
      </c>
      <c r="X3401">
        <v>1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3</v>
      </c>
      <c r="AG3401">
        <v>2</v>
      </c>
      <c r="AH3401">
        <v>0</v>
      </c>
      <c r="AI3401" t="s">
        <v>1599</v>
      </c>
      <c r="AJ3401">
        <v>38.829352999999998</v>
      </c>
      <c r="AK3401" t="s">
        <v>1597</v>
      </c>
      <c r="AL3401">
        <v>-87.603757000000002</v>
      </c>
      <c r="AM3401">
        <v>100</v>
      </c>
      <c r="AN3401">
        <v>2000</v>
      </c>
      <c r="AO3401" t="s">
        <v>118</v>
      </c>
      <c r="AP3401">
        <v>2</v>
      </c>
      <c r="AQ3401">
        <v>-114</v>
      </c>
      <c r="AR3401">
        <v>-832</v>
      </c>
      <c r="AZ3401">
        <v>4552</v>
      </c>
      <c r="BA3401">
        <v>1</v>
      </c>
      <c r="BB3401" t="str">
        <f t="shared" si="1464"/>
        <v xml:space="preserve">N607SR  </v>
      </c>
      <c r="BC3401">
        <v>1</v>
      </c>
      <c r="BE3401">
        <v>0</v>
      </c>
      <c r="BF3401">
        <v>0</v>
      </c>
      <c r="BG3401">
        <v>0</v>
      </c>
      <c r="BH3401">
        <v>1800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 t="shared" si="1468"/>
        <v>06:21:46.257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6</v>
      </c>
      <c r="CP3401" t="s">
        <v>119</v>
      </c>
      <c r="CQ3401">
        <v>457</v>
      </c>
      <c r="CR3401">
        <v>0</v>
      </c>
      <c r="CW3401">
        <v>15525962</v>
      </c>
      <c r="CY3401">
        <v>1</v>
      </c>
      <c r="CZ3401">
        <v>0</v>
      </c>
      <c r="DA3401">
        <v>1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>"08/29/2020 06:21:43.941"</f>
        <v>08/29/2020 06:21:43.941</v>
      </c>
      <c r="C3402" t="str">
        <f t="shared" si="1462"/>
        <v>FFDFD3C0</v>
      </c>
      <c r="D3402" t="s">
        <v>121</v>
      </c>
      <c r="E3402">
        <v>11</v>
      </c>
      <c r="F3402">
        <v>1011</v>
      </c>
      <c r="G3402" t="s">
        <v>125</v>
      </c>
      <c r="J3402" t="s">
        <v>123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"06:21:47.172"</f>
        <v>06:21:47.172</v>
      </c>
      <c r="T3402" t="str">
        <f>"06:21:46.772"</f>
        <v>06:21:46.772</v>
      </c>
      <c r="U3402" t="str">
        <f t="shared" si="1463"/>
        <v>A7E2E0</v>
      </c>
      <c r="V3402">
        <v>0</v>
      </c>
      <c r="W3402">
        <v>0</v>
      </c>
      <c r="X3402">
        <v>1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0</v>
      </c>
      <c r="AI3402" t="s">
        <v>1600</v>
      </c>
      <c r="AJ3402">
        <v>38.828881000000003</v>
      </c>
      <c r="AK3402" t="s">
        <v>1601</v>
      </c>
      <c r="AL3402">
        <v>-87.603735999999998</v>
      </c>
      <c r="AM3402">
        <v>100</v>
      </c>
      <c r="AN3402">
        <v>2000</v>
      </c>
      <c r="AO3402" t="s">
        <v>118</v>
      </c>
      <c r="AP3402">
        <v>2</v>
      </c>
      <c r="AQ3402">
        <v>-114</v>
      </c>
      <c r="AR3402">
        <v>-896</v>
      </c>
      <c r="AZ3402">
        <v>4552</v>
      </c>
      <c r="BA3402">
        <v>1</v>
      </c>
      <c r="BB3402" t="str">
        <f t="shared" si="1464"/>
        <v xml:space="preserve">N607SR  </v>
      </c>
      <c r="BC3402">
        <v>1</v>
      </c>
      <c r="BE3402">
        <v>0</v>
      </c>
      <c r="BF3402">
        <v>0</v>
      </c>
      <c r="BG3402">
        <v>0</v>
      </c>
      <c r="BH3402">
        <v>1800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>"06:21:47.176"</f>
        <v>06:21:47.176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6</v>
      </c>
      <c r="CP3402" t="s">
        <v>119</v>
      </c>
      <c r="CQ3402">
        <v>457</v>
      </c>
      <c r="CR3402">
        <v>0</v>
      </c>
      <c r="CW3402">
        <v>15525993</v>
      </c>
      <c r="CY3402">
        <v>1</v>
      </c>
      <c r="CZ3402">
        <v>0</v>
      </c>
      <c r="DA3402">
        <v>0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>"08/29/2020 06:21:43.941"</f>
        <v>08/29/2020 06:21:43.941</v>
      </c>
      <c r="C3403" t="str">
        <f t="shared" si="1462"/>
        <v>FFDFD3C0</v>
      </c>
      <c r="D3403" t="s">
        <v>113</v>
      </c>
      <c r="E3403">
        <v>5</v>
      </c>
      <c r="H3403">
        <v>163</v>
      </c>
      <c r="I3403" t="s">
        <v>114</v>
      </c>
      <c r="J3403" t="s">
        <v>115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"06:21:47.172"</f>
        <v>06:21:47.172</v>
      </c>
      <c r="T3403" t="str">
        <f>"06:21:46.772"</f>
        <v>06:21:46.772</v>
      </c>
      <c r="U3403" t="str">
        <f t="shared" si="1463"/>
        <v>A7E2E0</v>
      </c>
      <c r="V3403">
        <v>0</v>
      </c>
      <c r="W3403">
        <v>0</v>
      </c>
      <c r="X3403">
        <v>1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0</v>
      </c>
      <c r="AI3403" t="s">
        <v>1600</v>
      </c>
      <c r="AJ3403">
        <v>38.828881000000003</v>
      </c>
      <c r="AK3403" t="s">
        <v>1601</v>
      </c>
      <c r="AL3403">
        <v>-87.603735999999998</v>
      </c>
      <c r="AM3403">
        <v>100</v>
      </c>
      <c r="AN3403">
        <v>2000</v>
      </c>
      <c r="AO3403" t="s">
        <v>118</v>
      </c>
      <c r="AP3403">
        <v>2</v>
      </c>
      <c r="AQ3403">
        <v>-114</v>
      </c>
      <c r="AR3403">
        <v>-896</v>
      </c>
      <c r="AZ3403">
        <v>4552</v>
      </c>
      <c r="BA3403">
        <v>1</v>
      </c>
      <c r="BB3403" t="str">
        <f t="shared" si="1464"/>
        <v xml:space="preserve">N607SR  </v>
      </c>
      <c r="BC3403">
        <v>1</v>
      </c>
      <c r="BE3403">
        <v>0</v>
      </c>
      <c r="BF3403">
        <v>0</v>
      </c>
      <c r="BG3403">
        <v>0</v>
      </c>
      <c r="BH3403">
        <v>1800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>"06:21:47.176"</f>
        <v>06:21:47.176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6</v>
      </c>
      <c r="CP3403" t="s">
        <v>119</v>
      </c>
      <c r="CQ3403">
        <v>457</v>
      </c>
      <c r="CR3403">
        <v>0</v>
      </c>
      <c r="CW3403">
        <v>15525993</v>
      </c>
      <c r="CY3403">
        <v>1</v>
      </c>
      <c r="CZ3403">
        <v>0</v>
      </c>
      <c r="DA3403">
        <v>1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>"08/29/2020 06:21:43.941"</f>
        <v>08/29/2020 06:21:43.941</v>
      </c>
      <c r="C3404" t="str">
        <f t="shared" si="1462"/>
        <v>FFDFD3C0</v>
      </c>
      <c r="D3404" t="s">
        <v>128</v>
      </c>
      <c r="E3404">
        <v>5</v>
      </c>
      <c r="H3404">
        <v>241</v>
      </c>
      <c r="I3404" t="s">
        <v>129</v>
      </c>
      <c r="J3404" t="s">
        <v>130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"06:21:47.172"</f>
        <v>06:21:47.172</v>
      </c>
      <c r="T3404" t="str">
        <f>"06:21:46.772"</f>
        <v>06:21:46.772</v>
      </c>
      <c r="U3404" t="str">
        <f t="shared" si="1463"/>
        <v>A7E2E0</v>
      </c>
      <c r="V3404">
        <v>0</v>
      </c>
      <c r="W3404">
        <v>0</v>
      </c>
      <c r="X3404">
        <v>1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0</v>
      </c>
      <c r="AI3404" t="s">
        <v>1600</v>
      </c>
      <c r="AJ3404">
        <v>38.828881000000003</v>
      </c>
      <c r="AK3404" t="s">
        <v>1601</v>
      </c>
      <c r="AL3404">
        <v>-87.603735999999998</v>
      </c>
      <c r="AM3404">
        <v>100</v>
      </c>
      <c r="AN3404">
        <v>2000</v>
      </c>
      <c r="AO3404" t="s">
        <v>118</v>
      </c>
      <c r="AP3404">
        <v>2</v>
      </c>
      <c r="AQ3404">
        <v>-114</v>
      </c>
      <c r="AR3404">
        <v>-896</v>
      </c>
      <c r="AZ3404">
        <v>4552</v>
      </c>
      <c r="BA3404">
        <v>1</v>
      </c>
      <c r="BB3404" t="str">
        <f t="shared" si="1464"/>
        <v xml:space="preserve">N607SR  </v>
      </c>
      <c r="BC3404">
        <v>1</v>
      </c>
      <c r="BE3404">
        <v>0</v>
      </c>
      <c r="BF3404">
        <v>0</v>
      </c>
      <c r="BG3404">
        <v>0</v>
      </c>
      <c r="BH3404">
        <v>1800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>"06:21:47.176"</f>
        <v>06:21:47.176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6</v>
      </c>
      <c r="CP3404" t="s">
        <v>119</v>
      </c>
      <c r="CQ3404">
        <v>457</v>
      </c>
      <c r="CR3404">
        <v>0</v>
      </c>
      <c r="CW3404">
        <v>15525993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>"08/29/2020 06:21:43.941"</f>
        <v>08/29/2020 06:21:43.941</v>
      </c>
      <c r="C3405" t="str">
        <f t="shared" si="1462"/>
        <v>FFDFD3C0</v>
      </c>
      <c r="D3405" t="s">
        <v>121</v>
      </c>
      <c r="E3405">
        <v>13</v>
      </c>
      <c r="F3405">
        <v>1013</v>
      </c>
      <c r="G3405" t="s">
        <v>122</v>
      </c>
      <c r="J3405" t="s">
        <v>123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"06:21:47.172"</f>
        <v>06:21:47.172</v>
      </c>
      <c r="T3405" t="str">
        <f>"06:21:46.772"</f>
        <v>06:21:46.772</v>
      </c>
      <c r="U3405" t="str">
        <f t="shared" si="1463"/>
        <v>A7E2E0</v>
      </c>
      <c r="V3405">
        <v>0</v>
      </c>
      <c r="W3405">
        <v>0</v>
      </c>
      <c r="X3405">
        <v>1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0</v>
      </c>
      <c r="AI3405" t="s">
        <v>1600</v>
      </c>
      <c r="AJ3405">
        <v>38.828881000000003</v>
      </c>
      <c r="AK3405" t="s">
        <v>1601</v>
      </c>
      <c r="AL3405">
        <v>-87.603735999999998</v>
      </c>
      <c r="AM3405">
        <v>100</v>
      </c>
      <c r="AN3405">
        <v>2000</v>
      </c>
      <c r="AO3405" t="s">
        <v>118</v>
      </c>
      <c r="AP3405">
        <v>2</v>
      </c>
      <c r="AQ3405">
        <v>-114</v>
      </c>
      <c r="AR3405">
        <v>-896</v>
      </c>
      <c r="AZ3405">
        <v>4552</v>
      </c>
      <c r="BA3405">
        <v>1</v>
      </c>
      <c r="BB3405" t="str">
        <f t="shared" si="1464"/>
        <v xml:space="preserve">N607SR  </v>
      </c>
      <c r="BC3405">
        <v>1</v>
      </c>
      <c r="BE3405">
        <v>0</v>
      </c>
      <c r="BF3405">
        <v>0</v>
      </c>
      <c r="BG3405">
        <v>0</v>
      </c>
      <c r="BH3405">
        <v>1800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>"06:21:47.176"</f>
        <v>06:21:47.176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6</v>
      </c>
      <c r="CP3405" t="s">
        <v>119</v>
      </c>
      <c r="CQ3405">
        <v>457</v>
      </c>
      <c r="CR3405">
        <v>0</v>
      </c>
      <c r="CW3405">
        <v>15525993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>"08/29/2020 06:21:43.941"</f>
        <v>08/29/2020 06:21:43.941</v>
      </c>
      <c r="C3406" t="str">
        <f t="shared" si="1462"/>
        <v>FFDFD3C0</v>
      </c>
      <c r="D3406" t="s">
        <v>121</v>
      </c>
      <c r="E3406">
        <v>10</v>
      </c>
      <c r="F3406">
        <v>1010</v>
      </c>
      <c r="G3406" t="s">
        <v>114</v>
      </c>
      <c r="J3406" t="s">
        <v>123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"06:21:47.172"</f>
        <v>06:21:47.172</v>
      </c>
      <c r="T3406" t="str">
        <f>"06:21:46.772"</f>
        <v>06:21:46.772</v>
      </c>
      <c r="U3406" t="str">
        <f t="shared" si="1463"/>
        <v>A7E2E0</v>
      </c>
      <c r="V3406">
        <v>0</v>
      </c>
      <c r="W3406">
        <v>0</v>
      </c>
      <c r="X3406">
        <v>1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0</v>
      </c>
      <c r="AI3406" t="s">
        <v>1600</v>
      </c>
      <c r="AJ3406">
        <v>38.828881000000003</v>
      </c>
      <c r="AK3406" t="s">
        <v>1601</v>
      </c>
      <c r="AL3406">
        <v>-87.603735999999998</v>
      </c>
      <c r="AM3406">
        <v>100</v>
      </c>
      <c r="AN3406">
        <v>2000</v>
      </c>
      <c r="AO3406" t="s">
        <v>118</v>
      </c>
      <c r="AP3406">
        <v>2</v>
      </c>
      <c r="AQ3406">
        <v>-114</v>
      </c>
      <c r="AR3406">
        <v>-896</v>
      </c>
      <c r="AZ3406">
        <v>4552</v>
      </c>
      <c r="BA3406">
        <v>1</v>
      </c>
      <c r="BB3406" t="str">
        <f t="shared" si="1464"/>
        <v xml:space="preserve">N607SR  </v>
      </c>
      <c r="BC3406">
        <v>1</v>
      </c>
      <c r="BE3406">
        <v>0</v>
      </c>
      <c r="BF3406">
        <v>0</v>
      </c>
      <c r="BG3406">
        <v>0</v>
      </c>
      <c r="BH3406">
        <v>1800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>"06:21:47.176"</f>
        <v>06:21:47.176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6</v>
      </c>
      <c r="CP3406" t="s">
        <v>119</v>
      </c>
      <c r="CQ3406">
        <v>457</v>
      </c>
      <c r="CR3406">
        <v>0</v>
      </c>
      <c r="CW3406">
        <v>15525993</v>
      </c>
      <c r="CY3406">
        <v>1</v>
      </c>
      <c r="CZ3406">
        <v>0</v>
      </c>
      <c r="DA3406">
        <v>1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 t="shared" ref="A3407:A3412" si="1469">"08/29/2020 06:21:45.021"</f>
        <v>08/29/2020 06:21:45.021</v>
      </c>
      <c r="C3407" t="str">
        <f t="shared" si="1462"/>
        <v>FFDFD3C0</v>
      </c>
      <c r="D3407" t="s">
        <v>113</v>
      </c>
      <c r="E3407">
        <v>5</v>
      </c>
      <c r="H3407">
        <v>163</v>
      </c>
      <c r="I3407" t="s">
        <v>114</v>
      </c>
      <c r="J3407" t="s">
        <v>115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ref="S3407:S3412" si="1470">"06:21:48.242"</f>
        <v>06:21:48.242</v>
      </c>
      <c r="T3407" t="str">
        <f t="shared" ref="T3407:T3412" si="1471">"06:21:47.842"</f>
        <v>06:21:47.842</v>
      </c>
      <c r="U3407" t="str">
        <f t="shared" si="1463"/>
        <v>A7E2E0</v>
      </c>
      <c r="V3407">
        <v>0</v>
      </c>
      <c r="W3407">
        <v>0</v>
      </c>
      <c r="X3407">
        <v>1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0</v>
      </c>
      <c r="AI3407" t="s">
        <v>1602</v>
      </c>
      <c r="AJ3407">
        <v>38.828279999999999</v>
      </c>
      <c r="AK3407" t="s">
        <v>1603</v>
      </c>
      <c r="AL3407">
        <v>-87.603693000000007</v>
      </c>
      <c r="AM3407">
        <v>100</v>
      </c>
      <c r="AN3407">
        <v>2000</v>
      </c>
      <c r="AO3407" t="s">
        <v>118</v>
      </c>
      <c r="AP3407">
        <v>2</v>
      </c>
      <c r="AQ3407">
        <v>-115</v>
      </c>
      <c r="AR3407">
        <v>-960</v>
      </c>
      <c r="AZ3407">
        <v>4552</v>
      </c>
      <c r="BA3407">
        <v>1</v>
      </c>
      <c r="BB3407" t="str">
        <f t="shared" si="1464"/>
        <v xml:space="preserve">N607SR  </v>
      </c>
      <c r="BC3407">
        <v>1</v>
      </c>
      <c r="BE3407">
        <v>0</v>
      </c>
      <c r="BF3407">
        <v>0</v>
      </c>
      <c r="BG3407">
        <v>0</v>
      </c>
      <c r="BH3407">
        <v>1775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 t="shared" ref="BW3407:BW3412" si="1472">"06:21:48.243"</f>
        <v>06:21:48.243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7</v>
      </c>
      <c r="CP3407" t="s">
        <v>119</v>
      </c>
      <c r="CQ3407">
        <v>457</v>
      </c>
      <c r="CR3407">
        <v>0</v>
      </c>
      <c r="CW3407">
        <v>15526026</v>
      </c>
      <c r="CY3407">
        <v>1</v>
      </c>
      <c r="CZ3407">
        <v>0</v>
      </c>
      <c r="DA3407">
        <v>0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 t="shared" si="1469"/>
        <v>08/29/2020 06:21:45.021</v>
      </c>
      <c r="C3408" t="str">
        <f t="shared" si="1462"/>
        <v>FFDFD3C0</v>
      </c>
      <c r="D3408" t="s">
        <v>128</v>
      </c>
      <c r="E3408">
        <v>5</v>
      </c>
      <c r="H3408">
        <v>241</v>
      </c>
      <c r="I3408" t="s">
        <v>129</v>
      </c>
      <c r="J3408" t="s">
        <v>130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470"/>
        <v>06:21:48.242</v>
      </c>
      <c r="T3408" t="str">
        <f t="shared" si="1471"/>
        <v>06:21:47.842</v>
      </c>
      <c r="U3408" t="str">
        <f t="shared" si="1463"/>
        <v>A7E2E0</v>
      </c>
      <c r="V3408">
        <v>0</v>
      </c>
      <c r="W3408">
        <v>0</v>
      </c>
      <c r="X3408">
        <v>1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0</v>
      </c>
      <c r="AI3408" t="s">
        <v>1602</v>
      </c>
      <c r="AJ3408">
        <v>38.828279999999999</v>
      </c>
      <c r="AK3408" t="s">
        <v>1603</v>
      </c>
      <c r="AL3408">
        <v>-87.603693000000007</v>
      </c>
      <c r="AM3408">
        <v>100</v>
      </c>
      <c r="AN3408">
        <v>2000</v>
      </c>
      <c r="AO3408" t="s">
        <v>118</v>
      </c>
      <c r="AP3408">
        <v>2</v>
      </c>
      <c r="AQ3408">
        <v>-115</v>
      </c>
      <c r="AR3408">
        <v>-960</v>
      </c>
      <c r="AZ3408">
        <v>4552</v>
      </c>
      <c r="BA3408">
        <v>1</v>
      </c>
      <c r="BB3408" t="str">
        <f t="shared" si="1464"/>
        <v xml:space="preserve">N607SR  </v>
      </c>
      <c r="BC3408">
        <v>1</v>
      </c>
      <c r="BE3408">
        <v>0</v>
      </c>
      <c r="BF3408">
        <v>0</v>
      </c>
      <c r="BG3408">
        <v>0</v>
      </c>
      <c r="BH3408">
        <v>1775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 t="shared" si="1472"/>
        <v>06:21:48.243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7</v>
      </c>
      <c r="CP3408" t="s">
        <v>119</v>
      </c>
      <c r="CQ3408">
        <v>457</v>
      </c>
      <c r="CR3408">
        <v>0</v>
      </c>
      <c r="CW3408">
        <v>15526026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 t="shared" si="1469"/>
        <v>08/29/2020 06:21:45.021</v>
      </c>
      <c r="C3409" t="str">
        <f t="shared" si="1462"/>
        <v>FFDFD3C0</v>
      </c>
      <c r="D3409" t="s">
        <v>121</v>
      </c>
      <c r="E3409">
        <v>13</v>
      </c>
      <c r="F3409">
        <v>1013</v>
      </c>
      <c r="G3409" t="s">
        <v>122</v>
      </c>
      <c r="J3409" t="s">
        <v>123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470"/>
        <v>06:21:48.242</v>
      </c>
      <c r="T3409" t="str">
        <f t="shared" si="1471"/>
        <v>06:21:47.842</v>
      </c>
      <c r="U3409" t="str">
        <f t="shared" si="1463"/>
        <v>A7E2E0</v>
      </c>
      <c r="V3409">
        <v>0</v>
      </c>
      <c r="W3409">
        <v>0</v>
      </c>
      <c r="X3409">
        <v>1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0</v>
      </c>
      <c r="AI3409" t="s">
        <v>1602</v>
      </c>
      <c r="AJ3409">
        <v>38.828279999999999</v>
      </c>
      <c r="AK3409" t="s">
        <v>1603</v>
      </c>
      <c r="AL3409">
        <v>-87.603693000000007</v>
      </c>
      <c r="AM3409">
        <v>100</v>
      </c>
      <c r="AN3409">
        <v>2000</v>
      </c>
      <c r="AO3409" t="s">
        <v>118</v>
      </c>
      <c r="AP3409">
        <v>2</v>
      </c>
      <c r="AQ3409">
        <v>-115</v>
      </c>
      <c r="AR3409">
        <v>-960</v>
      </c>
      <c r="AZ3409">
        <v>4552</v>
      </c>
      <c r="BA3409">
        <v>1</v>
      </c>
      <c r="BB3409" t="str">
        <f t="shared" si="1464"/>
        <v xml:space="preserve">N607SR  </v>
      </c>
      <c r="BC3409">
        <v>1</v>
      </c>
      <c r="BE3409">
        <v>0</v>
      </c>
      <c r="BF3409">
        <v>0</v>
      </c>
      <c r="BG3409">
        <v>0</v>
      </c>
      <c r="BH3409">
        <v>1775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 t="shared" si="1472"/>
        <v>06:21:48.243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7</v>
      </c>
      <c r="CP3409" t="s">
        <v>119</v>
      </c>
      <c r="CQ3409">
        <v>457</v>
      </c>
      <c r="CR3409">
        <v>0</v>
      </c>
      <c r="CW3409">
        <v>15526026</v>
      </c>
      <c r="CY3409">
        <v>1</v>
      </c>
      <c r="CZ3409">
        <v>0</v>
      </c>
      <c r="DA3409">
        <v>1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 t="shared" si="1469"/>
        <v>08/29/2020 06:21:45.021</v>
      </c>
      <c r="C3410" t="str">
        <f t="shared" si="1462"/>
        <v>FFDFD3C0</v>
      </c>
      <c r="D3410" t="s">
        <v>121</v>
      </c>
      <c r="E3410">
        <v>10</v>
      </c>
      <c r="F3410">
        <v>1010</v>
      </c>
      <c r="G3410" t="s">
        <v>114</v>
      </c>
      <c r="J3410" t="s">
        <v>123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si="1470"/>
        <v>06:21:48.242</v>
      </c>
      <c r="T3410" t="str">
        <f t="shared" si="1471"/>
        <v>06:21:47.842</v>
      </c>
      <c r="U3410" t="str">
        <f t="shared" si="1463"/>
        <v>A7E2E0</v>
      </c>
      <c r="V3410">
        <v>0</v>
      </c>
      <c r="W3410">
        <v>0</v>
      </c>
      <c r="X3410">
        <v>1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0</v>
      </c>
      <c r="AI3410" t="s">
        <v>1602</v>
      </c>
      <c r="AJ3410">
        <v>38.828279999999999</v>
      </c>
      <c r="AK3410" t="s">
        <v>1603</v>
      </c>
      <c r="AL3410">
        <v>-87.603693000000007</v>
      </c>
      <c r="AM3410">
        <v>100</v>
      </c>
      <c r="AN3410">
        <v>2000</v>
      </c>
      <c r="AO3410" t="s">
        <v>118</v>
      </c>
      <c r="AP3410">
        <v>2</v>
      </c>
      <c r="AQ3410">
        <v>-115</v>
      </c>
      <c r="AR3410">
        <v>-960</v>
      </c>
      <c r="AZ3410">
        <v>4552</v>
      </c>
      <c r="BA3410">
        <v>1</v>
      </c>
      <c r="BB3410" t="str">
        <f t="shared" si="1464"/>
        <v xml:space="preserve">N607SR  </v>
      </c>
      <c r="BC3410">
        <v>1</v>
      </c>
      <c r="BE3410">
        <v>0</v>
      </c>
      <c r="BF3410">
        <v>0</v>
      </c>
      <c r="BG3410">
        <v>0</v>
      </c>
      <c r="BH3410">
        <v>1775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 t="shared" si="1472"/>
        <v>06:21:48.243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7</v>
      </c>
      <c r="CP3410" t="s">
        <v>119</v>
      </c>
      <c r="CQ3410">
        <v>457</v>
      </c>
      <c r="CR3410">
        <v>0</v>
      </c>
      <c r="CW3410">
        <v>15526026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 t="shared" si="1469"/>
        <v>08/29/2020 06:21:45.021</v>
      </c>
      <c r="C3411" t="str">
        <f t="shared" si="1462"/>
        <v>FFDFD3C0</v>
      </c>
      <c r="D3411" t="s">
        <v>939</v>
      </c>
      <c r="E3411">
        <v>10</v>
      </c>
      <c r="H3411">
        <v>79</v>
      </c>
      <c r="I3411" t="s">
        <v>940</v>
      </c>
      <c r="J3411" t="s">
        <v>130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470"/>
        <v>06:21:48.242</v>
      </c>
      <c r="T3411" t="str">
        <f t="shared" si="1471"/>
        <v>06:21:47.842</v>
      </c>
      <c r="U3411" t="str">
        <f t="shared" si="1463"/>
        <v>A7E2E0</v>
      </c>
      <c r="V3411">
        <v>0</v>
      </c>
      <c r="W3411">
        <v>0</v>
      </c>
      <c r="X3411">
        <v>1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0</v>
      </c>
      <c r="AI3411" t="s">
        <v>1602</v>
      </c>
      <c r="AJ3411">
        <v>38.828279999999999</v>
      </c>
      <c r="AK3411" t="s">
        <v>1603</v>
      </c>
      <c r="AL3411">
        <v>-87.603693000000007</v>
      </c>
      <c r="AM3411">
        <v>100</v>
      </c>
      <c r="AN3411">
        <v>2000</v>
      </c>
      <c r="AO3411" t="s">
        <v>118</v>
      </c>
      <c r="AP3411">
        <v>2</v>
      </c>
      <c r="AQ3411">
        <v>-115</v>
      </c>
      <c r="AR3411">
        <v>-960</v>
      </c>
      <c r="AZ3411">
        <v>4552</v>
      </c>
      <c r="BA3411">
        <v>1</v>
      </c>
      <c r="BB3411" t="str">
        <f t="shared" si="1464"/>
        <v xml:space="preserve">N607SR  </v>
      </c>
      <c r="BC3411">
        <v>1</v>
      </c>
      <c r="BE3411">
        <v>0</v>
      </c>
      <c r="BF3411">
        <v>0</v>
      </c>
      <c r="BG3411">
        <v>0</v>
      </c>
      <c r="BH3411">
        <v>1775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 t="shared" si="1472"/>
        <v>06:21:48.243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4</v>
      </c>
      <c r="CP3411" t="s">
        <v>119</v>
      </c>
      <c r="CQ3411">
        <v>465</v>
      </c>
      <c r="CR3411">
        <v>0</v>
      </c>
      <c r="CW3411">
        <v>4730820</v>
      </c>
      <c r="CY3411">
        <v>1</v>
      </c>
      <c r="CZ3411">
        <v>0</v>
      </c>
      <c r="DA3411">
        <v>1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 t="shared" si="1469"/>
        <v>08/29/2020 06:21:45.021</v>
      </c>
      <c r="C3412" t="str">
        <f t="shared" si="1462"/>
        <v>FFDFD3C0</v>
      </c>
      <c r="D3412" t="s">
        <v>121</v>
      </c>
      <c r="E3412">
        <v>11</v>
      </c>
      <c r="F3412">
        <v>1011</v>
      </c>
      <c r="G3412" t="s">
        <v>125</v>
      </c>
      <c r="J3412" t="s">
        <v>123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470"/>
        <v>06:21:48.242</v>
      </c>
      <c r="T3412" t="str">
        <f t="shared" si="1471"/>
        <v>06:21:47.842</v>
      </c>
      <c r="U3412" t="str">
        <f t="shared" si="1463"/>
        <v>A7E2E0</v>
      </c>
      <c r="V3412">
        <v>0</v>
      </c>
      <c r="W3412">
        <v>0</v>
      </c>
      <c r="X3412">
        <v>1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0</v>
      </c>
      <c r="AI3412" t="s">
        <v>1602</v>
      </c>
      <c r="AJ3412">
        <v>38.828279999999999</v>
      </c>
      <c r="AK3412" t="s">
        <v>1603</v>
      </c>
      <c r="AL3412">
        <v>-87.603693000000007</v>
      </c>
      <c r="AM3412">
        <v>100</v>
      </c>
      <c r="AN3412">
        <v>2000</v>
      </c>
      <c r="AO3412" t="s">
        <v>118</v>
      </c>
      <c r="AP3412">
        <v>2</v>
      </c>
      <c r="AQ3412">
        <v>-115</v>
      </c>
      <c r="AR3412">
        <v>-960</v>
      </c>
      <c r="AZ3412">
        <v>4552</v>
      </c>
      <c r="BA3412">
        <v>1</v>
      </c>
      <c r="BB3412" t="str">
        <f t="shared" si="1464"/>
        <v xml:space="preserve">N607SR  </v>
      </c>
      <c r="BC3412">
        <v>1</v>
      </c>
      <c r="BE3412">
        <v>0</v>
      </c>
      <c r="BF3412">
        <v>0</v>
      </c>
      <c r="BG3412">
        <v>0</v>
      </c>
      <c r="BH3412">
        <v>1775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 t="shared" si="1472"/>
        <v>06:21:48.243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7</v>
      </c>
      <c r="CP3412" t="s">
        <v>119</v>
      </c>
      <c r="CQ3412">
        <v>457</v>
      </c>
      <c r="CR3412">
        <v>0</v>
      </c>
      <c r="CW3412">
        <v>15526026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 t="shared" ref="A3413:A3418" si="1473">"08/29/2020 06:21:45.883"</f>
        <v>08/29/2020 06:21:45.883</v>
      </c>
      <c r="C3413" t="str">
        <f t="shared" si="1462"/>
        <v>FFDFD3C0</v>
      </c>
      <c r="D3413" t="s">
        <v>113</v>
      </c>
      <c r="E3413">
        <v>5</v>
      </c>
      <c r="H3413">
        <v>163</v>
      </c>
      <c r="I3413" t="s">
        <v>114</v>
      </c>
      <c r="J3413" t="s">
        <v>115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ref="S3413:S3418" si="1474">"06:21:49.078"</f>
        <v>06:21:49.078</v>
      </c>
      <c r="U3413" t="str">
        <f t="shared" si="1463"/>
        <v>A7E2E0</v>
      </c>
      <c r="V3413">
        <v>0</v>
      </c>
      <c r="W3413">
        <v>0</v>
      </c>
      <c r="X3413">
        <v>1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0</v>
      </c>
      <c r="AI3413" t="s">
        <v>1604</v>
      </c>
      <c r="AJ3413">
        <v>38.827871999999999</v>
      </c>
      <c r="AK3413" t="s">
        <v>1603</v>
      </c>
      <c r="AL3413">
        <v>-87.603693000000007</v>
      </c>
      <c r="AM3413">
        <v>100</v>
      </c>
      <c r="AN3413">
        <v>2000</v>
      </c>
      <c r="AO3413" t="s">
        <v>118</v>
      </c>
      <c r="AP3413">
        <v>3</v>
      </c>
      <c r="AQ3413">
        <v>-115</v>
      </c>
      <c r="AR3413">
        <v>-960</v>
      </c>
      <c r="AZ3413">
        <v>4552</v>
      </c>
      <c r="BA3413">
        <v>1</v>
      </c>
      <c r="BB3413" t="str">
        <f t="shared" si="1464"/>
        <v xml:space="preserve">N607SR  </v>
      </c>
      <c r="BC3413">
        <v>1</v>
      </c>
      <c r="BE3413">
        <v>0</v>
      </c>
      <c r="BF3413">
        <v>0</v>
      </c>
      <c r="BG3413">
        <v>0</v>
      </c>
      <c r="BH3413">
        <v>1750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 t="shared" ref="BW3413:BW3418" si="1475">"06:21:49.080"</f>
        <v>06:21:49.080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7</v>
      </c>
      <c r="CP3413" t="s">
        <v>119</v>
      </c>
      <c r="CQ3413">
        <v>457</v>
      </c>
      <c r="CR3413">
        <v>0</v>
      </c>
      <c r="CW3413">
        <v>15526051</v>
      </c>
      <c r="CY3413">
        <v>1</v>
      </c>
      <c r="CZ3413">
        <v>0</v>
      </c>
      <c r="DA3413">
        <v>0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 t="shared" si="1473"/>
        <v>08/29/2020 06:21:45.883</v>
      </c>
      <c r="C3414" t="str">
        <f t="shared" si="1462"/>
        <v>FFDFD3C0</v>
      </c>
      <c r="D3414" t="s">
        <v>128</v>
      </c>
      <c r="E3414">
        <v>5</v>
      </c>
      <c r="H3414">
        <v>241</v>
      </c>
      <c r="I3414" t="s">
        <v>129</v>
      </c>
      <c r="J3414" t="s">
        <v>130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474"/>
        <v>06:21:49.078</v>
      </c>
      <c r="U3414" t="str">
        <f t="shared" si="1463"/>
        <v>A7E2E0</v>
      </c>
      <c r="V3414">
        <v>0</v>
      </c>
      <c r="W3414">
        <v>0</v>
      </c>
      <c r="X3414">
        <v>1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0</v>
      </c>
      <c r="AI3414" t="s">
        <v>1604</v>
      </c>
      <c r="AJ3414">
        <v>38.827871999999999</v>
      </c>
      <c r="AK3414" t="s">
        <v>1603</v>
      </c>
      <c r="AL3414">
        <v>-87.603693000000007</v>
      </c>
      <c r="AM3414">
        <v>100</v>
      </c>
      <c r="AN3414">
        <v>2000</v>
      </c>
      <c r="AO3414" t="s">
        <v>118</v>
      </c>
      <c r="AP3414">
        <v>3</v>
      </c>
      <c r="AQ3414">
        <v>-115</v>
      </c>
      <c r="AR3414">
        <v>-960</v>
      </c>
      <c r="AZ3414">
        <v>4552</v>
      </c>
      <c r="BA3414">
        <v>1</v>
      </c>
      <c r="BB3414" t="str">
        <f t="shared" si="1464"/>
        <v xml:space="preserve">N607SR  </v>
      </c>
      <c r="BC3414">
        <v>1</v>
      </c>
      <c r="BE3414">
        <v>0</v>
      </c>
      <c r="BF3414">
        <v>0</v>
      </c>
      <c r="BG3414">
        <v>0</v>
      </c>
      <c r="BH3414">
        <v>1750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 t="shared" si="1475"/>
        <v>06:21:49.080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7</v>
      </c>
      <c r="CP3414" t="s">
        <v>119</v>
      </c>
      <c r="CQ3414">
        <v>457</v>
      </c>
      <c r="CR3414">
        <v>0</v>
      </c>
      <c r="CW3414">
        <v>15526051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 t="shared" si="1473"/>
        <v>08/29/2020 06:21:45.883</v>
      </c>
      <c r="C3415" t="str">
        <f t="shared" si="1462"/>
        <v>FFDFD3C0</v>
      </c>
      <c r="D3415" t="s">
        <v>121</v>
      </c>
      <c r="E3415">
        <v>13</v>
      </c>
      <c r="F3415">
        <v>1013</v>
      </c>
      <c r="G3415" t="s">
        <v>122</v>
      </c>
      <c r="J3415" t="s">
        <v>123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474"/>
        <v>06:21:49.078</v>
      </c>
      <c r="U3415" t="str">
        <f t="shared" si="1463"/>
        <v>A7E2E0</v>
      </c>
      <c r="V3415">
        <v>0</v>
      </c>
      <c r="W3415">
        <v>0</v>
      </c>
      <c r="X3415">
        <v>1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0</v>
      </c>
      <c r="AI3415" t="s">
        <v>1604</v>
      </c>
      <c r="AJ3415">
        <v>38.827871999999999</v>
      </c>
      <c r="AK3415" t="s">
        <v>1603</v>
      </c>
      <c r="AL3415">
        <v>-87.603693000000007</v>
      </c>
      <c r="AM3415">
        <v>100</v>
      </c>
      <c r="AN3415">
        <v>2000</v>
      </c>
      <c r="AO3415" t="s">
        <v>118</v>
      </c>
      <c r="AP3415">
        <v>3</v>
      </c>
      <c r="AQ3415">
        <v>-115</v>
      </c>
      <c r="AR3415">
        <v>-960</v>
      </c>
      <c r="AZ3415">
        <v>4552</v>
      </c>
      <c r="BA3415">
        <v>1</v>
      </c>
      <c r="BB3415" t="str">
        <f t="shared" si="1464"/>
        <v xml:space="preserve">N607SR  </v>
      </c>
      <c r="BC3415">
        <v>1</v>
      </c>
      <c r="BE3415">
        <v>0</v>
      </c>
      <c r="BF3415">
        <v>0</v>
      </c>
      <c r="BG3415">
        <v>0</v>
      </c>
      <c r="BH3415">
        <v>1750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 t="shared" si="1475"/>
        <v>06:21:49.080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7</v>
      </c>
      <c r="CP3415" t="s">
        <v>119</v>
      </c>
      <c r="CQ3415">
        <v>457</v>
      </c>
      <c r="CR3415">
        <v>0</v>
      </c>
      <c r="CW3415">
        <v>15526051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 t="shared" si="1473"/>
        <v>08/29/2020 06:21:45.883</v>
      </c>
      <c r="C3416" t="str">
        <f t="shared" si="1462"/>
        <v>FFDFD3C0</v>
      </c>
      <c r="D3416" t="s">
        <v>121</v>
      </c>
      <c r="E3416">
        <v>10</v>
      </c>
      <c r="F3416">
        <v>1010</v>
      </c>
      <c r="G3416" t="s">
        <v>114</v>
      </c>
      <c r="J3416" t="s">
        <v>123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474"/>
        <v>06:21:49.078</v>
      </c>
      <c r="U3416" t="str">
        <f t="shared" si="1463"/>
        <v>A7E2E0</v>
      </c>
      <c r="V3416">
        <v>0</v>
      </c>
      <c r="W3416">
        <v>0</v>
      </c>
      <c r="X3416">
        <v>1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0</v>
      </c>
      <c r="AI3416" t="s">
        <v>1604</v>
      </c>
      <c r="AJ3416">
        <v>38.827871999999999</v>
      </c>
      <c r="AK3416" t="s">
        <v>1603</v>
      </c>
      <c r="AL3416">
        <v>-87.603693000000007</v>
      </c>
      <c r="AM3416">
        <v>100</v>
      </c>
      <c r="AN3416">
        <v>2000</v>
      </c>
      <c r="AO3416" t="s">
        <v>118</v>
      </c>
      <c r="AP3416">
        <v>3</v>
      </c>
      <c r="AQ3416">
        <v>-115</v>
      </c>
      <c r="AR3416">
        <v>-960</v>
      </c>
      <c r="AZ3416">
        <v>4552</v>
      </c>
      <c r="BA3416">
        <v>1</v>
      </c>
      <c r="BB3416" t="str">
        <f t="shared" si="1464"/>
        <v xml:space="preserve">N607SR  </v>
      </c>
      <c r="BC3416">
        <v>1</v>
      </c>
      <c r="BE3416">
        <v>0</v>
      </c>
      <c r="BF3416">
        <v>0</v>
      </c>
      <c r="BG3416">
        <v>0</v>
      </c>
      <c r="BH3416">
        <v>1750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 t="shared" si="1475"/>
        <v>06:21:49.080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7</v>
      </c>
      <c r="CP3416" t="s">
        <v>119</v>
      </c>
      <c r="CQ3416">
        <v>457</v>
      </c>
      <c r="CR3416">
        <v>0</v>
      </c>
      <c r="CW3416">
        <v>15526051</v>
      </c>
      <c r="CY3416">
        <v>1</v>
      </c>
      <c r="CZ3416">
        <v>0</v>
      </c>
      <c r="DA3416">
        <v>1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 t="shared" si="1473"/>
        <v>08/29/2020 06:21:45.883</v>
      </c>
      <c r="C3417" t="str">
        <f t="shared" si="1462"/>
        <v>FFDFD3C0</v>
      </c>
      <c r="D3417" t="s">
        <v>939</v>
      </c>
      <c r="E3417">
        <v>10</v>
      </c>
      <c r="H3417">
        <v>79</v>
      </c>
      <c r="I3417" t="s">
        <v>940</v>
      </c>
      <c r="J3417" t="s">
        <v>130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474"/>
        <v>06:21:49.078</v>
      </c>
      <c r="T3417" t="str">
        <f>"06:21:48.678"</f>
        <v>06:21:48.678</v>
      </c>
      <c r="U3417" t="str">
        <f t="shared" si="1463"/>
        <v>A7E2E0</v>
      </c>
      <c r="V3417">
        <v>0</v>
      </c>
      <c r="W3417">
        <v>0</v>
      </c>
      <c r="X3417">
        <v>1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0</v>
      </c>
      <c r="AI3417" t="s">
        <v>1604</v>
      </c>
      <c r="AJ3417">
        <v>38.827871999999999</v>
      </c>
      <c r="AK3417" t="s">
        <v>1603</v>
      </c>
      <c r="AL3417">
        <v>-87.603693000000007</v>
      </c>
      <c r="AM3417">
        <v>100</v>
      </c>
      <c r="AN3417">
        <v>2000</v>
      </c>
      <c r="AO3417" t="s">
        <v>118</v>
      </c>
      <c r="AP3417">
        <v>2</v>
      </c>
      <c r="AQ3417">
        <v>-115</v>
      </c>
      <c r="AR3417">
        <v>-960</v>
      </c>
      <c r="AZ3417">
        <v>4552</v>
      </c>
      <c r="BA3417">
        <v>1</v>
      </c>
      <c r="BB3417" t="str">
        <f t="shared" si="1464"/>
        <v xml:space="preserve">N607SR  </v>
      </c>
      <c r="BC3417">
        <v>1</v>
      </c>
      <c r="BE3417">
        <v>0</v>
      </c>
      <c r="BF3417">
        <v>0</v>
      </c>
      <c r="BG3417">
        <v>0</v>
      </c>
      <c r="BH3417">
        <v>1750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 t="shared" si="1475"/>
        <v>06:21:49.080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5</v>
      </c>
      <c r="CP3417" t="s">
        <v>119</v>
      </c>
      <c r="CQ3417">
        <v>465</v>
      </c>
      <c r="CR3417">
        <v>0</v>
      </c>
      <c r="CW3417">
        <v>4730846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 t="shared" si="1473"/>
        <v>08/29/2020 06:21:45.883</v>
      </c>
      <c r="C3418" t="str">
        <f t="shared" si="1462"/>
        <v>FFDFD3C0</v>
      </c>
      <c r="D3418" t="s">
        <v>121</v>
      </c>
      <c r="E3418">
        <v>11</v>
      </c>
      <c r="F3418">
        <v>1011</v>
      </c>
      <c r="G3418" t="s">
        <v>125</v>
      </c>
      <c r="J3418" t="s">
        <v>123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474"/>
        <v>06:21:49.078</v>
      </c>
      <c r="U3418" t="str">
        <f t="shared" si="1463"/>
        <v>A7E2E0</v>
      </c>
      <c r="V3418">
        <v>0</v>
      </c>
      <c r="W3418">
        <v>0</v>
      </c>
      <c r="X3418">
        <v>1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0</v>
      </c>
      <c r="AI3418" t="s">
        <v>1604</v>
      </c>
      <c r="AJ3418">
        <v>38.827871999999999</v>
      </c>
      <c r="AK3418" t="s">
        <v>1603</v>
      </c>
      <c r="AL3418">
        <v>-87.603693000000007</v>
      </c>
      <c r="AM3418">
        <v>100</v>
      </c>
      <c r="AN3418">
        <v>2000</v>
      </c>
      <c r="AO3418" t="s">
        <v>118</v>
      </c>
      <c r="AP3418">
        <v>3</v>
      </c>
      <c r="AQ3418">
        <v>-115</v>
      </c>
      <c r="AR3418">
        <v>-960</v>
      </c>
      <c r="AZ3418">
        <v>4552</v>
      </c>
      <c r="BA3418">
        <v>1</v>
      </c>
      <c r="BB3418" t="str">
        <f t="shared" si="1464"/>
        <v xml:space="preserve">N607SR  </v>
      </c>
      <c r="BC3418">
        <v>1</v>
      </c>
      <c r="BE3418">
        <v>0</v>
      </c>
      <c r="BF3418">
        <v>0</v>
      </c>
      <c r="BG3418">
        <v>0</v>
      </c>
      <c r="BH3418">
        <v>1750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 t="shared" si="1475"/>
        <v>06:21:49.080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7</v>
      </c>
      <c r="CP3418" t="s">
        <v>119</v>
      </c>
      <c r="CQ3418">
        <v>457</v>
      </c>
      <c r="CR3418">
        <v>0</v>
      </c>
      <c r="CW3418">
        <v>15526051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>"08/29/2020 06:21:46.715"</f>
        <v>08/29/2020 06:21:46.715</v>
      </c>
      <c r="C3419" t="str">
        <f t="shared" si="1462"/>
        <v>FFDFD3C0</v>
      </c>
      <c r="D3419" t="s">
        <v>121</v>
      </c>
      <c r="E3419">
        <v>10</v>
      </c>
      <c r="F3419">
        <v>1010</v>
      </c>
      <c r="G3419" t="s">
        <v>114</v>
      </c>
      <c r="J3419" t="s">
        <v>123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"06:21:49.922"</f>
        <v>06:21:49.922</v>
      </c>
      <c r="T3419" t="str">
        <f>"06:21:49.522"</f>
        <v>06:21:49.522</v>
      </c>
      <c r="U3419" t="str">
        <f t="shared" si="1463"/>
        <v>A7E2E0</v>
      </c>
      <c r="V3419">
        <v>0</v>
      </c>
      <c r="W3419">
        <v>0</v>
      </c>
      <c r="X3419">
        <v>1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0</v>
      </c>
      <c r="AI3419" t="s">
        <v>1605</v>
      </c>
      <c r="AJ3419">
        <v>38.827421999999999</v>
      </c>
      <c r="AK3419" t="s">
        <v>1601</v>
      </c>
      <c r="AL3419">
        <v>-87.603735999999998</v>
      </c>
      <c r="AM3419">
        <v>100</v>
      </c>
      <c r="AN3419">
        <v>2000</v>
      </c>
      <c r="AO3419" t="s">
        <v>118</v>
      </c>
      <c r="AP3419">
        <v>3</v>
      </c>
      <c r="AQ3419">
        <v>-115</v>
      </c>
      <c r="AR3419">
        <v>-960</v>
      </c>
      <c r="AZ3419">
        <v>4552</v>
      </c>
      <c r="BA3419">
        <v>1</v>
      </c>
      <c r="BB3419" t="str">
        <f t="shared" si="1464"/>
        <v xml:space="preserve">N607SR  </v>
      </c>
      <c r="BC3419">
        <v>1</v>
      </c>
      <c r="BE3419">
        <v>0</v>
      </c>
      <c r="BF3419">
        <v>0</v>
      </c>
      <c r="BG3419">
        <v>0</v>
      </c>
      <c r="BH3419">
        <v>1750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>"06:21:49.923"</f>
        <v>06:21:49.923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6</v>
      </c>
      <c r="CP3419" t="s">
        <v>119</v>
      </c>
      <c r="CQ3419">
        <v>457</v>
      </c>
      <c r="CR3419">
        <v>0</v>
      </c>
      <c r="CW3419">
        <v>15526076</v>
      </c>
      <c r="CY3419">
        <v>1</v>
      </c>
      <c r="CZ3419">
        <v>0</v>
      </c>
      <c r="DA3419">
        <v>0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>"08/29/2020 06:21:46.715"</f>
        <v>08/29/2020 06:21:46.715</v>
      </c>
      <c r="C3420" t="str">
        <f t="shared" si="1462"/>
        <v>FFDFD3C0</v>
      </c>
      <c r="D3420" t="s">
        <v>121</v>
      </c>
      <c r="E3420">
        <v>11</v>
      </c>
      <c r="F3420">
        <v>1011</v>
      </c>
      <c r="G3420" t="s">
        <v>125</v>
      </c>
      <c r="J3420" t="s">
        <v>123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"06:21:49.922"</f>
        <v>06:21:49.922</v>
      </c>
      <c r="T3420" t="str">
        <f>"06:21:49.522"</f>
        <v>06:21:49.522</v>
      </c>
      <c r="U3420" t="str">
        <f t="shared" si="1463"/>
        <v>A7E2E0</v>
      </c>
      <c r="V3420">
        <v>0</v>
      </c>
      <c r="W3420">
        <v>0</v>
      </c>
      <c r="X3420">
        <v>1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0</v>
      </c>
      <c r="AI3420" t="s">
        <v>1605</v>
      </c>
      <c r="AJ3420">
        <v>38.827421999999999</v>
      </c>
      <c r="AK3420" t="s">
        <v>1601</v>
      </c>
      <c r="AL3420">
        <v>-87.603735999999998</v>
      </c>
      <c r="AM3420">
        <v>100</v>
      </c>
      <c r="AN3420">
        <v>2000</v>
      </c>
      <c r="AO3420" t="s">
        <v>118</v>
      </c>
      <c r="AP3420">
        <v>3</v>
      </c>
      <c r="AQ3420">
        <v>-115</v>
      </c>
      <c r="AR3420">
        <v>-960</v>
      </c>
      <c r="AZ3420">
        <v>4552</v>
      </c>
      <c r="BA3420">
        <v>1</v>
      </c>
      <c r="BB3420" t="str">
        <f t="shared" si="1464"/>
        <v xml:space="preserve">N607SR  </v>
      </c>
      <c r="BC3420">
        <v>1</v>
      </c>
      <c r="BE3420">
        <v>0</v>
      </c>
      <c r="BF3420">
        <v>0</v>
      </c>
      <c r="BG3420">
        <v>0</v>
      </c>
      <c r="BH3420">
        <v>1750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>"06:21:49.923"</f>
        <v>06:21:49.923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6</v>
      </c>
      <c r="CP3420" t="s">
        <v>119</v>
      </c>
      <c r="CQ3420">
        <v>457</v>
      </c>
      <c r="CR3420">
        <v>0</v>
      </c>
      <c r="CW3420">
        <v>15526076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>"08/29/2020 06:21:46.715"</f>
        <v>08/29/2020 06:21:46.715</v>
      </c>
      <c r="C3421" t="str">
        <f t="shared" si="1462"/>
        <v>FFDFD3C0</v>
      </c>
      <c r="D3421" t="s">
        <v>113</v>
      </c>
      <c r="E3421">
        <v>5</v>
      </c>
      <c r="H3421">
        <v>163</v>
      </c>
      <c r="I3421" t="s">
        <v>114</v>
      </c>
      <c r="J3421" t="s">
        <v>115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"06:21:49.922"</f>
        <v>06:21:49.922</v>
      </c>
      <c r="T3421" t="str">
        <f>"06:21:49.522"</f>
        <v>06:21:49.522</v>
      </c>
      <c r="U3421" t="str">
        <f t="shared" si="1463"/>
        <v>A7E2E0</v>
      </c>
      <c r="V3421">
        <v>0</v>
      </c>
      <c r="W3421">
        <v>0</v>
      </c>
      <c r="X3421">
        <v>1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0</v>
      </c>
      <c r="AI3421" t="s">
        <v>1605</v>
      </c>
      <c r="AJ3421">
        <v>38.827421999999999</v>
      </c>
      <c r="AK3421" t="s">
        <v>1601</v>
      </c>
      <c r="AL3421">
        <v>-87.603735999999998</v>
      </c>
      <c r="AM3421">
        <v>100</v>
      </c>
      <c r="AN3421">
        <v>2000</v>
      </c>
      <c r="AO3421" t="s">
        <v>118</v>
      </c>
      <c r="AP3421">
        <v>3</v>
      </c>
      <c r="AQ3421">
        <v>-115</v>
      </c>
      <c r="AR3421">
        <v>-960</v>
      </c>
      <c r="AZ3421">
        <v>4552</v>
      </c>
      <c r="BA3421">
        <v>1</v>
      </c>
      <c r="BB3421" t="str">
        <f t="shared" si="1464"/>
        <v xml:space="preserve">N607SR  </v>
      </c>
      <c r="BC3421">
        <v>1</v>
      </c>
      <c r="BE3421">
        <v>0</v>
      </c>
      <c r="BF3421">
        <v>0</v>
      </c>
      <c r="BG3421">
        <v>0</v>
      </c>
      <c r="BH3421">
        <v>1750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>"06:21:49.923"</f>
        <v>06:21:49.923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6</v>
      </c>
      <c r="CP3421" t="s">
        <v>119</v>
      </c>
      <c r="CQ3421">
        <v>457</v>
      </c>
      <c r="CR3421">
        <v>0</v>
      </c>
      <c r="CW3421">
        <v>15526076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>"08/29/2020 06:21:46.715"</f>
        <v>08/29/2020 06:21:46.715</v>
      </c>
      <c r="C3422" t="str">
        <f t="shared" si="1462"/>
        <v>FFDFD3C0</v>
      </c>
      <c r="D3422" t="s">
        <v>128</v>
      </c>
      <c r="E3422">
        <v>5</v>
      </c>
      <c r="H3422">
        <v>241</v>
      </c>
      <c r="I3422" t="s">
        <v>129</v>
      </c>
      <c r="J3422" t="s">
        <v>130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"06:21:49.922"</f>
        <v>06:21:49.922</v>
      </c>
      <c r="T3422" t="str">
        <f>"06:21:49.522"</f>
        <v>06:21:49.522</v>
      </c>
      <c r="U3422" t="str">
        <f t="shared" si="1463"/>
        <v>A7E2E0</v>
      </c>
      <c r="V3422">
        <v>0</v>
      </c>
      <c r="W3422">
        <v>0</v>
      </c>
      <c r="X3422">
        <v>1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0</v>
      </c>
      <c r="AI3422" t="s">
        <v>1605</v>
      </c>
      <c r="AJ3422">
        <v>38.827421999999999</v>
      </c>
      <c r="AK3422" t="s">
        <v>1601</v>
      </c>
      <c r="AL3422">
        <v>-87.603735999999998</v>
      </c>
      <c r="AM3422">
        <v>100</v>
      </c>
      <c r="AN3422">
        <v>2000</v>
      </c>
      <c r="AO3422" t="s">
        <v>118</v>
      </c>
      <c r="AP3422">
        <v>3</v>
      </c>
      <c r="AQ3422">
        <v>-115</v>
      </c>
      <c r="AR3422">
        <v>-960</v>
      </c>
      <c r="AZ3422">
        <v>4552</v>
      </c>
      <c r="BA3422">
        <v>1</v>
      </c>
      <c r="BB3422" t="str">
        <f t="shared" si="1464"/>
        <v xml:space="preserve">N607SR  </v>
      </c>
      <c r="BC3422">
        <v>1</v>
      </c>
      <c r="BE3422">
        <v>0</v>
      </c>
      <c r="BF3422">
        <v>0</v>
      </c>
      <c r="BG3422">
        <v>0</v>
      </c>
      <c r="BH3422">
        <v>1750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>"06:21:49.923"</f>
        <v>06:21:49.923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6</v>
      </c>
      <c r="CP3422" t="s">
        <v>119</v>
      </c>
      <c r="CQ3422">
        <v>457</v>
      </c>
      <c r="CR3422">
        <v>0</v>
      </c>
      <c r="CW3422">
        <v>15526076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>"08/29/2020 06:21:46.715"</f>
        <v>08/29/2020 06:21:46.715</v>
      </c>
      <c r="C3423" t="str">
        <f t="shared" si="1462"/>
        <v>FFDFD3C0</v>
      </c>
      <c r="D3423" t="s">
        <v>121</v>
      </c>
      <c r="E3423">
        <v>13</v>
      </c>
      <c r="F3423">
        <v>1013</v>
      </c>
      <c r="G3423" t="s">
        <v>122</v>
      </c>
      <c r="J3423" t="s">
        <v>123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"06:21:49.922"</f>
        <v>06:21:49.922</v>
      </c>
      <c r="T3423" t="str">
        <f>"06:21:49.522"</f>
        <v>06:21:49.522</v>
      </c>
      <c r="U3423" t="str">
        <f t="shared" si="1463"/>
        <v>A7E2E0</v>
      </c>
      <c r="V3423">
        <v>0</v>
      </c>
      <c r="W3423">
        <v>0</v>
      </c>
      <c r="X3423">
        <v>1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0</v>
      </c>
      <c r="AI3423" t="s">
        <v>1605</v>
      </c>
      <c r="AJ3423">
        <v>38.827421999999999</v>
      </c>
      <c r="AK3423" t="s">
        <v>1601</v>
      </c>
      <c r="AL3423">
        <v>-87.603735999999998</v>
      </c>
      <c r="AM3423">
        <v>100</v>
      </c>
      <c r="AN3423">
        <v>2000</v>
      </c>
      <c r="AO3423" t="s">
        <v>118</v>
      </c>
      <c r="AP3423">
        <v>3</v>
      </c>
      <c r="AQ3423">
        <v>-115</v>
      </c>
      <c r="AR3423">
        <v>-960</v>
      </c>
      <c r="AZ3423">
        <v>4552</v>
      </c>
      <c r="BA3423">
        <v>1</v>
      </c>
      <c r="BB3423" t="str">
        <f t="shared" si="1464"/>
        <v xml:space="preserve">N607SR  </v>
      </c>
      <c r="BC3423">
        <v>1</v>
      </c>
      <c r="BE3423">
        <v>0</v>
      </c>
      <c r="BF3423">
        <v>0</v>
      </c>
      <c r="BG3423">
        <v>0</v>
      </c>
      <c r="BH3423">
        <v>1750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>"06:21:49.923"</f>
        <v>06:21:49.923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6</v>
      </c>
      <c r="CP3423" t="s">
        <v>119</v>
      </c>
      <c r="CQ3423">
        <v>457</v>
      </c>
      <c r="CR3423">
        <v>0</v>
      </c>
      <c r="CW3423">
        <v>15526076</v>
      </c>
      <c r="CY3423">
        <v>1</v>
      </c>
      <c r="CZ3423">
        <v>0</v>
      </c>
      <c r="DA3423">
        <v>1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 t="shared" ref="A3424:A3429" si="1476">"08/29/2020 06:21:47.823"</f>
        <v>08/29/2020 06:21:47.823</v>
      </c>
      <c r="C3424" t="str">
        <f t="shared" si="1462"/>
        <v>FFDFD3C0</v>
      </c>
      <c r="D3424" t="s">
        <v>128</v>
      </c>
      <c r="E3424">
        <v>5</v>
      </c>
      <c r="H3424">
        <v>241</v>
      </c>
      <c r="I3424" t="s">
        <v>129</v>
      </c>
      <c r="J3424" t="s">
        <v>130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ref="S3424:S3429" si="1477">"06:21:51.023"</f>
        <v>06:21:51.023</v>
      </c>
      <c r="U3424" t="str">
        <f t="shared" si="1463"/>
        <v>A7E2E0</v>
      </c>
      <c r="V3424">
        <v>0</v>
      </c>
      <c r="W3424">
        <v>0</v>
      </c>
      <c r="X3424">
        <v>1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0</v>
      </c>
      <c r="AI3424" t="s">
        <v>1606</v>
      </c>
      <c r="AJ3424">
        <v>38.826799000000001</v>
      </c>
      <c r="AK3424" t="s">
        <v>1603</v>
      </c>
      <c r="AL3424">
        <v>-87.603693000000007</v>
      </c>
      <c r="AM3424">
        <v>100</v>
      </c>
      <c r="AN3424">
        <v>1900</v>
      </c>
      <c r="AO3424" t="s">
        <v>118</v>
      </c>
      <c r="AP3424">
        <v>4</v>
      </c>
      <c r="AQ3424">
        <v>-115</v>
      </c>
      <c r="AR3424">
        <v>-896</v>
      </c>
      <c r="AZ3424">
        <v>4552</v>
      </c>
      <c r="BA3424">
        <v>1</v>
      </c>
      <c r="BB3424" t="str">
        <f t="shared" si="1464"/>
        <v xml:space="preserve">N607SR  </v>
      </c>
      <c r="BC3424">
        <v>1</v>
      </c>
      <c r="BE3424">
        <v>0</v>
      </c>
      <c r="BF3424">
        <v>0</v>
      </c>
      <c r="BG3424">
        <v>0</v>
      </c>
      <c r="BH3424">
        <v>1725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>"06:21:51.028"</f>
        <v>06:21:51.028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6</v>
      </c>
      <c r="CP3424" t="s">
        <v>119</v>
      </c>
      <c r="CQ3424">
        <v>457</v>
      </c>
      <c r="CR3424">
        <v>0</v>
      </c>
      <c r="CW3424">
        <v>15526109</v>
      </c>
      <c r="CY3424">
        <v>1</v>
      </c>
      <c r="CZ3424">
        <v>0</v>
      </c>
      <c r="DA3424">
        <v>0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 t="shared" si="1476"/>
        <v>08/29/2020 06:21:47.823</v>
      </c>
      <c r="C3425" t="str">
        <f t="shared" si="1462"/>
        <v>FFDFD3C0</v>
      </c>
      <c r="D3425" t="s">
        <v>939</v>
      </c>
      <c r="E3425">
        <v>10</v>
      </c>
      <c r="H3425">
        <v>79</v>
      </c>
      <c r="I3425" t="s">
        <v>940</v>
      </c>
      <c r="J3425" t="s">
        <v>130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477"/>
        <v>06:21:51.023</v>
      </c>
      <c r="T3425" t="str">
        <f>"06:21:50.523"</f>
        <v>06:21:50.523</v>
      </c>
      <c r="U3425" t="str">
        <f t="shared" si="1463"/>
        <v>A7E2E0</v>
      </c>
      <c r="V3425">
        <v>0</v>
      </c>
      <c r="W3425">
        <v>0</v>
      </c>
      <c r="X3425">
        <v>1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0</v>
      </c>
      <c r="AI3425" t="s">
        <v>1606</v>
      </c>
      <c r="AJ3425">
        <v>38.826799000000001</v>
      </c>
      <c r="AK3425" t="s">
        <v>1603</v>
      </c>
      <c r="AL3425">
        <v>-87.603693000000007</v>
      </c>
      <c r="AM3425">
        <v>100</v>
      </c>
      <c r="AN3425">
        <v>1900</v>
      </c>
      <c r="AO3425" t="s">
        <v>118</v>
      </c>
      <c r="AP3425">
        <v>3</v>
      </c>
      <c r="AQ3425">
        <v>-115</v>
      </c>
      <c r="AR3425">
        <v>-896</v>
      </c>
      <c r="AZ3425">
        <v>4552</v>
      </c>
      <c r="BA3425">
        <v>1</v>
      </c>
      <c r="BB3425" t="str">
        <f t="shared" si="1464"/>
        <v xml:space="preserve">N607SR  </v>
      </c>
      <c r="BC3425">
        <v>1</v>
      </c>
      <c r="BE3425">
        <v>0</v>
      </c>
      <c r="BF3425">
        <v>0</v>
      </c>
      <c r="BG3425">
        <v>0</v>
      </c>
      <c r="BH3425">
        <v>1725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>"06:21:51.029"</f>
        <v>06:21:51.029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5</v>
      </c>
      <c r="CP3425" t="s">
        <v>119</v>
      </c>
      <c r="CQ3425">
        <v>465</v>
      </c>
      <c r="CR3425">
        <v>0</v>
      </c>
      <c r="CW3425">
        <v>4730902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 t="shared" si="1476"/>
        <v>08/29/2020 06:21:47.823</v>
      </c>
      <c r="C3426" t="str">
        <f t="shared" si="1462"/>
        <v>FFDFD3C0</v>
      </c>
      <c r="D3426" t="s">
        <v>121</v>
      </c>
      <c r="E3426">
        <v>13</v>
      </c>
      <c r="F3426">
        <v>1013</v>
      </c>
      <c r="G3426" t="s">
        <v>122</v>
      </c>
      <c r="J3426" t="s">
        <v>123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477"/>
        <v>06:21:51.023</v>
      </c>
      <c r="U3426" t="str">
        <f t="shared" si="1463"/>
        <v>A7E2E0</v>
      </c>
      <c r="V3426">
        <v>0</v>
      </c>
      <c r="W3426">
        <v>0</v>
      </c>
      <c r="X3426">
        <v>1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0</v>
      </c>
      <c r="AI3426" t="s">
        <v>1606</v>
      </c>
      <c r="AJ3426">
        <v>38.826799000000001</v>
      </c>
      <c r="AK3426" t="s">
        <v>1603</v>
      </c>
      <c r="AL3426">
        <v>-87.603693000000007</v>
      </c>
      <c r="AM3426">
        <v>100</v>
      </c>
      <c r="AN3426">
        <v>1900</v>
      </c>
      <c r="AO3426" t="s">
        <v>118</v>
      </c>
      <c r="AP3426">
        <v>4</v>
      </c>
      <c r="AQ3426">
        <v>-115</v>
      </c>
      <c r="AR3426">
        <v>-896</v>
      </c>
      <c r="AZ3426">
        <v>4552</v>
      </c>
      <c r="BA3426">
        <v>1</v>
      </c>
      <c r="BB3426" t="str">
        <f t="shared" si="1464"/>
        <v xml:space="preserve">N607SR  </v>
      </c>
      <c r="BC3426">
        <v>1</v>
      </c>
      <c r="BE3426">
        <v>0</v>
      </c>
      <c r="BF3426">
        <v>0</v>
      </c>
      <c r="BG3426">
        <v>0</v>
      </c>
      <c r="BH3426">
        <v>1725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>"06:21:51.028"</f>
        <v>06:21:51.028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6</v>
      </c>
      <c r="CP3426" t="s">
        <v>119</v>
      </c>
      <c r="CQ3426">
        <v>457</v>
      </c>
      <c r="CR3426">
        <v>0</v>
      </c>
      <c r="CW3426">
        <v>15526109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 t="shared" si="1476"/>
        <v>08/29/2020 06:21:47.823</v>
      </c>
      <c r="C3427" t="str">
        <f t="shared" si="1462"/>
        <v>FFDFD3C0</v>
      </c>
      <c r="D3427" t="s">
        <v>121</v>
      </c>
      <c r="E3427">
        <v>10</v>
      </c>
      <c r="F3427">
        <v>1010</v>
      </c>
      <c r="G3427" t="s">
        <v>114</v>
      </c>
      <c r="J3427" t="s">
        <v>123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477"/>
        <v>06:21:51.023</v>
      </c>
      <c r="U3427" t="str">
        <f t="shared" si="1463"/>
        <v>A7E2E0</v>
      </c>
      <c r="V3427">
        <v>0</v>
      </c>
      <c r="W3427">
        <v>0</v>
      </c>
      <c r="X3427">
        <v>1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0</v>
      </c>
      <c r="AI3427" t="s">
        <v>1606</v>
      </c>
      <c r="AJ3427">
        <v>38.826799000000001</v>
      </c>
      <c r="AK3427" t="s">
        <v>1603</v>
      </c>
      <c r="AL3427">
        <v>-87.603693000000007</v>
      </c>
      <c r="AM3427">
        <v>100</v>
      </c>
      <c r="AN3427">
        <v>1900</v>
      </c>
      <c r="AO3427" t="s">
        <v>118</v>
      </c>
      <c r="AP3427">
        <v>4</v>
      </c>
      <c r="AQ3427">
        <v>-115</v>
      </c>
      <c r="AR3427">
        <v>-896</v>
      </c>
      <c r="AZ3427">
        <v>4552</v>
      </c>
      <c r="BA3427">
        <v>1</v>
      </c>
      <c r="BB3427" t="str">
        <f t="shared" si="1464"/>
        <v xml:space="preserve">N607SR  </v>
      </c>
      <c r="BC3427">
        <v>1</v>
      </c>
      <c r="BE3427">
        <v>0</v>
      </c>
      <c r="BF3427">
        <v>0</v>
      </c>
      <c r="BG3427">
        <v>0</v>
      </c>
      <c r="BH3427">
        <v>1725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>"06:21:51.028"</f>
        <v>06:21:51.028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6</v>
      </c>
      <c r="CP3427" t="s">
        <v>119</v>
      </c>
      <c r="CQ3427">
        <v>457</v>
      </c>
      <c r="CR3427">
        <v>0</v>
      </c>
      <c r="CW3427">
        <v>15526109</v>
      </c>
      <c r="CY3427">
        <v>1</v>
      </c>
      <c r="CZ3427">
        <v>0</v>
      </c>
      <c r="DA3427">
        <v>1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 t="shared" si="1476"/>
        <v>08/29/2020 06:21:47.823</v>
      </c>
      <c r="C3428" t="str">
        <f t="shared" si="1462"/>
        <v>FFDFD3C0</v>
      </c>
      <c r="D3428" t="s">
        <v>121</v>
      </c>
      <c r="E3428">
        <v>11</v>
      </c>
      <c r="F3428">
        <v>1011</v>
      </c>
      <c r="G3428" t="s">
        <v>125</v>
      </c>
      <c r="J3428" t="s">
        <v>123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si="1477"/>
        <v>06:21:51.023</v>
      </c>
      <c r="U3428" t="str">
        <f t="shared" si="1463"/>
        <v>A7E2E0</v>
      </c>
      <c r="V3428">
        <v>0</v>
      </c>
      <c r="W3428">
        <v>0</v>
      </c>
      <c r="X3428">
        <v>1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0</v>
      </c>
      <c r="AI3428" t="s">
        <v>1606</v>
      </c>
      <c r="AJ3428">
        <v>38.826799000000001</v>
      </c>
      <c r="AK3428" t="s">
        <v>1603</v>
      </c>
      <c r="AL3428">
        <v>-87.603693000000007</v>
      </c>
      <c r="AM3428">
        <v>100</v>
      </c>
      <c r="AN3428">
        <v>1900</v>
      </c>
      <c r="AO3428" t="s">
        <v>118</v>
      </c>
      <c r="AP3428">
        <v>4</v>
      </c>
      <c r="AQ3428">
        <v>-115</v>
      </c>
      <c r="AR3428">
        <v>-896</v>
      </c>
      <c r="AZ3428">
        <v>4552</v>
      </c>
      <c r="BA3428">
        <v>1</v>
      </c>
      <c r="BB3428" t="str">
        <f t="shared" si="1464"/>
        <v xml:space="preserve">N607SR  </v>
      </c>
      <c r="BC3428">
        <v>1</v>
      </c>
      <c r="BE3428">
        <v>0</v>
      </c>
      <c r="BF3428">
        <v>0</v>
      </c>
      <c r="BG3428">
        <v>0</v>
      </c>
      <c r="BH3428">
        <v>1725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>"06:21:51.028"</f>
        <v>06:21:51.028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6</v>
      </c>
      <c r="CP3428" t="s">
        <v>119</v>
      </c>
      <c r="CQ3428">
        <v>457</v>
      </c>
      <c r="CR3428">
        <v>0</v>
      </c>
      <c r="CW3428">
        <v>15526109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 t="shared" si="1476"/>
        <v>08/29/2020 06:21:47.823</v>
      </c>
      <c r="C3429" t="str">
        <f t="shared" si="1462"/>
        <v>FFDFD3C0</v>
      </c>
      <c r="D3429" t="s">
        <v>113</v>
      </c>
      <c r="E3429">
        <v>5</v>
      </c>
      <c r="H3429">
        <v>163</v>
      </c>
      <c r="I3429" t="s">
        <v>114</v>
      </c>
      <c r="J3429" t="s">
        <v>115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477"/>
        <v>06:21:51.023</v>
      </c>
      <c r="U3429" t="str">
        <f t="shared" si="1463"/>
        <v>A7E2E0</v>
      </c>
      <c r="V3429">
        <v>0</v>
      </c>
      <c r="W3429">
        <v>0</v>
      </c>
      <c r="X3429">
        <v>1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0</v>
      </c>
      <c r="AI3429" t="s">
        <v>1606</v>
      </c>
      <c r="AJ3429">
        <v>38.826799000000001</v>
      </c>
      <c r="AK3429" t="s">
        <v>1603</v>
      </c>
      <c r="AL3429">
        <v>-87.603693000000007</v>
      </c>
      <c r="AM3429">
        <v>100</v>
      </c>
      <c r="AN3429">
        <v>1900</v>
      </c>
      <c r="AO3429" t="s">
        <v>118</v>
      </c>
      <c r="AP3429">
        <v>4</v>
      </c>
      <c r="AQ3429">
        <v>-115</v>
      </c>
      <c r="AR3429">
        <v>-896</v>
      </c>
      <c r="AZ3429">
        <v>4552</v>
      </c>
      <c r="BA3429">
        <v>1</v>
      </c>
      <c r="BB3429" t="str">
        <f t="shared" si="1464"/>
        <v xml:space="preserve">N607SR  </v>
      </c>
      <c r="BC3429">
        <v>1</v>
      </c>
      <c r="BE3429">
        <v>0</v>
      </c>
      <c r="BF3429">
        <v>0</v>
      </c>
      <c r="BG3429">
        <v>0</v>
      </c>
      <c r="BH3429">
        <v>1725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>"06:21:51.028"</f>
        <v>06:21:51.028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6</v>
      </c>
      <c r="CP3429" t="s">
        <v>119</v>
      </c>
      <c r="CQ3429">
        <v>457</v>
      </c>
      <c r="CR3429">
        <v>0</v>
      </c>
      <c r="CW3429">
        <v>15526109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 t="shared" ref="A3430:A3435" si="1478">"08/29/2020 06:21:48.908"</f>
        <v>08/29/2020 06:21:48.908</v>
      </c>
      <c r="C3430" t="str">
        <f t="shared" si="1462"/>
        <v>FFDFD3C0</v>
      </c>
      <c r="D3430" t="s">
        <v>121</v>
      </c>
      <c r="E3430">
        <v>11</v>
      </c>
      <c r="F3430">
        <v>1011</v>
      </c>
      <c r="G3430" t="s">
        <v>125</v>
      </c>
      <c r="J3430" t="s">
        <v>123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ref="S3430:S3435" si="1479">"06:21:52.141"</f>
        <v>06:21:52.141</v>
      </c>
      <c r="T3430" t="str">
        <f t="shared" ref="T3430:T3435" si="1480">"06:21:51.641"</f>
        <v>06:21:51.641</v>
      </c>
      <c r="U3430" t="str">
        <f t="shared" si="1463"/>
        <v>A7E2E0</v>
      </c>
      <c r="V3430">
        <v>0</v>
      </c>
      <c r="W3430">
        <v>0</v>
      </c>
      <c r="X3430">
        <v>1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0</v>
      </c>
      <c r="AI3430" t="s">
        <v>1607</v>
      </c>
      <c r="AJ3430">
        <v>38.826241000000003</v>
      </c>
      <c r="AK3430" t="s">
        <v>1608</v>
      </c>
      <c r="AL3430">
        <v>-87.603672000000003</v>
      </c>
      <c r="AM3430">
        <v>100</v>
      </c>
      <c r="AN3430">
        <v>1900</v>
      </c>
      <c r="AO3430" t="s">
        <v>118</v>
      </c>
      <c r="AP3430">
        <v>4</v>
      </c>
      <c r="AQ3430">
        <v>-115</v>
      </c>
      <c r="AR3430">
        <v>-896</v>
      </c>
      <c r="AZ3430">
        <v>4552</v>
      </c>
      <c r="BA3430">
        <v>1</v>
      </c>
      <c r="BB3430" t="str">
        <f t="shared" si="1464"/>
        <v xml:space="preserve">N607SR  </v>
      </c>
      <c r="BC3430">
        <v>1</v>
      </c>
      <c r="BE3430">
        <v>0</v>
      </c>
      <c r="BF3430">
        <v>0</v>
      </c>
      <c r="BG3430">
        <v>0</v>
      </c>
      <c r="BH3430">
        <v>1725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 t="shared" ref="BW3430:BW3435" si="1481">"06:21:52.146"</f>
        <v>06:21:52.146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6</v>
      </c>
      <c r="CP3430" t="s">
        <v>119</v>
      </c>
      <c r="CQ3430">
        <v>457</v>
      </c>
      <c r="CR3430">
        <v>0</v>
      </c>
      <c r="CW3430">
        <v>15526144</v>
      </c>
      <c r="CY3430">
        <v>1</v>
      </c>
      <c r="CZ3430">
        <v>0</v>
      </c>
      <c r="DA3430">
        <v>0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 t="shared" si="1478"/>
        <v>08/29/2020 06:21:48.908</v>
      </c>
      <c r="C3431" t="str">
        <f t="shared" si="1462"/>
        <v>FFDFD3C0</v>
      </c>
      <c r="D3431" t="s">
        <v>939</v>
      </c>
      <c r="E3431">
        <v>10</v>
      </c>
      <c r="H3431">
        <v>79</v>
      </c>
      <c r="I3431" t="s">
        <v>940</v>
      </c>
      <c r="J3431" t="s">
        <v>130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479"/>
        <v>06:21:52.141</v>
      </c>
      <c r="T3431" t="str">
        <f t="shared" si="1480"/>
        <v>06:21:51.641</v>
      </c>
      <c r="U3431" t="str">
        <f t="shared" si="1463"/>
        <v>A7E2E0</v>
      </c>
      <c r="V3431">
        <v>0</v>
      </c>
      <c r="W3431">
        <v>0</v>
      </c>
      <c r="X3431">
        <v>1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0</v>
      </c>
      <c r="AI3431" t="s">
        <v>1607</v>
      </c>
      <c r="AJ3431">
        <v>38.826241000000003</v>
      </c>
      <c r="AK3431" t="s">
        <v>1608</v>
      </c>
      <c r="AL3431">
        <v>-87.603672000000003</v>
      </c>
      <c r="AM3431">
        <v>100</v>
      </c>
      <c r="AN3431">
        <v>1900</v>
      </c>
      <c r="AO3431" t="s">
        <v>118</v>
      </c>
      <c r="AP3431">
        <v>4</v>
      </c>
      <c r="AQ3431">
        <v>-115</v>
      </c>
      <c r="AR3431">
        <v>-896</v>
      </c>
      <c r="AZ3431">
        <v>4552</v>
      </c>
      <c r="BA3431">
        <v>1</v>
      </c>
      <c r="BB3431" t="str">
        <f t="shared" si="1464"/>
        <v xml:space="preserve">N607SR  </v>
      </c>
      <c r="BC3431">
        <v>1</v>
      </c>
      <c r="BE3431">
        <v>0</v>
      </c>
      <c r="BF3431">
        <v>0</v>
      </c>
      <c r="BG3431">
        <v>0</v>
      </c>
      <c r="BH3431">
        <v>1725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 t="shared" si="1481"/>
        <v>06:21:52.146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6</v>
      </c>
      <c r="CP3431" t="s">
        <v>119</v>
      </c>
      <c r="CQ3431">
        <v>465</v>
      </c>
      <c r="CR3431">
        <v>0</v>
      </c>
      <c r="CW3431">
        <v>4730937</v>
      </c>
      <c r="CY3431">
        <v>1</v>
      </c>
      <c r="CZ3431">
        <v>0</v>
      </c>
      <c r="DA3431">
        <v>1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 t="shared" si="1478"/>
        <v>08/29/2020 06:21:48.908</v>
      </c>
      <c r="C3432" t="str">
        <f t="shared" si="1462"/>
        <v>FFDFD3C0</v>
      </c>
      <c r="D3432" t="s">
        <v>113</v>
      </c>
      <c r="E3432">
        <v>5</v>
      </c>
      <c r="H3432">
        <v>163</v>
      </c>
      <c r="I3432" t="s">
        <v>114</v>
      </c>
      <c r="J3432" t="s">
        <v>115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479"/>
        <v>06:21:52.141</v>
      </c>
      <c r="T3432" t="str">
        <f t="shared" si="1480"/>
        <v>06:21:51.641</v>
      </c>
      <c r="U3432" t="str">
        <f t="shared" si="1463"/>
        <v>A7E2E0</v>
      </c>
      <c r="V3432">
        <v>0</v>
      </c>
      <c r="W3432">
        <v>0</v>
      </c>
      <c r="X3432">
        <v>1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0</v>
      </c>
      <c r="AI3432" t="s">
        <v>1607</v>
      </c>
      <c r="AJ3432">
        <v>38.826241000000003</v>
      </c>
      <c r="AK3432" t="s">
        <v>1608</v>
      </c>
      <c r="AL3432">
        <v>-87.603672000000003</v>
      </c>
      <c r="AM3432">
        <v>100</v>
      </c>
      <c r="AN3432">
        <v>1900</v>
      </c>
      <c r="AO3432" t="s">
        <v>118</v>
      </c>
      <c r="AP3432">
        <v>4</v>
      </c>
      <c r="AQ3432">
        <v>-115</v>
      </c>
      <c r="AR3432">
        <v>-896</v>
      </c>
      <c r="AZ3432">
        <v>4552</v>
      </c>
      <c r="BA3432">
        <v>1</v>
      </c>
      <c r="BB3432" t="str">
        <f t="shared" si="1464"/>
        <v xml:space="preserve">N607SR  </v>
      </c>
      <c r="BC3432">
        <v>1</v>
      </c>
      <c r="BE3432">
        <v>0</v>
      </c>
      <c r="BF3432">
        <v>0</v>
      </c>
      <c r="BG3432">
        <v>0</v>
      </c>
      <c r="BH3432">
        <v>1725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 t="shared" si="1481"/>
        <v>06:21:52.146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6</v>
      </c>
      <c r="CP3432" t="s">
        <v>119</v>
      </c>
      <c r="CQ3432">
        <v>465</v>
      </c>
      <c r="CR3432">
        <v>0</v>
      </c>
      <c r="CW3432">
        <v>4730937</v>
      </c>
      <c r="CY3432">
        <v>1</v>
      </c>
      <c r="CZ3432">
        <v>0</v>
      </c>
      <c r="DA3432">
        <v>1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 t="shared" si="1478"/>
        <v>08/29/2020 06:21:48.908</v>
      </c>
      <c r="C3433" t="str">
        <f t="shared" si="1462"/>
        <v>FFDFD3C0</v>
      </c>
      <c r="D3433" t="s">
        <v>128</v>
      </c>
      <c r="E3433">
        <v>5</v>
      </c>
      <c r="H3433">
        <v>241</v>
      </c>
      <c r="I3433" t="s">
        <v>129</v>
      </c>
      <c r="J3433" t="s">
        <v>130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479"/>
        <v>06:21:52.141</v>
      </c>
      <c r="T3433" t="str">
        <f t="shared" si="1480"/>
        <v>06:21:51.641</v>
      </c>
      <c r="U3433" t="str">
        <f t="shared" si="1463"/>
        <v>A7E2E0</v>
      </c>
      <c r="V3433">
        <v>0</v>
      </c>
      <c r="W3433">
        <v>0</v>
      </c>
      <c r="X3433">
        <v>1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0</v>
      </c>
      <c r="AI3433" t="s">
        <v>1607</v>
      </c>
      <c r="AJ3433">
        <v>38.826241000000003</v>
      </c>
      <c r="AK3433" t="s">
        <v>1608</v>
      </c>
      <c r="AL3433">
        <v>-87.603672000000003</v>
      </c>
      <c r="AM3433">
        <v>100</v>
      </c>
      <c r="AN3433">
        <v>1900</v>
      </c>
      <c r="AO3433" t="s">
        <v>118</v>
      </c>
      <c r="AP3433">
        <v>4</v>
      </c>
      <c r="AQ3433">
        <v>-115</v>
      </c>
      <c r="AR3433">
        <v>-896</v>
      </c>
      <c r="AZ3433">
        <v>4552</v>
      </c>
      <c r="BA3433">
        <v>1</v>
      </c>
      <c r="BB3433" t="str">
        <f t="shared" si="1464"/>
        <v xml:space="preserve">N607SR  </v>
      </c>
      <c r="BC3433">
        <v>1</v>
      </c>
      <c r="BE3433">
        <v>0</v>
      </c>
      <c r="BF3433">
        <v>0</v>
      </c>
      <c r="BG3433">
        <v>0</v>
      </c>
      <c r="BH3433">
        <v>1725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 t="shared" si="1481"/>
        <v>06:21:52.146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6</v>
      </c>
      <c r="CP3433" t="s">
        <v>119</v>
      </c>
      <c r="CQ3433">
        <v>465</v>
      </c>
      <c r="CR3433">
        <v>0</v>
      </c>
      <c r="CW3433">
        <v>4730937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 t="shared" si="1478"/>
        <v>08/29/2020 06:21:48.908</v>
      </c>
      <c r="C3434" t="str">
        <f t="shared" si="1462"/>
        <v>FFDFD3C0</v>
      </c>
      <c r="D3434" t="s">
        <v>121</v>
      </c>
      <c r="E3434">
        <v>10</v>
      </c>
      <c r="F3434">
        <v>1010</v>
      </c>
      <c r="G3434" t="s">
        <v>114</v>
      </c>
      <c r="J3434" t="s">
        <v>123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si="1479"/>
        <v>06:21:52.141</v>
      </c>
      <c r="T3434" t="str">
        <f t="shared" si="1480"/>
        <v>06:21:51.641</v>
      </c>
      <c r="U3434" t="str">
        <f t="shared" si="1463"/>
        <v>A7E2E0</v>
      </c>
      <c r="V3434">
        <v>0</v>
      </c>
      <c r="W3434">
        <v>0</v>
      </c>
      <c r="X3434">
        <v>1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0</v>
      </c>
      <c r="AI3434" t="s">
        <v>1607</v>
      </c>
      <c r="AJ3434">
        <v>38.826241000000003</v>
      </c>
      <c r="AK3434" t="s">
        <v>1608</v>
      </c>
      <c r="AL3434">
        <v>-87.603672000000003</v>
      </c>
      <c r="AM3434">
        <v>100</v>
      </c>
      <c r="AN3434">
        <v>1900</v>
      </c>
      <c r="AO3434" t="s">
        <v>118</v>
      </c>
      <c r="AP3434">
        <v>4</v>
      </c>
      <c r="AQ3434">
        <v>-115</v>
      </c>
      <c r="AR3434">
        <v>-896</v>
      </c>
      <c r="AZ3434">
        <v>4552</v>
      </c>
      <c r="BA3434">
        <v>1</v>
      </c>
      <c r="BB3434" t="str">
        <f t="shared" si="1464"/>
        <v xml:space="preserve">N607SR  </v>
      </c>
      <c r="BC3434">
        <v>1</v>
      </c>
      <c r="BE3434">
        <v>0</v>
      </c>
      <c r="BF3434">
        <v>0</v>
      </c>
      <c r="BG3434">
        <v>0</v>
      </c>
      <c r="BH3434">
        <v>1725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 t="shared" si="1481"/>
        <v>06:21:52.146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6</v>
      </c>
      <c r="CP3434" t="s">
        <v>119</v>
      </c>
      <c r="CQ3434">
        <v>465</v>
      </c>
      <c r="CR3434">
        <v>0</v>
      </c>
      <c r="CW3434">
        <v>4730937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 t="shared" si="1478"/>
        <v>08/29/2020 06:21:48.908</v>
      </c>
      <c r="C3435" t="str">
        <f t="shared" si="1462"/>
        <v>FFDFD3C0</v>
      </c>
      <c r="D3435" t="s">
        <v>121</v>
      </c>
      <c r="E3435">
        <v>13</v>
      </c>
      <c r="F3435">
        <v>1013</v>
      </c>
      <c r="G3435" t="s">
        <v>122</v>
      </c>
      <c r="J3435" t="s">
        <v>123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479"/>
        <v>06:21:52.141</v>
      </c>
      <c r="T3435" t="str">
        <f t="shared" si="1480"/>
        <v>06:21:51.641</v>
      </c>
      <c r="U3435" t="str">
        <f t="shared" si="1463"/>
        <v>A7E2E0</v>
      </c>
      <c r="V3435">
        <v>0</v>
      </c>
      <c r="W3435">
        <v>0</v>
      </c>
      <c r="X3435">
        <v>1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0</v>
      </c>
      <c r="AI3435" t="s">
        <v>1607</v>
      </c>
      <c r="AJ3435">
        <v>38.826241000000003</v>
      </c>
      <c r="AK3435" t="s">
        <v>1608</v>
      </c>
      <c r="AL3435">
        <v>-87.603672000000003</v>
      </c>
      <c r="AM3435">
        <v>100</v>
      </c>
      <c r="AN3435">
        <v>1900</v>
      </c>
      <c r="AO3435" t="s">
        <v>118</v>
      </c>
      <c r="AP3435">
        <v>4</v>
      </c>
      <c r="AQ3435">
        <v>-115</v>
      </c>
      <c r="AR3435">
        <v>-896</v>
      </c>
      <c r="AZ3435">
        <v>4552</v>
      </c>
      <c r="BA3435">
        <v>1</v>
      </c>
      <c r="BB3435" t="str">
        <f t="shared" si="1464"/>
        <v xml:space="preserve">N607SR  </v>
      </c>
      <c r="BC3435">
        <v>1</v>
      </c>
      <c r="BE3435">
        <v>0</v>
      </c>
      <c r="BF3435">
        <v>0</v>
      </c>
      <c r="BG3435">
        <v>0</v>
      </c>
      <c r="BH3435">
        <v>1725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 t="shared" si="1481"/>
        <v>06:21:52.146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6</v>
      </c>
      <c r="CP3435" t="s">
        <v>119</v>
      </c>
      <c r="CQ3435">
        <v>465</v>
      </c>
      <c r="CR3435">
        <v>0</v>
      </c>
      <c r="CW3435">
        <v>4730937</v>
      </c>
      <c r="CY3435">
        <v>1</v>
      </c>
      <c r="CZ3435">
        <v>0</v>
      </c>
      <c r="DA3435">
        <v>1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 t="shared" ref="A3436:A3441" si="1482">"08/29/2020 06:21:49.921"</f>
        <v>08/29/2020 06:21:49.921</v>
      </c>
      <c r="C3436" t="str">
        <f t="shared" si="1462"/>
        <v>FFDFD3C0</v>
      </c>
      <c r="D3436" t="s">
        <v>121</v>
      </c>
      <c r="E3436">
        <v>11</v>
      </c>
      <c r="F3436">
        <v>1011</v>
      </c>
      <c r="G3436" t="s">
        <v>125</v>
      </c>
      <c r="J3436" t="s">
        <v>123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ref="S3436:S3441" si="1483">"06:21:53.164"</f>
        <v>06:21:53.164</v>
      </c>
      <c r="T3436" t="str">
        <f t="shared" ref="T3436:T3441" si="1484">"06:21:52.664"</f>
        <v>06:21:52.664</v>
      </c>
      <c r="U3436" t="str">
        <f t="shared" si="1463"/>
        <v>A7E2E0</v>
      </c>
      <c r="V3436">
        <v>0</v>
      </c>
      <c r="W3436">
        <v>0</v>
      </c>
      <c r="X3436">
        <v>1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0</v>
      </c>
      <c r="AI3436" t="s">
        <v>1609</v>
      </c>
      <c r="AJ3436">
        <v>38.825684000000003</v>
      </c>
      <c r="AK3436" t="s">
        <v>1610</v>
      </c>
      <c r="AL3436">
        <v>-87.603606999999997</v>
      </c>
      <c r="AM3436">
        <v>100</v>
      </c>
      <c r="AN3436">
        <v>1900</v>
      </c>
      <c r="AO3436" t="s">
        <v>118</v>
      </c>
      <c r="AP3436">
        <v>4</v>
      </c>
      <c r="AQ3436">
        <v>-115</v>
      </c>
      <c r="AR3436">
        <v>-896</v>
      </c>
      <c r="AZ3436">
        <v>4552</v>
      </c>
      <c r="BA3436">
        <v>1</v>
      </c>
      <c r="BB3436" t="str">
        <f t="shared" si="1464"/>
        <v xml:space="preserve">N607SR  </v>
      </c>
      <c r="BC3436">
        <v>1</v>
      </c>
      <c r="BE3436">
        <v>0</v>
      </c>
      <c r="BF3436">
        <v>0</v>
      </c>
      <c r="BG3436">
        <v>0</v>
      </c>
      <c r="BH3436">
        <v>1700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 t="shared" ref="BW3436:BW3441" si="1485">"06:21:53.172"</f>
        <v>06:21:53.172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6</v>
      </c>
      <c r="CP3436" t="s">
        <v>119</v>
      </c>
      <c r="CQ3436">
        <v>457</v>
      </c>
      <c r="CR3436">
        <v>0</v>
      </c>
      <c r="CW3436">
        <v>15526175</v>
      </c>
      <c r="CY3436">
        <v>1</v>
      </c>
      <c r="CZ3436">
        <v>0</v>
      </c>
      <c r="DA3436">
        <v>0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 t="shared" si="1482"/>
        <v>08/29/2020 06:21:49.921</v>
      </c>
      <c r="C3437" t="str">
        <f t="shared" si="1462"/>
        <v>FFDFD3C0</v>
      </c>
      <c r="D3437" t="s">
        <v>939</v>
      </c>
      <c r="E3437">
        <v>10</v>
      </c>
      <c r="H3437">
        <v>79</v>
      </c>
      <c r="I3437" t="s">
        <v>940</v>
      </c>
      <c r="J3437" t="s">
        <v>130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si="1483"/>
        <v>06:21:53.164</v>
      </c>
      <c r="T3437" t="str">
        <f t="shared" si="1484"/>
        <v>06:21:52.664</v>
      </c>
      <c r="U3437" t="str">
        <f t="shared" si="1463"/>
        <v>A7E2E0</v>
      </c>
      <c r="V3437">
        <v>0</v>
      </c>
      <c r="W3437">
        <v>0</v>
      </c>
      <c r="X3437">
        <v>1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0</v>
      </c>
      <c r="AI3437" t="s">
        <v>1609</v>
      </c>
      <c r="AJ3437">
        <v>38.825684000000003</v>
      </c>
      <c r="AK3437" t="s">
        <v>1610</v>
      </c>
      <c r="AL3437">
        <v>-87.603606999999997</v>
      </c>
      <c r="AM3437">
        <v>100</v>
      </c>
      <c r="AN3437">
        <v>1900</v>
      </c>
      <c r="AO3437" t="s">
        <v>118</v>
      </c>
      <c r="AP3437">
        <v>4</v>
      </c>
      <c r="AQ3437">
        <v>-115</v>
      </c>
      <c r="AR3437">
        <v>-896</v>
      </c>
      <c r="AZ3437">
        <v>4552</v>
      </c>
      <c r="BA3437">
        <v>1</v>
      </c>
      <c r="BB3437" t="str">
        <f t="shared" si="1464"/>
        <v xml:space="preserve">N607SR  </v>
      </c>
      <c r="BC3437">
        <v>1</v>
      </c>
      <c r="BE3437">
        <v>0</v>
      </c>
      <c r="BF3437">
        <v>0</v>
      </c>
      <c r="BG3437">
        <v>0</v>
      </c>
      <c r="BH3437">
        <v>1700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 t="shared" si="1485"/>
        <v>06:21:53.172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5</v>
      </c>
      <c r="CP3437" t="s">
        <v>119</v>
      </c>
      <c r="CQ3437">
        <v>465</v>
      </c>
      <c r="CR3437">
        <v>0</v>
      </c>
      <c r="CW3437">
        <v>4730965</v>
      </c>
      <c r="CY3437">
        <v>1</v>
      </c>
      <c r="CZ3437">
        <v>0</v>
      </c>
      <c r="DA3437">
        <v>1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 t="shared" si="1482"/>
        <v>08/29/2020 06:21:49.921</v>
      </c>
      <c r="C3438" t="str">
        <f t="shared" si="1462"/>
        <v>FFDFD3C0</v>
      </c>
      <c r="D3438" t="s">
        <v>113</v>
      </c>
      <c r="E3438">
        <v>5</v>
      </c>
      <c r="H3438">
        <v>163</v>
      </c>
      <c r="I3438" t="s">
        <v>114</v>
      </c>
      <c r="J3438" t="s">
        <v>115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483"/>
        <v>06:21:53.164</v>
      </c>
      <c r="T3438" t="str">
        <f t="shared" si="1484"/>
        <v>06:21:52.664</v>
      </c>
      <c r="U3438" t="str">
        <f t="shared" si="1463"/>
        <v>A7E2E0</v>
      </c>
      <c r="V3438">
        <v>0</v>
      </c>
      <c r="W3438">
        <v>0</v>
      </c>
      <c r="X3438">
        <v>1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0</v>
      </c>
      <c r="AI3438" t="s">
        <v>1609</v>
      </c>
      <c r="AJ3438">
        <v>38.825684000000003</v>
      </c>
      <c r="AK3438" t="s">
        <v>1610</v>
      </c>
      <c r="AL3438">
        <v>-87.603606999999997</v>
      </c>
      <c r="AM3438">
        <v>100</v>
      </c>
      <c r="AN3438">
        <v>1900</v>
      </c>
      <c r="AO3438" t="s">
        <v>118</v>
      </c>
      <c r="AP3438">
        <v>4</v>
      </c>
      <c r="AQ3438">
        <v>-115</v>
      </c>
      <c r="AR3438">
        <v>-896</v>
      </c>
      <c r="AZ3438">
        <v>4552</v>
      </c>
      <c r="BA3438">
        <v>1</v>
      </c>
      <c r="BB3438" t="str">
        <f t="shared" si="1464"/>
        <v xml:space="preserve">N607SR  </v>
      </c>
      <c r="BC3438">
        <v>1</v>
      </c>
      <c r="BE3438">
        <v>0</v>
      </c>
      <c r="BF3438">
        <v>0</v>
      </c>
      <c r="BG3438">
        <v>0</v>
      </c>
      <c r="BH3438">
        <v>1700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 t="shared" si="1485"/>
        <v>06:21:53.172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6</v>
      </c>
      <c r="CP3438" t="s">
        <v>119</v>
      </c>
      <c r="CQ3438">
        <v>457</v>
      </c>
      <c r="CR3438">
        <v>0</v>
      </c>
      <c r="CW3438">
        <v>15526175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 t="shared" si="1482"/>
        <v>08/29/2020 06:21:49.921</v>
      </c>
      <c r="C3439" t="str">
        <f t="shared" si="1462"/>
        <v>FFDFD3C0</v>
      </c>
      <c r="D3439" t="s">
        <v>128</v>
      </c>
      <c r="E3439">
        <v>5</v>
      </c>
      <c r="H3439">
        <v>241</v>
      </c>
      <c r="I3439" t="s">
        <v>129</v>
      </c>
      <c r="J3439" t="s">
        <v>130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483"/>
        <v>06:21:53.164</v>
      </c>
      <c r="T3439" t="str">
        <f t="shared" si="1484"/>
        <v>06:21:52.664</v>
      </c>
      <c r="U3439" t="str">
        <f t="shared" si="1463"/>
        <v>A7E2E0</v>
      </c>
      <c r="V3439">
        <v>0</v>
      </c>
      <c r="W3439">
        <v>0</v>
      </c>
      <c r="X3439">
        <v>1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0</v>
      </c>
      <c r="AI3439" t="s">
        <v>1609</v>
      </c>
      <c r="AJ3439">
        <v>38.825684000000003</v>
      </c>
      <c r="AK3439" t="s">
        <v>1610</v>
      </c>
      <c r="AL3439">
        <v>-87.603606999999997</v>
      </c>
      <c r="AM3439">
        <v>100</v>
      </c>
      <c r="AN3439">
        <v>1900</v>
      </c>
      <c r="AO3439" t="s">
        <v>118</v>
      </c>
      <c r="AP3439">
        <v>4</v>
      </c>
      <c r="AQ3439">
        <v>-115</v>
      </c>
      <c r="AR3439">
        <v>-896</v>
      </c>
      <c r="AZ3439">
        <v>4552</v>
      </c>
      <c r="BA3439">
        <v>1</v>
      </c>
      <c r="BB3439" t="str">
        <f t="shared" si="1464"/>
        <v xml:space="preserve">N607SR  </v>
      </c>
      <c r="BC3439">
        <v>1</v>
      </c>
      <c r="BE3439">
        <v>0</v>
      </c>
      <c r="BF3439">
        <v>0</v>
      </c>
      <c r="BG3439">
        <v>0</v>
      </c>
      <c r="BH3439">
        <v>1700</v>
      </c>
      <c r="BI3439">
        <v>1</v>
      </c>
      <c r="BJ3439">
        <v>1</v>
      </c>
      <c r="BK3439">
        <v>1</v>
      </c>
      <c r="BL3439">
        <v>0</v>
      </c>
      <c r="BO3439">
        <v>0</v>
      </c>
      <c r="BP3439">
        <v>0</v>
      </c>
      <c r="BW3439" t="str">
        <f t="shared" si="1485"/>
        <v>06:21:53.172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6</v>
      </c>
      <c r="CP3439" t="s">
        <v>119</v>
      </c>
      <c r="CQ3439">
        <v>457</v>
      </c>
      <c r="CR3439">
        <v>0</v>
      </c>
      <c r="CW3439">
        <v>15526175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 t="shared" si="1482"/>
        <v>08/29/2020 06:21:49.921</v>
      </c>
      <c r="C3440" t="str">
        <f t="shared" si="1462"/>
        <v>FFDFD3C0</v>
      </c>
      <c r="D3440" t="s">
        <v>121</v>
      </c>
      <c r="E3440">
        <v>10</v>
      </c>
      <c r="F3440">
        <v>1010</v>
      </c>
      <c r="G3440" t="s">
        <v>114</v>
      </c>
      <c r="J3440" t="s">
        <v>123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483"/>
        <v>06:21:53.164</v>
      </c>
      <c r="T3440" t="str">
        <f t="shared" si="1484"/>
        <v>06:21:52.664</v>
      </c>
      <c r="U3440" t="str">
        <f t="shared" si="1463"/>
        <v>A7E2E0</v>
      </c>
      <c r="V3440">
        <v>0</v>
      </c>
      <c r="W3440">
        <v>0</v>
      </c>
      <c r="X3440">
        <v>1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0</v>
      </c>
      <c r="AI3440" t="s">
        <v>1609</v>
      </c>
      <c r="AJ3440">
        <v>38.825684000000003</v>
      </c>
      <c r="AK3440" t="s">
        <v>1610</v>
      </c>
      <c r="AL3440">
        <v>-87.603606999999997</v>
      </c>
      <c r="AM3440">
        <v>100</v>
      </c>
      <c r="AN3440">
        <v>1900</v>
      </c>
      <c r="AO3440" t="s">
        <v>118</v>
      </c>
      <c r="AP3440">
        <v>4</v>
      </c>
      <c r="AQ3440">
        <v>-115</v>
      </c>
      <c r="AR3440">
        <v>-896</v>
      </c>
      <c r="AZ3440">
        <v>4552</v>
      </c>
      <c r="BA3440">
        <v>1</v>
      </c>
      <c r="BB3440" t="str">
        <f t="shared" si="1464"/>
        <v xml:space="preserve">N607SR  </v>
      </c>
      <c r="BC3440">
        <v>1</v>
      </c>
      <c r="BE3440">
        <v>0</v>
      </c>
      <c r="BF3440">
        <v>0</v>
      </c>
      <c r="BG3440">
        <v>0</v>
      </c>
      <c r="BH3440">
        <v>1700</v>
      </c>
      <c r="BI3440">
        <v>1</v>
      </c>
      <c r="BJ3440">
        <v>1</v>
      </c>
      <c r="BK3440">
        <v>1</v>
      </c>
      <c r="BL3440">
        <v>0</v>
      </c>
      <c r="BO3440">
        <v>0</v>
      </c>
      <c r="BP3440">
        <v>0</v>
      </c>
      <c r="BW3440" t="str">
        <f t="shared" si="1485"/>
        <v>06:21:53.172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6</v>
      </c>
      <c r="CP3440" t="s">
        <v>119</v>
      </c>
      <c r="CQ3440">
        <v>457</v>
      </c>
      <c r="CR3440">
        <v>0</v>
      </c>
      <c r="CW3440">
        <v>15526175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 t="shared" si="1482"/>
        <v>08/29/2020 06:21:49.921</v>
      </c>
      <c r="C3441" t="str">
        <f t="shared" si="1462"/>
        <v>FFDFD3C0</v>
      </c>
      <c r="D3441" t="s">
        <v>121</v>
      </c>
      <c r="E3441">
        <v>13</v>
      </c>
      <c r="F3441">
        <v>1013</v>
      </c>
      <c r="G3441" t="s">
        <v>122</v>
      </c>
      <c r="J3441" t="s">
        <v>123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483"/>
        <v>06:21:53.164</v>
      </c>
      <c r="T3441" t="str">
        <f t="shared" si="1484"/>
        <v>06:21:52.664</v>
      </c>
      <c r="U3441" t="str">
        <f t="shared" si="1463"/>
        <v>A7E2E0</v>
      </c>
      <c r="V3441">
        <v>0</v>
      </c>
      <c r="W3441">
        <v>0</v>
      </c>
      <c r="X3441">
        <v>1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0</v>
      </c>
      <c r="AI3441" t="s">
        <v>1609</v>
      </c>
      <c r="AJ3441">
        <v>38.825684000000003</v>
      </c>
      <c r="AK3441" t="s">
        <v>1610</v>
      </c>
      <c r="AL3441">
        <v>-87.603606999999997</v>
      </c>
      <c r="AM3441">
        <v>100</v>
      </c>
      <c r="AN3441">
        <v>1900</v>
      </c>
      <c r="AO3441" t="s">
        <v>118</v>
      </c>
      <c r="AP3441">
        <v>4</v>
      </c>
      <c r="AQ3441">
        <v>-115</v>
      </c>
      <c r="AR3441">
        <v>-896</v>
      </c>
      <c r="AZ3441">
        <v>4552</v>
      </c>
      <c r="BA3441">
        <v>1</v>
      </c>
      <c r="BB3441" t="str">
        <f t="shared" si="1464"/>
        <v xml:space="preserve">N607SR  </v>
      </c>
      <c r="BC3441">
        <v>1</v>
      </c>
      <c r="BE3441">
        <v>0</v>
      </c>
      <c r="BF3441">
        <v>0</v>
      </c>
      <c r="BG3441">
        <v>0</v>
      </c>
      <c r="BH3441">
        <v>1700</v>
      </c>
      <c r="BI3441">
        <v>1</v>
      </c>
      <c r="BJ3441">
        <v>1</v>
      </c>
      <c r="BK3441">
        <v>1</v>
      </c>
      <c r="BL3441">
        <v>0</v>
      </c>
      <c r="BO3441">
        <v>0</v>
      </c>
      <c r="BP3441">
        <v>0</v>
      </c>
      <c r="BW3441" t="str">
        <f t="shared" si="1485"/>
        <v>06:21:53.172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6</v>
      </c>
      <c r="CP3441" t="s">
        <v>119</v>
      </c>
      <c r="CQ3441">
        <v>457</v>
      </c>
      <c r="CR3441">
        <v>0</v>
      </c>
      <c r="CW3441">
        <v>15526175</v>
      </c>
      <c r="CY3441">
        <v>1</v>
      </c>
      <c r="CZ3441">
        <v>0</v>
      </c>
      <c r="DA3441">
        <v>1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 t="shared" ref="A3442:A3447" si="1486">"08/29/2020 06:21:51.001"</f>
        <v>08/29/2020 06:21:51.001</v>
      </c>
      <c r="C3442" t="str">
        <f t="shared" si="1462"/>
        <v>FFDFD3C0</v>
      </c>
      <c r="D3442" t="s">
        <v>113</v>
      </c>
      <c r="E3442">
        <v>5</v>
      </c>
      <c r="H3442">
        <v>163</v>
      </c>
      <c r="I3442" t="s">
        <v>114</v>
      </c>
      <c r="J3442" t="s">
        <v>115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ref="S3442:S3447" si="1487">"06:21:54.227"</f>
        <v>06:21:54.227</v>
      </c>
      <c r="T3442" t="str">
        <f t="shared" ref="T3442:T3447" si="1488">"06:21:53.727"</f>
        <v>06:21:53.727</v>
      </c>
      <c r="U3442" t="str">
        <f t="shared" si="1463"/>
        <v>A7E2E0</v>
      </c>
      <c r="V3442">
        <v>0</v>
      </c>
      <c r="W3442">
        <v>0</v>
      </c>
      <c r="X3442">
        <v>1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0</v>
      </c>
      <c r="AI3442" t="s">
        <v>1611</v>
      </c>
      <c r="AJ3442">
        <v>38.825125999999997</v>
      </c>
      <c r="AK3442" t="s">
        <v>1612</v>
      </c>
      <c r="AL3442">
        <v>-87.603586000000007</v>
      </c>
      <c r="AM3442">
        <v>100</v>
      </c>
      <c r="AN3442">
        <v>1900</v>
      </c>
      <c r="AO3442" t="s">
        <v>118</v>
      </c>
      <c r="AP3442">
        <v>5</v>
      </c>
      <c r="AQ3442">
        <v>-115</v>
      </c>
      <c r="AR3442">
        <v>-896</v>
      </c>
      <c r="AZ3442">
        <v>4552</v>
      </c>
      <c r="BA3442">
        <v>1</v>
      </c>
      <c r="BB3442" t="str">
        <f t="shared" si="1464"/>
        <v xml:space="preserve">N607SR  </v>
      </c>
      <c r="BC3442">
        <v>1</v>
      </c>
      <c r="BE3442">
        <v>0</v>
      </c>
      <c r="BF3442">
        <v>0</v>
      </c>
      <c r="BG3442">
        <v>0</v>
      </c>
      <c r="BH3442">
        <v>1675</v>
      </c>
      <c r="BI3442">
        <v>1</v>
      </c>
      <c r="BJ3442">
        <v>1</v>
      </c>
      <c r="BK3442">
        <v>1</v>
      </c>
      <c r="BL3442">
        <v>0</v>
      </c>
      <c r="BO3442">
        <v>0</v>
      </c>
      <c r="BP3442">
        <v>0</v>
      </c>
      <c r="BW3442" t="str">
        <f t="shared" ref="BW3442:BW3447" si="1489">"06:21:54.228"</f>
        <v>06:21:54.228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6</v>
      </c>
      <c r="CP3442" t="s">
        <v>119</v>
      </c>
      <c r="CQ3442">
        <v>457</v>
      </c>
      <c r="CR3442">
        <v>0</v>
      </c>
      <c r="CW3442">
        <v>15526204</v>
      </c>
      <c r="CY3442">
        <v>1</v>
      </c>
      <c r="CZ3442">
        <v>0</v>
      </c>
      <c r="DA3442">
        <v>0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 t="shared" si="1486"/>
        <v>08/29/2020 06:21:51.001</v>
      </c>
      <c r="C3443" t="str">
        <f t="shared" si="1462"/>
        <v>FFDFD3C0</v>
      </c>
      <c r="D3443" t="s">
        <v>121</v>
      </c>
      <c r="E3443">
        <v>10</v>
      </c>
      <c r="F3443">
        <v>1010</v>
      </c>
      <c r="G3443" t="s">
        <v>114</v>
      </c>
      <c r="J3443" t="s">
        <v>123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487"/>
        <v>06:21:54.227</v>
      </c>
      <c r="T3443" t="str">
        <f t="shared" si="1488"/>
        <v>06:21:53.727</v>
      </c>
      <c r="U3443" t="str">
        <f t="shared" si="1463"/>
        <v>A7E2E0</v>
      </c>
      <c r="V3443">
        <v>0</v>
      </c>
      <c r="W3443">
        <v>0</v>
      </c>
      <c r="X3443">
        <v>1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0</v>
      </c>
      <c r="AI3443" t="s">
        <v>1611</v>
      </c>
      <c r="AJ3443">
        <v>38.825125999999997</v>
      </c>
      <c r="AK3443" t="s">
        <v>1612</v>
      </c>
      <c r="AL3443">
        <v>-87.603586000000007</v>
      </c>
      <c r="AM3443">
        <v>100</v>
      </c>
      <c r="AN3443">
        <v>1900</v>
      </c>
      <c r="AO3443" t="s">
        <v>118</v>
      </c>
      <c r="AP3443">
        <v>5</v>
      </c>
      <c r="AQ3443">
        <v>-115</v>
      </c>
      <c r="AR3443">
        <v>-896</v>
      </c>
      <c r="AZ3443">
        <v>4552</v>
      </c>
      <c r="BA3443">
        <v>1</v>
      </c>
      <c r="BB3443" t="str">
        <f t="shared" si="1464"/>
        <v xml:space="preserve">N607SR  </v>
      </c>
      <c r="BC3443">
        <v>1</v>
      </c>
      <c r="BE3443">
        <v>0</v>
      </c>
      <c r="BF3443">
        <v>0</v>
      </c>
      <c r="BG3443">
        <v>0</v>
      </c>
      <c r="BH3443">
        <v>1675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 t="shared" si="1489"/>
        <v>06:21:54.228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6</v>
      </c>
      <c r="CP3443" t="s">
        <v>119</v>
      </c>
      <c r="CQ3443">
        <v>457</v>
      </c>
      <c r="CR3443">
        <v>0</v>
      </c>
      <c r="CW3443">
        <v>15526204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 t="shared" si="1486"/>
        <v>08/29/2020 06:21:51.001</v>
      </c>
      <c r="C3444" t="str">
        <f t="shared" si="1462"/>
        <v>FFDFD3C0</v>
      </c>
      <c r="D3444" t="s">
        <v>128</v>
      </c>
      <c r="E3444">
        <v>5</v>
      </c>
      <c r="H3444">
        <v>241</v>
      </c>
      <c r="I3444" t="s">
        <v>129</v>
      </c>
      <c r="J3444" t="s">
        <v>130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487"/>
        <v>06:21:54.227</v>
      </c>
      <c r="T3444" t="str">
        <f t="shared" si="1488"/>
        <v>06:21:53.727</v>
      </c>
      <c r="U3444" t="str">
        <f t="shared" si="1463"/>
        <v>A7E2E0</v>
      </c>
      <c r="V3444">
        <v>0</v>
      </c>
      <c r="W3444">
        <v>0</v>
      </c>
      <c r="X3444">
        <v>1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0</v>
      </c>
      <c r="AI3444" t="s">
        <v>1611</v>
      </c>
      <c r="AJ3444">
        <v>38.825125999999997</v>
      </c>
      <c r="AK3444" t="s">
        <v>1612</v>
      </c>
      <c r="AL3444">
        <v>-87.603586000000007</v>
      </c>
      <c r="AM3444">
        <v>100</v>
      </c>
      <c r="AN3444">
        <v>1900</v>
      </c>
      <c r="AO3444" t="s">
        <v>118</v>
      </c>
      <c r="AP3444">
        <v>5</v>
      </c>
      <c r="AQ3444">
        <v>-115</v>
      </c>
      <c r="AR3444">
        <v>-896</v>
      </c>
      <c r="AZ3444">
        <v>4552</v>
      </c>
      <c r="BA3444">
        <v>1</v>
      </c>
      <c r="BB3444" t="str">
        <f t="shared" si="1464"/>
        <v xml:space="preserve">N607SR  </v>
      </c>
      <c r="BC3444">
        <v>1</v>
      </c>
      <c r="BE3444">
        <v>0</v>
      </c>
      <c r="BF3444">
        <v>0</v>
      </c>
      <c r="BG3444">
        <v>0</v>
      </c>
      <c r="BH3444">
        <v>1675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 t="shared" si="1489"/>
        <v>06:21:54.228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6</v>
      </c>
      <c r="CP3444" t="s">
        <v>119</v>
      </c>
      <c r="CQ3444">
        <v>457</v>
      </c>
      <c r="CR3444">
        <v>0</v>
      </c>
      <c r="CW3444">
        <v>15526204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 t="shared" si="1486"/>
        <v>08/29/2020 06:21:51.001</v>
      </c>
      <c r="C3445" t="str">
        <f t="shared" si="1462"/>
        <v>FFDFD3C0</v>
      </c>
      <c r="D3445" t="s">
        <v>121</v>
      </c>
      <c r="E3445">
        <v>13</v>
      </c>
      <c r="F3445">
        <v>1013</v>
      </c>
      <c r="G3445" t="s">
        <v>122</v>
      </c>
      <c r="J3445" t="s">
        <v>123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487"/>
        <v>06:21:54.227</v>
      </c>
      <c r="T3445" t="str">
        <f t="shared" si="1488"/>
        <v>06:21:53.727</v>
      </c>
      <c r="U3445" t="str">
        <f t="shared" si="1463"/>
        <v>A7E2E0</v>
      </c>
      <c r="V3445">
        <v>0</v>
      </c>
      <c r="W3445">
        <v>0</v>
      </c>
      <c r="X3445">
        <v>1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0</v>
      </c>
      <c r="AI3445" t="s">
        <v>1611</v>
      </c>
      <c r="AJ3445">
        <v>38.825125999999997</v>
      </c>
      <c r="AK3445" t="s">
        <v>1612</v>
      </c>
      <c r="AL3445">
        <v>-87.603586000000007</v>
      </c>
      <c r="AM3445">
        <v>100</v>
      </c>
      <c r="AN3445">
        <v>1900</v>
      </c>
      <c r="AO3445" t="s">
        <v>118</v>
      </c>
      <c r="AP3445">
        <v>5</v>
      </c>
      <c r="AQ3445">
        <v>-115</v>
      </c>
      <c r="AR3445">
        <v>-896</v>
      </c>
      <c r="AZ3445">
        <v>4552</v>
      </c>
      <c r="BA3445">
        <v>1</v>
      </c>
      <c r="BB3445" t="str">
        <f t="shared" si="1464"/>
        <v xml:space="preserve">N607SR  </v>
      </c>
      <c r="BC3445">
        <v>1</v>
      </c>
      <c r="BE3445">
        <v>0</v>
      </c>
      <c r="BF3445">
        <v>0</v>
      </c>
      <c r="BG3445">
        <v>0</v>
      </c>
      <c r="BH3445">
        <v>1675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 t="shared" si="1489"/>
        <v>06:21:54.228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6</v>
      </c>
      <c r="CP3445" t="s">
        <v>119</v>
      </c>
      <c r="CQ3445">
        <v>457</v>
      </c>
      <c r="CR3445">
        <v>0</v>
      </c>
      <c r="CW3445">
        <v>15526204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 t="shared" si="1486"/>
        <v>08/29/2020 06:21:51.001</v>
      </c>
      <c r="C3446" t="str">
        <f t="shared" si="1462"/>
        <v>FFDFD3C0</v>
      </c>
      <c r="D3446" t="s">
        <v>939</v>
      </c>
      <c r="E3446">
        <v>10</v>
      </c>
      <c r="H3446">
        <v>79</v>
      </c>
      <c r="I3446" t="s">
        <v>940</v>
      </c>
      <c r="J3446" t="s">
        <v>130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si="1487"/>
        <v>06:21:54.227</v>
      </c>
      <c r="T3446" t="str">
        <f t="shared" si="1488"/>
        <v>06:21:53.727</v>
      </c>
      <c r="U3446" t="str">
        <f t="shared" si="1463"/>
        <v>A7E2E0</v>
      </c>
      <c r="V3446">
        <v>0</v>
      </c>
      <c r="W3446">
        <v>0</v>
      </c>
      <c r="X3446">
        <v>1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0</v>
      </c>
      <c r="AI3446" t="s">
        <v>1611</v>
      </c>
      <c r="AJ3446">
        <v>38.825125999999997</v>
      </c>
      <c r="AK3446" t="s">
        <v>1612</v>
      </c>
      <c r="AL3446">
        <v>-87.603586000000007</v>
      </c>
      <c r="AM3446">
        <v>100</v>
      </c>
      <c r="AN3446">
        <v>1900</v>
      </c>
      <c r="AO3446" t="s">
        <v>118</v>
      </c>
      <c r="AP3446">
        <v>5</v>
      </c>
      <c r="AQ3446">
        <v>-115</v>
      </c>
      <c r="AR3446">
        <v>-896</v>
      </c>
      <c r="AZ3446">
        <v>4552</v>
      </c>
      <c r="BA3446">
        <v>1</v>
      </c>
      <c r="BB3446" t="str">
        <f t="shared" si="1464"/>
        <v xml:space="preserve">N607SR  </v>
      </c>
      <c r="BC3446">
        <v>1</v>
      </c>
      <c r="BE3446">
        <v>0</v>
      </c>
      <c r="BF3446">
        <v>0</v>
      </c>
      <c r="BG3446">
        <v>0</v>
      </c>
      <c r="BH3446">
        <v>1675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 t="shared" si="1489"/>
        <v>06:21:54.228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5</v>
      </c>
      <c r="CP3446" t="s">
        <v>119</v>
      </c>
      <c r="CQ3446">
        <v>465</v>
      </c>
      <c r="CR3446">
        <v>0</v>
      </c>
      <c r="CW3446">
        <v>4730996</v>
      </c>
      <c r="CY3446">
        <v>1</v>
      </c>
      <c r="CZ3446">
        <v>0</v>
      </c>
      <c r="DA3446">
        <v>1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 t="shared" si="1486"/>
        <v>08/29/2020 06:21:51.001</v>
      </c>
      <c r="C3447" t="str">
        <f t="shared" si="1462"/>
        <v>FFDFD3C0</v>
      </c>
      <c r="D3447" t="s">
        <v>121</v>
      </c>
      <c r="E3447">
        <v>11</v>
      </c>
      <c r="F3447">
        <v>1011</v>
      </c>
      <c r="G3447" t="s">
        <v>125</v>
      </c>
      <c r="J3447" t="s">
        <v>123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487"/>
        <v>06:21:54.227</v>
      </c>
      <c r="T3447" t="str">
        <f t="shared" si="1488"/>
        <v>06:21:53.727</v>
      </c>
      <c r="U3447" t="str">
        <f t="shared" si="1463"/>
        <v>A7E2E0</v>
      </c>
      <c r="V3447">
        <v>0</v>
      </c>
      <c r="W3447">
        <v>0</v>
      </c>
      <c r="X3447">
        <v>1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0</v>
      </c>
      <c r="AI3447" t="s">
        <v>1611</v>
      </c>
      <c r="AJ3447">
        <v>38.825125999999997</v>
      </c>
      <c r="AK3447" t="s">
        <v>1612</v>
      </c>
      <c r="AL3447">
        <v>-87.603586000000007</v>
      </c>
      <c r="AM3447">
        <v>100</v>
      </c>
      <c r="AN3447">
        <v>1900</v>
      </c>
      <c r="AO3447" t="s">
        <v>118</v>
      </c>
      <c r="AP3447">
        <v>5</v>
      </c>
      <c r="AQ3447">
        <v>-115</v>
      </c>
      <c r="AR3447">
        <v>-896</v>
      </c>
      <c r="AZ3447">
        <v>4552</v>
      </c>
      <c r="BA3447">
        <v>1</v>
      </c>
      <c r="BB3447" t="str">
        <f t="shared" si="1464"/>
        <v xml:space="preserve">N607SR  </v>
      </c>
      <c r="BC3447">
        <v>1</v>
      </c>
      <c r="BE3447">
        <v>0</v>
      </c>
      <c r="BF3447">
        <v>0</v>
      </c>
      <c r="BG3447">
        <v>0</v>
      </c>
      <c r="BH3447">
        <v>1675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 t="shared" si="1489"/>
        <v>06:21:54.228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6</v>
      </c>
      <c r="CP3447" t="s">
        <v>119</v>
      </c>
      <c r="CQ3447">
        <v>457</v>
      </c>
      <c r="CR3447">
        <v>0</v>
      </c>
      <c r="CW3447">
        <v>15526204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 t="shared" ref="A3448:A3453" si="1490">"08/29/2020 06:21:51.955"</f>
        <v>08/29/2020 06:21:51.955</v>
      </c>
      <c r="C3448" t="str">
        <f t="shared" si="1462"/>
        <v>FFDFD3C0</v>
      </c>
      <c r="D3448" t="s">
        <v>121</v>
      </c>
      <c r="E3448">
        <v>11</v>
      </c>
      <c r="F3448">
        <v>1011</v>
      </c>
      <c r="G3448" t="s">
        <v>125</v>
      </c>
      <c r="J3448" t="s">
        <v>123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ref="S3448:S3453" si="1491">"06:21:55.164"</f>
        <v>06:21:55.164</v>
      </c>
      <c r="T3448" t="str">
        <f>"06:21:54.764"</f>
        <v>06:21:54.764</v>
      </c>
      <c r="U3448" t="str">
        <f t="shared" si="1463"/>
        <v>A7E2E0</v>
      </c>
      <c r="V3448">
        <v>0</v>
      </c>
      <c r="W3448">
        <v>0</v>
      </c>
      <c r="X3448">
        <v>1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0</v>
      </c>
      <c r="AI3448" t="s">
        <v>1613</v>
      </c>
      <c r="AJ3448">
        <v>38.824632000000001</v>
      </c>
      <c r="AK3448" t="s">
        <v>1614</v>
      </c>
      <c r="AL3448">
        <v>-87.603543000000002</v>
      </c>
      <c r="AM3448">
        <v>100</v>
      </c>
      <c r="AN3448">
        <v>1900</v>
      </c>
      <c r="AO3448" t="s">
        <v>118</v>
      </c>
      <c r="AP3448">
        <v>6</v>
      </c>
      <c r="AQ3448">
        <v>-115</v>
      </c>
      <c r="AR3448">
        <v>-832</v>
      </c>
      <c r="AZ3448">
        <v>4552</v>
      </c>
      <c r="BA3448">
        <v>1</v>
      </c>
      <c r="BB3448" t="str">
        <f t="shared" si="1464"/>
        <v xml:space="preserve">N607SR  </v>
      </c>
      <c r="BC3448">
        <v>1</v>
      </c>
      <c r="BE3448">
        <v>0</v>
      </c>
      <c r="BF3448">
        <v>0</v>
      </c>
      <c r="BG3448">
        <v>0</v>
      </c>
      <c r="BH3448">
        <v>1675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 t="shared" ref="BW3448:BW3453" si="1492">"06:21:55.169"</f>
        <v>06:21:55.169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6</v>
      </c>
      <c r="CP3448" t="s">
        <v>119</v>
      </c>
      <c r="CQ3448">
        <v>457</v>
      </c>
      <c r="CR3448">
        <v>0</v>
      </c>
      <c r="CW3448">
        <v>15526228</v>
      </c>
      <c r="CY3448">
        <v>1</v>
      </c>
      <c r="CZ3448">
        <v>0</v>
      </c>
      <c r="DA3448">
        <v>0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 t="shared" si="1490"/>
        <v>08/29/2020 06:21:51.955</v>
      </c>
      <c r="C3449" t="str">
        <f t="shared" si="1462"/>
        <v>FFDFD3C0</v>
      </c>
      <c r="D3449" t="s">
        <v>113</v>
      </c>
      <c r="E3449">
        <v>5</v>
      </c>
      <c r="H3449">
        <v>163</v>
      </c>
      <c r="I3449" t="s">
        <v>114</v>
      </c>
      <c r="J3449" t="s">
        <v>115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491"/>
        <v>06:21:55.164</v>
      </c>
      <c r="U3449" t="str">
        <f t="shared" si="1463"/>
        <v>A7E2E0</v>
      </c>
      <c r="V3449">
        <v>0</v>
      </c>
      <c r="W3449">
        <v>0</v>
      </c>
      <c r="X3449">
        <v>1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0</v>
      </c>
      <c r="AI3449" t="s">
        <v>1613</v>
      </c>
      <c r="AJ3449">
        <v>38.824632000000001</v>
      </c>
      <c r="AK3449" t="s">
        <v>1614</v>
      </c>
      <c r="AL3449">
        <v>-87.603543000000002</v>
      </c>
      <c r="AM3449">
        <v>100</v>
      </c>
      <c r="AN3449">
        <v>1900</v>
      </c>
      <c r="AO3449" t="s">
        <v>118</v>
      </c>
      <c r="AP3449">
        <v>6</v>
      </c>
      <c r="AQ3449">
        <v>-115</v>
      </c>
      <c r="AR3449">
        <v>-832</v>
      </c>
      <c r="AZ3449">
        <v>4552</v>
      </c>
      <c r="BA3449">
        <v>1</v>
      </c>
      <c r="BB3449" t="str">
        <f t="shared" si="1464"/>
        <v xml:space="preserve">N607SR  </v>
      </c>
      <c r="BC3449">
        <v>1</v>
      </c>
      <c r="BE3449">
        <v>0</v>
      </c>
      <c r="BF3449">
        <v>0</v>
      </c>
      <c r="BG3449">
        <v>0</v>
      </c>
      <c r="BH3449">
        <v>1675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 t="shared" si="1492"/>
        <v>06:21:55.169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5</v>
      </c>
      <c r="CP3449" t="s">
        <v>119</v>
      </c>
      <c r="CQ3449">
        <v>465</v>
      </c>
      <c r="CR3449">
        <v>0</v>
      </c>
      <c r="CW3449">
        <v>4731023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 t="shared" si="1490"/>
        <v>08/29/2020 06:21:51.955</v>
      </c>
      <c r="C3450" t="str">
        <f t="shared" si="1462"/>
        <v>FFDFD3C0</v>
      </c>
      <c r="D3450" t="s">
        <v>121</v>
      </c>
      <c r="E3450">
        <v>10</v>
      </c>
      <c r="F3450">
        <v>1010</v>
      </c>
      <c r="G3450" t="s">
        <v>114</v>
      </c>
      <c r="J3450" t="s">
        <v>123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491"/>
        <v>06:21:55.164</v>
      </c>
      <c r="U3450" t="str">
        <f t="shared" si="1463"/>
        <v>A7E2E0</v>
      </c>
      <c r="V3450">
        <v>0</v>
      </c>
      <c r="W3450">
        <v>0</v>
      </c>
      <c r="X3450">
        <v>1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0</v>
      </c>
      <c r="AI3450" t="s">
        <v>1613</v>
      </c>
      <c r="AJ3450">
        <v>38.824632000000001</v>
      </c>
      <c r="AK3450" t="s">
        <v>1614</v>
      </c>
      <c r="AL3450">
        <v>-87.603543000000002</v>
      </c>
      <c r="AM3450">
        <v>100</v>
      </c>
      <c r="AN3450">
        <v>1900</v>
      </c>
      <c r="AO3450" t="s">
        <v>118</v>
      </c>
      <c r="AP3450">
        <v>6</v>
      </c>
      <c r="AQ3450">
        <v>-115</v>
      </c>
      <c r="AR3450">
        <v>-832</v>
      </c>
      <c r="AZ3450">
        <v>4552</v>
      </c>
      <c r="BA3450">
        <v>1</v>
      </c>
      <c r="BB3450" t="str">
        <f t="shared" si="1464"/>
        <v xml:space="preserve">N607SR  </v>
      </c>
      <c r="BC3450">
        <v>1</v>
      </c>
      <c r="BE3450">
        <v>0</v>
      </c>
      <c r="BF3450">
        <v>0</v>
      </c>
      <c r="BG3450">
        <v>0</v>
      </c>
      <c r="BH3450">
        <v>1675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 t="shared" si="1492"/>
        <v>06:21:55.169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5</v>
      </c>
      <c r="CP3450" t="s">
        <v>119</v>
      </c>
      <c r="CQ3450">
        <v>465</v>
      </c>
      <c r="CR3450">
        <v>0</v>
      </c>
      <c r="CW3450">
        <v>4731023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 t="shared" si="1490"/>
        <v>08/29/2020 06:21:51.955</v>
      </c>
      <c r="C3451" t="str">
        <f t="shared" si="1462"/>
        <v>FFDFD3C0</v>
      </c>
      <c r="D3451" t="s">
        <v>128</v>
      </c>
      <c r="E3451">
        <v>5</v>
      </c>
      <c r="H3451">
        <v>241</v>
      </c>
      <c r="I3451" t="s">
        <v>129</v>
      </c>
      <c r="J3451" t="s">
        <v>130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491"/>
        <v>06:21:55.164</v>
      </c>
      <c r="U3451" t="str">
        <f t="shared" si="1463"/>
        <v>A7E2E0</v>
      </c>
      <c r="V3451">
        <v>0</v>
      </c>
      <c r="W3451">
        <v>0</v>
      </c>
      <c r="X3451">
        <v>1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0</v>
      </c>
      <c r="AI3451" t="s">
        <v>1613</v>
      </c>
      <c r="AJ3451">
        <v>38.824632000000001</v>
      </c>
      <c r="AK3451" t="s">
        <v>1614</v>
      </c>
      <c r="AL3451">
        <v>-87.603543000000002</v>
      </c>
      <c r="AM3451">
        <v>100</v>
      </c>
      <c r="AN3451">
        <v>1900</v>
      </c>
      <c r="AO3451" t="s">
        <v>118</v>
      </c>
      <c r="AP3451">
        <v>6</v>
      </c>
      <c r="AQ3451">
        <v>-115</v>
      </c>
      <c r="AR3451">
        <v>-832</v>
      </c>
      <c r="AZ3451">
        <v>4552</v>
      </c>
      <c r="BA3451">
        <v>1</v>
      </c>
      <c r="BB3451" t="str">
        <f t="shared" si="1464"/>
        <v xml:space="preserve">N607SR  </v>
      </c>
      <c r="BC3451">
        <v>1</v>
      </c>
      <c r="BE3451">
        <v>0</v>
      </c>
      <c r="BF3451">
        <v>0</v>
      </c>
      <c r="BG3451">
        <v>0</v>
      </c>
      <c r="BH3451">
        <v>1675</v>
      </c>
      <c r="BI3451">
        <v>1</v>
      </c>
      <c r="BJ3451">
        <v>1</v>
      </c>
      <c r="BK3451">
        <v>1</v>
      </c>
      <c r="BL3451">
        <v>0</v>
      </c>
      <c r="BO3451">
        <v>0</v>
      </c>
      <c r="BP3451">
        <v>0</v>
      </c>
      <c r="BW3451" t="str">
        <f t="shared" si="1492"/>
        <v>06:21:55.169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5</v>
      </c>
      <c r="CP3451" t="s">
        <v>119</v>
      </c>
      <c r="CQ3451">
        <v>465</v>
      </c>
      <c r="CR3451">
        <v>0</v>
      </c>
      <c r="CW3451">
        <v>4731023</v>
      </c>
      <c r="CY3451">
        <v>1</v>
      </c>
      <c r="CZ3451">
        <v>0</v>
      </c>
      <c r="DA3451">
        <v>1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 t="shared" si="1490"/>
        <v>08/29/2020 06:21:51.955</v>
      </c>
      <c r="C3452" t="str">
        <f t="shared" si="1462"/>
        <v>FFDFD3C0</v>
      </c>
      <c r="D3452" t="s">
        <v>121</v>
      </c>
      <c r="E3452">
        <v>13</v>
      </c>
      <c r="F3452">
        <v>1013</v>
      </c>
      <c r="G3452" t="s">
        <v>122</v>
      </c>
      <c r="J3452" t="s">
        <v>123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si="1491"/>
        <v>06:21:55.164</v>
      </c>
      <c r="U3452" t="str">
        <f t="shared" si="1463"/>
        <v>A7E2E0</v>
      </c>
      <c r="V3452">
        <v>0</v>
      </c>
      <c r="W3452">
        <v>0</v>
      </c>
      <c r="X3452">
        <v>1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3</v>
      </c>
      <c r="AG3452">
        <v>2</v>
      </c>
      <c r="AH3452">
        <v>0</v>
      </c>
      <c r="AI3452" t="s">
        <v>1613</v>
      </c>
      <c r="AJ3452">
        <v>38.824632000000001</v>
      </c>
      <c r="AK3452" t="s">
        <v>1614</v>
      </c>
      <c r="AL3452">
        <v>-87.603543000000002</v>
      </c>
      <c r="AM3452">
        <v>100</v>
      </c>
      <c r="AN3452">
        <v>1900</v>
      </c>
      <c r="AO3452" t="s">
        <v>118</v>
      </c>
      <c r="AP3452">
        <v>6</v>
      </c>
      <c r="AQ3452">
        <v>-115</v>
      </c>
      <c r="AR3452">
        <v>-832</v>
      </c>
      <c r="AZ3452">
        <v>4552</v>
      </c>
      <c r="BA3452">
        <v>1</v>
      </c>
      <c r="BB3452" t="str">
        <f t="shared" si="1464"/>
        <v xml:space="preserve">N607SR  </v>
      </c>
      <c r="BC3452">
        <v>1</v>
      </c>
      <c r="BE3452">
        <v>0</v>
      </c>
      <c r="BF3452">
        <v>0</v>
      </c>
      <c r="BG3452">
        <v>0</v>
      </c>
      <c r="BH3452">
        <v>1675</v>
      </c>
      <c r="BI3452">
        <v>1</v>
      </c>
      <c r="BJ3452">
        <v>1</v>
      </c>
      <c r="BK3452">
        <v>1</v>
      </c>
      <c r="BL3452">
        <v>0</v>
      </c>
      <c r="BO3452">
        <v>0</v>
      </c>
      <c r="BP3452">
        <v>0</v>
      </c>
      <c r="BW3452" t="str">
        <f t="shared" si="1492"/>
        <v>06:21:55.169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5</v>
      </c>
      <c r="CP3452" t="s">
        <v>119</v>
      </c>
      <c r="CQ3452">
        <v>465</v>
      </c>
      <c r="CR3452">
        <v>0</v>
      </c>
      <c r="CW3452">
        <v>4731023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 t="shared" si="1490"/>
        <v>08/29/2020 06:21:51.955</v>
      </c>
      <c r="C3453" t="str">
        <f t="shared" si="1462"/>
        <v>FFDFD3C0</v>
      </c>
      <c r="D3453" t="s">
        <v>939</v>
      </c>
      <c r="E3453">
        <v>10</v>
      </c>
      <c r="H3453">
        <v>79</v>
      </c>
      <c r="I3453" t="s">
        <v>940</v>
      </c>
      <c r="J3453" t="s">
        <v>130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491"/>
        <v>06:21:55.164</v>
      </c>
      <c r="U3453" t="str">
        <f t="shared" si="1463"/>
        <v>A7E2E0</v>
      </c>
      <c r="V3453">
        <v>0</v>
      </c>
      <c r="W3453">
        <v>0</v>
      </c>
      <c r="X3453">
        <v>1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0</v>
      </c>
      <c r="AI3453" t="s">
        <v>1613</v>
      </c>
      <c r="AJ3453">
        <v>38.824632000000001</v>
      </c>
      <c r="AK3453" t="s">
        <v>1614</v>
      </c>
      <c r="AL3453">
        <v>-87.603543000000002</v>
      </c>
      <c r="AM3453">
        <v>100</v>
      </c>
      <c r="AN3453">
        <v>1900</v>
      </c>
      <c r="AO3453" t="s">
        <v>118</v>
      </c>
      <c r="AP3453">
        <v>6</v>
      </c>
      <c r="AQ3453">
        <v>-115</v>
      </c>
      <c r="AR3453">
        <v>-832</v>
      </c>
      <c r="AZ3453">
        <v>4552</v>
      </c>
      <c r="BA3453">
        <v>1</v>
      </c>
      <c r="BB3453" t="str">
        <f t="shared" si="1464"/>
        <v xml:space="preserve">N607SR  </v>
      </c>
      <c r="BC3453">
        <v>1</v>
      </c>
      <c r="BE3453">
        <v>0</v>
      </c>
      <c r="BF3453">
        <v>0</v>
      </c>
      <c r="BG3453">
        <v>0</v>
      </c>
      <c r="BH3453">
        <v>1675</v>
      </c>
      <c r="BI3453">
        <v>1</v>
      </c>
      <c r="BJ3453">
        <v>1</v>
      </c>
      <c r="BK3453">
        <v>1</v>
      </c>
      <c r="BL3453">
        <v>0</v>
      </c>
      <c r="BO3453">
        <v>0</v>
      </c>
      <c r="BP3453">
        <v>0</v>
      </c>
      <c r="BW3453" t="str">
        <f t="shared" si="1492"/>
        <v>06:21:55.169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5</v>
      </c>
      <c r="CP3453" t="s">
        <v>119</v>
      </c>
      <c r="CQ3453">
        <v>465</v>
      </c>
      <c r="CR3453">
        <v>0</v>
      </c>
      <c r="CW3453">
        <v>4731023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 t="shared" ref="A3454:A3459" si="1493">"08/29/2020 06:21:52.928"</f>
        <v>08/29/2020 06:21:52.928</v>
      </c>
      <c r="C3454" t="str">
        <f t="shared" si="1462"/>
        <v>FFDFD3C0</v>
      </c>
      <c r="D3454" t="s">
        <v>113</v>
      </c>
      <c r="E3454">
        <v>5</v>
      </c>
      <c r="H3454">
        <v>163</v>
      </c>
      <c r="I3454" t="s">
        <v>114</v>
      </c>
      <c r="J3454" t="s">
        <v>115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ref="S3454:S3459" si="1494">"06:21:56.141"</f>
        <v>06:21:56.141</v>
      </c>
      <c r="T3454" t="str">
        <f>"06:21:55.741"</f>
        <v>06:21:55.741</v>
      </c>
      <c r="U3454" t="str">
        <f t="shared" si="1463"/>
        <v>A7E2E0</v>
      </c>
      <c r="V3454">
        <v>0</v>
      </c>
      <c r="W3454">
        <v>0</v>
      </c>
      <c r="X3454">
        <v>1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0</v>
      </c>
      <c r="AI3454" t="s">
        <v>1615</v>
      </c>
      <c r="AJ3454">
        <v>38.824074000000003</v>
      </c>
      <c r="AK3454" t="s">
        <v>1616</v>
      </c>
      <c r="AL3454">
        <v>-87.603477999999996</v>
      </c>
      <c r="AM3454">
        <v>100</v>
      </c>
      <c r="AN3454">
        <v>1900</v>
      </c>
      <c r="AO3454" t="s">
        <v>118</v>
      </c>
      <c r="AP3454">
        <v>6</v>
      </c>
      <c r="AQ3454">
        <v>-115</v>
      </c>
      <c r="AR3454">
        <v>-768</v>
      </c>
      <c r="AZ3454">
        <v>4552</v>
      </c>
      <c r="BA3454">
        <v>1</v>
      </c>
      <c r="BB3454" t="str">
        <f t="shared" si="1464"/>
        <v xml:space="preserve">N607SR  </v>
      </c>
      <c r="BC3454">
        <v>1</v>
      </c>
      <c r="BE3454">
        <v>0</v>
      </c>
      <c r="BF3454">
        <v>0</v>
      </c>
      <c r="BG3454">
        <v>0</v>
      </c>
      <c r="BH3454">
        <v>1650</v>
      </c>
      <c r="BI3454">
        <v>1</v>
      </c>
      <c r="BJ3454">
        <v>1</v>
      </c>
      <c r="BK3454">
        <v>1</v>
      </c>
      <c r="BL3454">
        <v>0</v>
      </c>
      <c r="BO3454">
        <v>0</v>
      </c>
      <c r="BP3454">
        <v>0</v>
      </c>
      <c r="BW3454" t="str">
        <f>"06:21:56.145"</f>
        <v>06:21:56.145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6</v>
      </c>
      <c r="CP3454" t="s">
        <v>119</v>
      </c>
      <c r="CQ3454">
        <v>465</v>
      </c>
      <c r="CR3454">
        <v>0</v>
      </c>
      <c r="CW3454">
        <v>4731049</v>
      </c>
      <c r="CY3454">
        <v>1</v>
      </c>
      <c r="CZ3454">
        <v>0</v>
      </c>
      <c r="DA3454">
        <v>0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 t="shared" si="1493"/>
        <v>08/29/2020 06:21:52.928</v>
      </c>
      <c r="C3455" t="str">
        <f t="shared" si="1462"/>
        <v>FFDFD3C0</v>
      </c>
      <c r="D3455" t="s">
        <v>121</v>
      </c>
      <c r="E3455">
        <v>11</v>
      </c>
      <c r="F3455">
        <v>1011</v>
      </c>
      <c r="G3455" t="s">
        <v>125</v>
      </c>
      <c r="J3455" t="s">
        <v>123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si="1494"/>
        <v>06:21:56.141</v>
      </c>
      <c r="T3455" t="str">
        <f>"06:21:55.641"</f>
        <v>06:21:55.641</v>
      </c>
      <c r="U3455" t="str">
        <f t="shared" si="1463"/>
        <v>A7E2E0</v>
      </c>
      <c r="V3455">
        <v>0</v>
      </c>
      <c r="W3455">
        <v>0</v>
      </c>
      <c r="X3455">
        <v>1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0</v>
      </c>
      <c r="AI3455" t="s">
        <v>1615</v>
      </c>
      <c r="AJ3455">
        <v>38.824074000000003</v>
      </c>
      <c r="AK3455" t="s">
        <v>1616</v>
      </c>
      <c r="AL3455">
        <v>-87.603477999999996</v>
      </c>
      <c r="AM3455">
        <v>100</v>
      </c>
      <c r="AN3455">
        <v>1900</v>
      </c>
      <c r="AO3455" t="s">
        <v>118</v>
      </c>
      <c r="AP3455">
        <v>6</v>
      </c>
      <c r="AQ3455">
        <v>-115</v>
      </c>
      <c r="AR3455">
        <v>-768</v>
      </c>
      <c r="AZ3455">
        <v>4552</v>
      </c>
      <c r="BA3455">
        <v>1</v>
      </c>
      <c r="BB3455" t="str">
        <f t="shared" si="1464"/>
        <v xml:space="preserve">N607SR  </v>
      </c>
      <c r="BC3455">
        <v>1</v>
      </c>
      <c r="BE3455">
        <v>0</v>
      </c>
      <c r="BF3455">
        <v>0</v>
      </c>
      <c r="BG3455">
        <v>0</v>
      </c>
      <c r="BH3455">
        <v>1650</v>
      </c>
      <c r="BI3455">
        <v>1</v>
      </c>
      <c r="BJ3455">
        <v>1</v>
      </c>
      <c r="BK3455">
        <v>1</v>
      </c>
      <c r="BL3455">
        <v>0</v>
      </c>
      <c r="BO3455">
        <v>0</v>
      </c>
      <c r="BP3455">
        <v>0</v>
      </c>
      <c r="BW3455" t="str">
        <f>"06:21:56.146"</f>
        <v>06:21:56.146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4</v>
      </c>
      <c r="CP3455" t="s">
        <v>119</v>
      </c>
      <c r="CQ3455">
        <v>177</v>
      </c>
      <c r="CR3455">
        <v>2</v>
      </c>
      <c r="CW3455">
        <v>1699649</v>
      </c>
      <c r="CY3455">
        <v>1</v>
      </c>
      <c r="CZ3455">
        <v>0</v>
      </c>
      <c r="DA3455">
        <v>1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 t="shared" si="1493"/>
        <v>08/29/2020 06:21:52.928</v>
      </c>
      <c r="C3456" t="str">
        <f t="shared" si="1462"/>
        <v>FFDFD3C0</v>
      </c>
      <c r="D3456" t="s">
        <v>121</v>
      </c>
      <c r="E3456">
        <v>10</v>
      </c>
      <c r="F3456">
        <v>1010</v>
      </c>
      <c r="G3456" t="s">
        <v>114</v>
      </c>
      <c r="J3456" t="s">
        <v>123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494"/>
        <v>06:21:56.141</v>
      </c>
      <c r="T3456" t="str">
        <f>"06:21:55.741"</f>
        <v>06:21:55.741</v>
      </c>
      <c r="U3456" t="str">
        <f t="shared" si="1463"/>
        <v>A7E2E0</v>
      </c>
      <c r="V3456">
        <v>0</v>
      </c>
      <c r="W3456">
        <v>0</v>
      </c>
      <c r="X3456">
        <v>1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0</v>
      </c>
      <c r="AI3456" t="s">
        <v>1615</v>
      </c>
      <c r="AJ3456">
        <v>38.824074000000003</v>
      </c>
      <c r="AK3456" t="s">
        <v>1616</v>
      </c>
      <c r="AL3456">
        <v>-87.603477999999996</v>
      </c>
      <c r="AM3456">
        <v>100</v>
      </c>
      <c r="AN3456">
        <v>1900</v>
      </c>
      <c r="AO3456" t="s">
        <v>118</v>
      </c>
      <c r="AP3456">
        <v>6</v>
      </c>
      <c r="AQ3456">
        <v>-115</v>
      </c>
      <c r="AR3456">
        <v>-768</v>
      </c>
      <c r="AZ3456">
        <v>4552</v>
      </c>
      <c r="BA3456">
        <v>1</v>
      </c>
      <c r="BB3456" t="str">
        <f t="shared" si="1464"/>
        <v xml:space="preserve">N607SR  </v>
      </c>
      <c r="BC3456">
        <v>1</v>
      </c>
      <c r="BE3456">
        <v>0</v>
      </c>
      <c r="BF3456">
        <v>0</v>
      </c>
      <c r="BG3456">
        <v>0</v>
      </c>
      <c r="BH3456">
        <v>1650</v>
      </c>
      <c r="BI3456">
        <v>1</v>
      </c>
      <c r="BJ3456">
        <v>1</v>
      </c>
      <c r="BK3456">
        <v>1</v>
      </c>
      <c r="BL3456">
        <v>0</v>
      </c>
      <c r="BO3456">
        <v>0</v>
      </c>
      <c r="BP3456">
        <v>0</v>
      </c>
      <c r="BW3456" t="str">
        <f>"06:21:56.145"</f>
        <v>06:21:56.145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6</v>
      </c>
      <c r="CP3456" t="s">
        <v>119</v>
      </c>
      <c r="CQ3456">
        <v>465</v>
      </c>
      <c r="CR3456">
        <v>0</v>
      </c>
      <c r="CW3456">
        <v>4731049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 t="shared" si="1493"/>
        <v>08/29/2020 06:21:52.928</v>
      </c>
      <c r="C3457" t="str">
        <f t="shared" si="1462"/>
        <v>FFDFD3C0</v>
      </c>
      <c r="D3457" t="s">
        <v>128</v>
      </c>
      <c r="E3457">
        <v>5</v>
      </c>
      <c r="H3457">
        <v>241</v>
      </c>
      <c r="I3457" t="s">
        <v>129</v>
      </c>
      <c r="J3457" t="s">
        <v>130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494"/>
        <v>06:21:56.141</v>
      </c>
      <c r="T3457" t="str">
        <f>"06:21:55.741"</f>
        <v>06:21:55.741</v>
      </c>
      <c r="U3457" t="str">
        <f t="shared" si="1463"/>
        <v>A7E2E0</v>
      </c>
      <c r="V3457">
        <v>0</v>
      </c>
      <c r="W3457">
        <v>0</v>
      </c>
      <c r="X3457">
        <v>1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0</v>
      </c>
      <c r="AI3457" t="s">
        <v>1615</v>
      </c>
      <c r="AJ3457">
        <v>38.824074000000003</v>
      </c>
      <c r="AK3457" t="s">
        <v>1616</v>
      </c>
      <c r="AL3457">
        <v>-87.603477999999996</v>
      </c>
      <c r="AM3457">
        <v>100</v>
      </c>
      <c r="AN3457">
        <v>1900</v>
      </c>
      <c r="AO3457" t="s">
        <v>118</v>
      </c>
      <c r="AP3457">
        <v>6</v>
      </c>
      <c r="AQ3457">
        <v>-115</v>
      </c>
      <c r="AR3457">
        <v>-768</v>
      </c>
      <c r="AZ3457">
        <v>4552</v>
      </c>
      <c r="BA3457">
        <v>1</v>
      </c>
      <c r="BB3457" t="str">
        <f t="shared" si="1464"/>
        <v xml:space="preserve">N607SR  </v>
      </c>
      <c r="BC3457">
        <v>1</v>
      </c>
      <c r="BE3457">
        <v>0</v>
      </c>
      <c r="BF3457">
        <v>0</v>
      </c>
      <c r="BG3457">
        <v>0</v>
      </c>
      <c r="BH3457">
        <v>1650</v>
      </c>
      <c r="BI3457">
        <v>1</v>
      </c>
      <c r="BJ3457">
        <v>1</v>
      </c>
      <c r="BK3457">
        <v>1</v>
      </c>
      <c r="BL3457">
        <v>0</v>
      </c>
      <c r="BO3457">
        <v>0</v>
      </c>
      <c r="BP3457">
        <v>0</v>
      </c>
      <c r="BW3457" t="str">
        <f>"06:21:56.145"</f>
        <v>06:21:56.145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6</v>
      </c>
      <c r="CP3457" t="s">
        <v>119</v>
      </c>
      <c r="CQ3457">
        <v>465</v>
      </c>
      <c r="CR3457">
        <v>0</v>
      </c>
      <c r="CW3457">
        <v>4731049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 t="shared" si="1493"/>
        <v>08/29/2020 06:21:52.928</v>
      </c>
      <c r="C3458" t="str">
        <f t="shared" ref="C3458:C3521" si="1495">"FFDFD3C0"</f>
        <v>FFDFD3C0</v>
      </c>
      <c r="D3458" t="s">
        <v>121</v>
      </c>
      <c r="E3458">
        <v>13</v>
      </c>
      <c r="F3458">
        <v>1013</v>
      </c>
      <c r="G3458" t="s">
        <v>122</v>
      </c>
      <c r="J3458" t="s">
        <v>123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si="1494"/>
        <v>06:21:56.141</v>
      </c>
      <c r="T3458" t="str">
        <f>"06:21:55.741"</f>
        <v>06:21:55.741</v>
      </c>
      <c r="U3458" t="str">
        <f t="shared" ref="U3458:U3521" si="1496">"A7E2E0"</f>
        <v>A7E2E0</v>
      </c>
      <c r="V3458">
        <v>0</v>
      </c>
      <c r="W3458">
        <v>0</v>
      </c>
      <c r="X3458">
        <v>1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3</v>
      </c>
      <c r="AG3458">
        <v>2</v>
      </c>
      <c r="AH3458">
        <v>0</v>
      </c>
      <c r="AI3458" t="s">
        <v>1615</v>
      </c>
      <c r="AJ3458">
        <v>38.824074000000003</v>
      </c>
      <c r="AK3458" t="s">
        <v>1616</v>
      </c>
      <c r="AL3458">
        <v>-87.603477999999996</v>
      </c>
      <c r="AM3458">
        <v>100</v>
      </c>
      <c r="AN3458">
        <v>1900</v>
      </c>
      <c r="AO3458" t="s">
        <v>118</v>
      </c>
      <c r="AP3458">
        <v>6</v>
      </c>
      <c r="AQ3458">
        <v>-115</v>
      </c>
      <c r="AR3458">
        <v>-768</v>
      </c>
      <c r="AZ3458">
        <v>4552</v>
      </c>
      <c r="BA3458">
        <v>1</v>
      </c>
      <c r="BB3458" t="str">
        <f t="shared" ref="BB3458:BB3521" si="1497">"N607SR  "</f>
        <v xml:space="preserve">N607SR  </v>
      </c>
      <c r="BC3458">
        <v>1</v>
      </c>
      <c r="BE3458">
        <v>0</v>
      </c>
      <c r="BF3458">
        <v>0</v>
      </c>
      <c r="BG3458">
        <v>0</v>
      </c>
      <c r="BH3458">
        <v>1650</v>
      </c>
      <c r="BI3458">
        <v>1</v>
      </c>
      <c r="BJ3458">
        <v>1</v>
      </c>
      <c r="BK3458">
        <v>1</v>
      </c>
      <c r="BL3458">
        <v>0</v>
      </c>
      <c r="BO3458">
        <v>0</v>
      </c>
      <c r="BP3458">
        <v>0</v>
      </c>
      <c r="BW3458" t="str">
        <f>"06:21:56.145"</f>
        <v>06:21:56.145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6</v>
      </c>
      <c r="CP3458" t="s">
        <v>119</v>
      </c>
      <c r="CQ3458">
        <v>465</v>
      </c>
      <c r="CR3458">
        <v>0</v>
      </c>
      <c r="CW3458">
        <v>4731049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 t="shared" si="1493"/>
        <v>08/29/2020 06:21:52.928</v>
      </c>
      <c r="C3459" t="str">
        <f t="shared" si="1495"/>
        <v>FFDFD3C0</v>
      </c>
      <c r="D3459" t="s">
        <v>939</v>
      </c>
      <c r="E3459">
        <v>10</v>
      </c>
      <c r="H3459">
        <v>79</v>
      </c>
      <c r="I3459" t="s">
        <v>940</v>
      </c>
      <c r="J3459" t="s">
        <v>130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494"/>
        <v>06:21:56.141</v>
      </c>
      <c r="T3459" t="str">
        <f>"06:21:55.741"</f>
        <v>06:21:55.741</v>
      </c>
      <c r="U3459" t="str">
        <f t="shared" si="1496"/>
        <v>A7E2E0</v>
      </c>
      <c r="V3459">
        <v>0</v>
      </c>
      <c r="W3459">
        <v>0</v>
      </c>
      <c r="X3459">
        <v>1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0</v>
      </c>
      <c r="AI3459" t="s">
        <v>1615</v>
      </c>
      <c r="AJ3459">
        <v>38.824074000000003</v>
      </c>
      <c r="AK3459" t="s">
        <v>1616</v>
      </c>
      <c r="AL3459">
        <v>-87.603477999999996</v>
      </c>
      <c r="AM3459">
        <v>100</v>
      </c>
      <c r="AN3459">
        <v>1900</v>
      </c>
      <c r="AO3459" t="s">
        <v>118</v>
      </c>
      <c r="AP3459">
        <v>6</v>
      </c>
      <c r="AQ3459">
        <v>-115</v>
      </c>
      <c r="AR3459">
        <v>-768</v>
      </c>
      <c r="AZ3459">
        <v>4552</v>
      </c>
      <c r="BA3459">
        <v>1</v>
      </c>
      <c r="BB3459" t="str">
        <f t="shared" si="1497"/>
        <v xml:space="preserve">N607SR  </v>
      </c>
      <c r="BC3459">
        <v>1</v>
      </c>
      <c r="BE3459">
        <v>0</v>
      </c>
      <c r="BF3459">
        <v>0</v>
      </c>
      <c r="BG3459">
        <v>0</v>
      </c>
      <c r="BH3459">
        <v>1650</v>
      </c>
      <c r="BI3459">
        <v>1</v>
      </c>
      <c r="BJ3459">
        <v>1</v>
      </c>
      <c r="BK3459">
        <v>1</v>
      </c>
      <c r="BL3459">
        <v>0</v>
      </c>
      <c r="BO3459">
        <v>0</v>
      </c>
      <c r="BP3459">
        <v>0</v>
      </c>
      <c r="BW3459" t="str">
        <f>"06:21:56.145"</f>
        <v>06:21:56.145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6</v>
      </c>
      <c r="CP3459" t="s">
        <v>119</v>
      </c>
      <c r="CQ3459">
        <v>465</v>
      </c>
      <c r="CR3459">
        <v>0</v>
      </c>
      <c r="CW3459">
        <v>4731049</v>
      </c>
      <c r="CY3459">
        <v>1</v>
      </c>
      <c r="CZ3459">
        <v>0</v>
      </c>
      <c r="DA3459">
        <v>1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 t="shared" ref="A3460:A3465" si="1498">"08/29/2020 06:21:53.839"</f>
        <v>08/29/2020 06:21:53.839</v>
      </c>
      <c r="C3460" t="str">
        <f t="shared" si="1495"/>
        <v>FFDFD3C0</v>
      </c>
      <c r="D3460" t="s">
        <v>113</v>
      </c>
      <c r="E3460">
        <v>5</v>
      </c>
      <c r="H3460">
        <v>163</v>
      </c>
      <c r="I3460" t="s">
        <v>114</v>
      </c>
      <c r="J3460" t="s">
        <v>115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ref="S3460:S3465" si="1499">"06:21:57.070"</f>
        <v>06:21:57.070</v>
      </c>
      <c r="T3460" t="str">
        <f t="shared" ref="T3460:T3465" si="1500">"06:21:56.670"</f>
        <v>06:21:56.670</v>
      </c>
      <c r="U3460" t="str">
        <f t="shared" si="1496"/>
        <v>A7E2E0</v>
      </c>
      <c r="V3460">
        <v>0</v>
      </c>
      <c r="W3460">
        <v>0</v>
      </c>
      <c r="X3460">
        <v>1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0</v>
      </c>
      <c r="AI3460" t="s">
        <v>1617</v>
      </c>
      <c r="AJ3460">
        <v>38.823644999999999</v>
      </c>
      <c r="AK3460" t="s">
        <v>1618</v>
      </c>
      <c r="AL3460">
        <v>-87.603457000000006</v>
      </c>
      <c r="AM3460">
        <v>100</v>
      </c>
      <c r="AN3460">
        <v>1900</v>
      </c>
      <c r="AO3460" t="s">
        <v>118</v>
      </c>
      <c r="AP3460">
        <v>6</v>
      </c>
      <c r="AQ3460">
        <v>-115</v>
      </c>
      <c r="AR3460">
        <v>-704</v>
      </c>
      <c r="AZ3460">
        <v>4552</v>
      </c>
      <c r="BA3460">
        <v>1</v>
      </c>
      <c r="BB3460" t="str">
        <f t="shared" si="1497"/>
        <v xml:space="preserve">N607SR  </v>
      </c>
      <c r="BC3460">
        <v>1</v>
      </c>
      <c r="BE3460">
        <v>0</v>
      </c>
      <c r="BF3460">
        <v>0</v>
      </c>
      <c r="BG3460">
        <v>0</v>
      </c>
      <c r="BH3460">
        <v>1650</v>
      </c>
      <c r="BI3460">
        <v>1</v>
      </c>
      <c r="BJ3460">
        <v>1</v>
      </c>
      <c r="BK3460">
        <v>1</v>
      </c>
      <c r="BL3460">
        <v>0</v>
      </c>
      <c r="BO3460">
        <v>0</v>
      </c>
      <c r="BP3460">
        <v>0</v>
      </c>
      <c r="BW3460" t="str">
        <f t="shared" ref="BW3460:BW3465" si="1501">"06:21:57.076"</f>
        <v>06:21:57.076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6</v>
      </c>
      <c r="CP3460" t="s">
        <v>119</v>
      </c>
      <c r="CQ3460">
        <v>457</v>
      </c>
      <c r="CR3460">
        <v>0</v>
      </c>
      <c r="CW3460">
        <v>15526293</v>
      </c>
      <c r="CY3460">
        <v>1</v>
      </c>
      <c r="CZ3460">
        <v>0</v>
      </c>
      <c r="DA3460">
        <v>0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 t="shared" si="1498"/>
        <v>08/29/2020 06:21:53.839</v>
      </c>
      <c r="C3461" t="str">
        <f t="shared" si="1495"/>
        <v>FFDFD3C0</v>
      </c>
      <c r="D3461" t="s">
        <v>121</v>
      </c>
      <c r="E3461">
        <v>10</v>
      </c>
      <c r="F3461">
        <v>1010</v>
      </c>
      <c r="G3461" t="s">
        <v>114</v>
      </c>
      <c r="J3461" t="s">
        <v>123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499"/>
        <v>06:21:57.070</v>
      </c>
      <c r="T3461" t="str">
        <f t="shared" si="1500"/>
        <v>06:21:56.670</v>
      </c>
      <c r="U3461" t="str">
        <f t="shared" si="1496"/>
        <v>A7E2E0</v>
      </c>
      <c r="V3461">
        <v>0</v>
      </c>
      <c r="W3461">
        <v>0</v>
      </c>
      <c r="X3461">
        <v>1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0</v>
      </c>
      <c r="AI3461" t="s">
        <v>1617</v>
      </c>
      <c r="AJ3461">
        <v>38.823644999999999</v>
      </c>
      <c r="AK3461" t="s">
        <v>1618</v>
      </c>
      <c r="AL3461">
        <v>-87.603457000000006</v>
      </c>
      <c r="AM3461">
        <v>100</v>
      </c>
      <c r="AN3461">
        <v>1900</v>
      </c>
      <c r="AO3461" t="s">
        <v>118</v>
      </c>
      <c r="AP3461">
        <v>6</v>
      </c>
      <c r="AQ3461">
        <v>-115</v>
      </c>
      <c r="AR3461">
        <v>-704</v>
      </c>
      <c r="AZ3461">
        <v>4552</v>
      </c>
      <c r="BA3461">
        <v>1</v>
      </c>
      <c r="BB3461" t="str">
        <f t="shared" si="1497"/>
        <v xml:space="preserve">N607SR  </v>
      </c>
      <c r="BC3461">
        <v>1</v>
      </c>
      <c r="BE3461">
        <v>0</v>
      </c>
      <c r="BF3461">
        <v>0</v>
      </c>
      <c r="BG3461">
        <v>0</v>
      </c>
      <c r="BH3461">
        <v>1650</v>
      </c>
      <c r="BI3461">
        <v>1</v>
      </c>
      <c r="BJ3461">
        <v>1</v>
      </c>
      <c r="BK3461">
        <v>1</v>
      </c>
      <c r="BL3461">
        <v>0</v>
      </c>
      <c r="BO3461">
        <v>0</v>
      </c>
      <c r="BP3461">
        <v>0</v>
      </c>
      <c r="BW3461" t="str">
        <f t="shared" si="1501"/>
        <v>06:21:57.076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6</v>
      </c>
      <c r="CP3461" t="s">
        <v>119</v>
      </c>
      <c r="CQ3461">
        <v>457</v>
      </c>
      <c r="CR3461">
        <v>0</v>
      </c>
      <c r="CW3461">
        <v>15526293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 t="shared" si="1498"/>
        <v>08/29/2020 06:21:53.839</v>
      </c>
      <c r="C3462" t="str">
        <f t="shared" si="1495"/>
        <v>FFDFD3C0</v>
      </c>
      <c r="D3462" t="s">
        <v>128</v>
      </c>
      <c r="E3462">
        <v>5</v>
      </c>
      <c r="H3462">
        <v>241</v>
      </c>
      <c r="I3462" t="s">
        <v>129</v>
      </c>
      <c r="J3462" t="s">
        <v>130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499"/>
        <v>06:21:57.070</v>
      </c>
      <c r="T3462" t="str">
        <f t="shared" si="1500"/>
        <v>06:21:56.670</v>
      </c>
      <c r="U3462" t="str">
        <f t="shared" si="1496"/>
        <v>A7E2E0</v>
      </c>
      <c r="V3462">
        <v>0</v>
      </c>
      <c r="W3462">
        <v>0</v>
      </c>
      <c r="X3462">
        <v>1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0</v>
      </c>
      <c r="AI3462" t="s">
        <v>1617</v>
      </c>
      <c r="AJ3462">
        <v>38.823644999999999</v>
      </c>
      <c r="AK3462" t="s">
        <v>1618</v>
      </c>
      <c r="AL3462">
        <v>-87.603457000000006</v>
      </c>
      <c r="AM3462">
        <v>100</v>
      </c>
      <c r="AN3462">
        <v>1900</v>
      </c>
      <c r="AO3462" t="s">
        <v>118</v>
      </c>
      <c r="AP3462">
        <v>6</v>
      </c>
      <c r="AQ3462">
        <v>-115</v>
      </c>
      <c r="AR3462">
        <v>-704</v>
      </c>
      <c r="AZ3462">
        <v>4552</v>
      </c>
      <c r="BA3462">
        <v>1</v>
      </c>
      <c r="BB3462" t="str">
        <f t="shared" si="1497"/>
        <v xml:space="preserve">N607SR  </v>
      </c>
      <c r="BC3462">
        <v>1</v>
      </c>
      <c r="BE3462">
        <v>0</v>
      </c>
      <c r="BF3462">
        <v>0</v>
      </c>
      <c r="BG3462">
        <v>0</v>
      </c>
      <c r="BH3462">
        <v>1650</v>
      </c>
      <c r="BI3462">
        <v>1</v>
      </c>
      <c r="BJ3462">
        <v>1</v>
      </c>
      <c r="BK3462">
        <v>1</v>
      </c>
      <c r="BL3462">
        <v>0</v>
      </c>
      <c r="BO3462">
        <v>0</v>
      </c>
      <c r="BP3462">
        <v>0</v>
      </c>
      <c r="BW3462" t="str">
        <f t="shared" si="1501"/>
        <v>06:21:57.076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6</v>
      </c>
      <c r="CP3462" t="s">
        <v>119</v>
      </c>
      <c r="CQ3462">
        <v>457</v>
      </c>
      <c r="CR3462">
        <v>0</v>
      </c>
      <c r="CW3462">
        <v>15526293</v>
      </c>
      <c r="CY3462">
        <v>1</v>
      </c>
      <c r="CZ3462">
        <v>0</v>
      </c>
      <c r="DA3462">
        <v>1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 t="shared" si="1498"/>
        <v>08/29/2020 06:21:53.839</v>
      </c>
      <c r="C3463" t="str">
        <f t="shared" si="1495"/>
        <v>FFDFD3C0</v>
      </c>
      <c r="D3463" t="s">
        <v>121</v>
      </c>
      <c r="E3463">
        <v>13</v>
      </c>
      <c r="F3463">
        <v>1013</v>
      </c>
      <c r="G3463" t="s">
        <v>122</v>
      </c>
      <c r="J3463" t="s">
        <v>123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499"/>
        <v>06:21:57.070</v>
      </c>
      <c r="T3463" t="str">
        <f t="shared" si="1500"/>
        <v>06:21:56.670</v>
      </c>
      <c r="U3463" t="str">
        <f t="shared" si="1496"/>
        <v>A7E2E0</v>
      </c>
      <c r="V3463">
        <v>0</v>
      </c>
      <c r="W3463">
        <v>0</v>
      </c>
      <c r="X3463">
        <v>1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0</v>
      </c>
      <c r="AI3463" t="s">
        <v>1617</v>
      </c>
      <c r="AJ3463">
        <v>38.823644999999999</v>
      </c>
      <c r="AK3463" t="s">
        <v>1618</v>
      </c>
      <c r="AL3463">
        <v>-87.603457000000006</v>
      </c>
      <c r="AM3463">
        <v>100</v>
      </c>
      <c r="AN3463">
        <v>1900</v>
      </c>
      <c r="AO3463" t="s">
        <v>118</v>
      </c>
      <c r="AP3463">
        <v>6</v>
      </c>
      <c r="AQ3463">
        <v>-115</v>
      </c>
      <c r="AR3463">
        <v>-704</v>
      </c>
      <c r="AZ3463">
        <v>4552</v>
      </c>
      <c r="BA3463">
        <v>1</v>
      </c>
      <c r="BB3463" t="str">
        <f t="shared" si="1497"/>
        <v xml:space="preserve">N607SR  </v>
      </c>
      <c r="BC3463">
        <v>1</v>
      </c>
      <c r="BE3463">
        <v>0</v>
      </c>
      <c r="BF3463">
        <v>0</v>
      </c>
      <c r="BG3463">
        <v>0</v>
      </c>
      <c r="BH3463">
        <v>1650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 t="shared" si="1501"/>
        <v>06:21:57.076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6</v>
      </c>
      <c r="CP3463" t="s">
        <v>119</v>
      </c>
      <c r="CQ3463">
        <v>465</v>
      </c>
      <c r="CR3463">
        <v>0</v>
      </c>
      <c r="CW3463">
        <v>4731080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 t="shared" si="1498"/>
        <v>08/29/2020 06:21:53.839</v>
      </c>
      <c r="C3464" t="str">
        <f t="shared" si="1495"/>
        <v>FFDFD3C0</v>
      </c>
      <c r="D3464" t="s">
        <v>939</v>
      </c>
      <c r="E3464">
        <v>10</v>
      </c>
      <c r="H3464">
        <v>79</v>
      </c>
      <c r="I3464" t="s">
        <v>940</v>
      </c>
      <c r="J3464" t="s">
        <v>130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499"/>
        <v>06:21:57.070</v>
      </c>
      <c r="T3464" t="str">
        <f t="shared" si="1500"/>
        <v>06:21:56.670</v>
      </c>
      <c r="U3464" t="str">
        <f t="shared" si="1496"/>
        <v>A7E2E0</v>
      </c>
      <c r="V3464">
        <v>0</v>
      </c>
      <c r="W3464">
        <v>0</v>
      </c>
      <c r="X3464">
        <v>1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0</v>
      </c>
      <c r="AI3464" t="s">
        <v>1617</v>
      </c>
      <c r="AJ3464">
        <v>38.823644999999999</v>
      </c>
      <c r="AK3464" t="s">
        <v>1618</v>
      </c>
      <c r="AL3464">
        <v>-87.603457000000006</v>
      </c>
      <c r="AM3464">
        <v>100</v>
      </c>
      <c r="AN3464">
        <v>1900</v>
      </c>
      <c r="AO3464" t="s">
        <v>118</v>
      </c>
      <c r="AP3464">
        <v>6</v>
      </c>
      <c r="AQ3464">
        <v>-115</v>
      </c>
      <c r="AR3464">
        <v>-704</v>
      </c>
      <c r="AZ3464">
        <v>4552</v>
      </c>
      <c r="BA3464">
        <v>1</v>
      </c>
      <c r="BB3464" t="str">
        <f t="shared" si="1497"/>
        <v xml:space="preserve">N607SR  </v>
      </c>
      <c r="BC3464">
        <v>1</v>
      </c>
      <c r="BE3464">
        <v>0</v>
      </c>
      <c r="BF3464">
        <v>0</v>
      </c>
      <c r="BG3464">
        <v>0</v>
      </c>
      <c r="BH3464">
        <v>1650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 t="shared" si="1501"/>
        <v>06:21:57.076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6</v>
      </c>
      <c r="CP3464" t="s">
        <v>119</v>
      </c>
      <c r="CQ3464">
        <v>465</v>
      </c>
      <c r="CR3464">
        <v>0</v>
      </c>
      <c r="CW3464">
        <v>4731080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 t="shared" si="1498"/>
        <v>08/29/2020 06:21:53.839</v>
      </c>
      <c r="C3465" t="str">
        <f t="shared" si="1495"/>
        <v>FFDFD3C0</v>
      </c>
      <c r="D3465" t="s">
        <v>121</v>
      </c>
      <c r="E3465">
        <v>11</v>
      </c>
      <c r="F3465">
        <v>1011</v>
      </c>
      <c r="G3465" t="s">
        <v>125</v>
      </c>
      <c r="J3465" t="s">
        <v>123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499"/>
        <v>06:21:57.070</v>
      </c>
      <c r="T3465" t="str">
        <f t="shared" si="1500"/>
        <v>06:21:56.670</v>
      </c>
      <c r="U3465" t="str">
        <f t="shared" si="1496"/>
        <v>A7E2E0</v>
      </c>
      <c r="V3465">
        <v>0</v>
      </c>
      <c r="W3465">
        <v>0</v>
      </c>
      <c r="X3465">
        <v>1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3</v>
      </c>
      <c r="AG3465">
        <v>2</v>
      </c>
      <c r="AH3465">
        <v>0</v>
      </c>
      <c r="AI3465" t="s">
        <v>1617</v>
      </c>
      <c r="AJ3465">
        <v>38.823644999999999</v>
      </c>
      <c r="AK3465" t="s">
        <v>1618</v>
      </c>
      <c r="AL3465">
        <v>-87.603457000000006</v>
      </c>
      <c r="AM3465">
        <v>100</v>
      </c>
      <c r="AN3465">
        <v>1900</v>
      </c>
      <c r="AO3465" t="s">
        <v>118</v>
      </c>
      <c r="AP3465">
        <v>6</v>
      </c>
      <c r="AQ3465">
        <v>-115</v>
      </c>
      <c r="AR3465">
        <v>-704</v>
      </c>
      <c r="AZ3465">
        <v>4552</v>
      </c>
      <c r="BA3465">
        <v>1</v>
      </c>
      <c r="BB3465" t="str">
        <f t="shared" si="1497"/>
        <v xml:space="preserve">N607SR  </v>
      </c>
      <c r="BC3465">
        <v>1</v>
      </c>
      <c r="BE3465">
        <v>0</v>
      </c>
      <c r="BF3465">
        <v>0</v>
      </c>
      <c r="BG3465">
        <v>0</v>
      </c>
      <c r="BH3465">
        <v>1650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 t="shared" si="1501"/>
        <v>06:21:57.076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6</v>
      </c>
      <c r="CP3465" t="s">
        <v>119</v>
      </c>
      <c r="CQ3465">
        <v>457</v>
      </c>
      <c r="CR3465">
        <v>0</v>
      </c>
      <c r="CW3465">
        <v>15526293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 t="shared" ref="A3466:A3471" si="1502">"08/29/2020 06:21:55.021"</f>
        <v>08/29/2020 06:21:55.021</v>
      </c>
      <c r="C3466" t="str">
        <f t="shared" si="1495"/>
        <v>FFDFD3C0</v>
      </c>
      <c r="D3466" t="s">
        <v>121</v>
      </c>
      <c r="E3466">
        <v>13</v>
      </c>
      <c r="F3466">
        <v>1013</v>
      </c>
      <c r="G3466" t="s">
        <v>122</v>
      </c>
      <c r="J3466" t="s">
        <v>123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ref="S3466:S3471" si="1503">"06:21:58.242"</f>
        <v>06:21:58.242</v>
      </c>
      <c r="U3466" t="str">
        <f t="shared" si="1496"/>
        <v>A7E2E0</v>
      </c>
      <c r="V3466">
        <v>0</v>
      </c>
      <c r="W3466">
        <v>0</v>
      </c>
      <c r="X3466">
        <v>1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0</v>
      </c>
      <c r="AI3466" t="s">
        <v>1619</v>
      </c>
      <c r="AJ3466">
        <v>38.822980000000001</v>
      </c>
      <c r="AK3466" t="s">
        <v>1618</v>
      </c>
      <c r="AL3466">
        <v>-87.603457000000006</v>
      </c>
      <c r="AM3466">
        <v>100</v>
      </c>
      <c r="AN3466">
        <v>1800</v>
      </c>
      <c r="AO3466" t="s">
        <v>118</v>
      </c>
      <c r="AP3466">
        <v>6</v>
      </c>
      <c r="AQ3466">
        <v>-115</v>
      </c>
      <c r="AR3466">
        <v>-640</v>
      </c>
      <c r="AZ3466">
        <v>4552</v>
      </c>
      <c r="BA3466">
        <v>1</v>
      </c>
      <c r="BB3466" t="str">
        <f t="shared" si="1497"/>
        <v xml:space="preserve">N607SR  </v>
      </c>
      <c r="BC3466">
        <v>1</v>
      </c>
      <c r="BE3466">
        <v>0</v>
      </c>
      <c r="BF3466">
        <v>0</v>
      </c>
      <c r="BG3466">
        <v>0</v>
      </c>
      <c r="BH3466">
        <v>1625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 t="shared" ref="BW3466:BW3471" si="1504">"06:21:58.243"</f>
        <v>06:21:58.243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6</v>
      </c>
      <c r="CP3466" t="s">
        <v>119</v>
      </c>
      <c r="CQ3466">
        <v>465</v>
      </c>
      <c r="CR3466">
        <v>0</v>
      </c>
      <c r="CW3466">
        <v>4731118</v>
      </c>
      <c r="CY3466">
        <v>1</v>
      </c>
      <c r="CZ3466">
        <v>0</v>
      </c>
      <c r="DA3466">
        <v>0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 t="shared" si="1502"/>
        <v>08/29/2020 06:21:55.021</v>
      </c>
      <c r="C3467" t="str">
        <f t="shared" si="1495"/>
        <v>FFDFD3C0</v>
      </c>
      <c r="D3467" t="s">
        <v>113</v>
      </c>
      <c r="E3467">
        <v>5</v>
      </c>
      <c r="H3467">
        <v>163</v>
      </c>
      <c r="I3467" t="s">
        <v>114</v>
      </c>
      <c r="J3467" t="s">
        <v>115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si="1503"/>
        <v>06:21:58.242</v>
      </c>
      <c r="U3467" t="str">
        <f t="shared" si="1496"/>
        <v>A7E2E0</v>
      </c>
      <c r="V3467">
        <v>0</v>
      </c>
      <c r="W3467">
        <v>0</v>
      </c>
      <c r="X3467">
        <v>1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0</v>
      </c>
      <c r="AI3467" t="s">
        <v>1619</v>
      </c>
      <c r="AJ3467">
        <v>38.822980000000001</v>
      </c>
      <c r="AK3467" t="s">
        <v>1618</v>
      </c>
      <c r="AL3467">
        <v>-87.603457000000006</v>
      </c>
      <c r="AM3467">
        <v>100</v>
      </c>
      <c r="AN3467">
        <v>1800</v>
      </c>
      <c r="AO3467" t="s">
        <v>118</v>
      </c>
      <c r="AP3467">
        <v>6</v>
      </c>
      <c r="AQ3467">
        <v>-115</v>
      </c>
      <c r="AR3467">
        <v>-640</v>
      </c>
      <c r="AZ3467">
        <v>4552</v>
      </c>
      <c r="BA3467">
        <v>1</v>
      </c>
      <c r="BB3467" t="str">
        <f t="shared" si="1497"/>
        <v xml:space="preserve">N607SR  </v>
      </c>
      <c r="BC3467">
        <v>1</v>
      </c>
      <c r="BE3467">
        <v>0</v>
      </c>
      <c r="BF3467">
        <v>0</v>
      </c>
      <c r="BG3467">
        <v>0</v>
      </c>
      <c r="BH3467">
        <v>1625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 t="shared" si="1504"/>
        <v>06:21:58.243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6</v>
      </c>
      <c r="CP3467" t="s">
        <v>119</v>
      </c>
      <c r="CQ3467">
        <v>465</v>
      </c>
      <c r="CR3467">
        <v>0</v>
      </c>
      <c r="CW3467">
        <v>4731118</v>
      </c>
      <c r="CY3467">
        <v>1</v>
      </c>
      <c r="CZ3467">
        <v>0</v>
      </c>
      <c r="DA3467">
        <v>1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 t="shared" si="1502"/>
        <v>08/29/2020 06:21:55.021</v>
      </c>
      <c r="C3468" t="str">
        <f t="shared" si="1495"/>
        <v>FFDFD3C0</v>
      </c>
      <c r="D3468" t="s">
        <v>121</v>
      </c>
      <c r="E3468">
        <v>11</v>
      </c>
      <c r="F3468">
        <v>1011</v>
      </c>
      <c r="G3468" t="s">
        <v>125</v>
      </c>
      <c r="J3468" t="s">
        <v>123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503"/>
        <v>06:21:58.242</v>
      </c>
      <c r="U3468" t="str">
        <f t="shared" si="1496"/>
        <v>A7E2E0</v>
      </c>
      <c r="V3468">
        <v>0</v>
      </c>
      <c r="W3468">
        <v>0</v>
      </c>
      <c r="X3468">
        <v>1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0</v>
      </c>
      <c r="AI3468" t="s">
        <v>1619</v>
      </c>
      <c r="AJ3468">
        <v>38.822980000000001</v>
      </c>
      <c r="AK3468" t="s">
        <v>1618</v>
      </c>
      <c r="AL3468">
        <v>-87.603457000000006</v>
      </c>
      <c r="AM3468">
        <v>100</v>
      </c>
      <c r="AN3468">
        <v>1800</v>
      </c>
      <c r="AO3468" t="s">
        <v>118</v>
      </c>
      <c r="AP3468">
        <v>6</v>
      </c>
      <c r="AQ3468">
        <v>-115</v>
      </c>
      <c r="AR3468">
        <v>-640</v>
      </c>
      <c r="AZ3468">
        <v>4552</v>
      </c>
      <c r="BA3468">
        <v>1</v>
      </c>
      <c r="BB3468" t="str">
        <f t="shared" si="1497"/>
        <v xml:space="preserve">N607SR  </v>
      </c>
      <c r="BC3468">
        <v>1</v>
      </c>
      <c r="BE3468">
        <v>0</v>
      </c>
      <c r="BF3468">
        <v>0</v>
      </c>
      <c r="BG3468">
        <v>0</v>
      </c>
      <c r="BH3468">
        <v>1625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 t="shared" si="1504"/>
        <v>06:21:58.243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6</v>
      </c>
      <c r="CP3468" t="s">
        <v>119</v>
      </c>
      <c r="CQ3468">
        <v>457</v>
      </c>
      <c r="CR3468">
        <v>0</v>
      </c>
      <c r="CW3468">
        <v>15526327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 t="shared" si="1502"/>
        <v>08/29/2020 06:21:55.021</v>
      </c>
      <c r="C3469" t="str">
        <f t="shared" si="1495"/>
        <v>FFDFD3C0</v>
      </c>
      <c r="D3469" t="s">
        <v>121</v>
      </c>
      <c r="E3469">
        <v>10</v>
      </c>
      <c r="F3469">
        <v>1010</v>
      </c>
      <c r="G3469" t="s">
        <v>114</v>
      </c>
      <c r="J3469" t="s">
        <v>123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503"/>
        <v>06:21:58.242</v>
      </c>
      <c r="U3469" t="str">
        <f t="shared" si="1496"/>
        <v>A7E2E0</v>
      </c>
      <c r="V3469">
        <v>0</v>
      </c>
      <c r="W3469">
        <v>0</v>
      </c>
      <c r="X3469">
        <v>1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0</v>
      </c>
      <c r="AI3469" t="s">
        <v>1619</v>
      </c>
      <c r="AJ3469">
        <v>38.822980000000001</v>
      </c>
      <c r="AK3469" t="s">
        <v>1618</v>
      </c>
      <c r="AL3469">
        <v>-87.603457000000006</v>
      </c>
      <c r="AM3469">
        <v>100</v>
      </c>
      <c r="AN3469">
        <v>1800</v>
      </c>
      <c r="AO3469" t="s">
        <v>118</v>
      </c>
      <c r="AP3469">
        <v>6</v>
      </c>
      <c r="AQ3469">
        <v>-115</v>
      </c>
      <c r="AR3469">
        <v>-640</v>
      </c>
      <c r="AZ3469">
        <v>4552</v>
      </c>
      <c r="BA3469">
        <v>1</v>
      </c>
      <c r="BB3469" t="str">
        <f t="shared" si="1497"/>
        <v xml:space="preserve">N607SR  </v>
      </c>
      <c r="BC3469">
        <v>1</v>
      </c>
      <c r="BE3469">
        <v>0</v>
      </c>
      <c r="BF3469">
        <v>0</v>
      </c>
      <c r="BG3469">
        <v>0</v>
      </c>
      <c r="BH3469">
        <v>1625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 t="shared" si="1504"/>
        <v>06:21:58.243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6</v>
      </c>
      <c r="CP3469" t="s">
        <v>119</v>
      </c>
      <c r="CQ3469">
        <v>465</v>
      </c>
      <c r="CR3469">
        <v>0</v>
      </c>
      <c r="CW3469">
        <v>4731118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 t="shared" si="1502"/>
        <v>08/29/2020 06:21:55.021</v>
      </c>
      <c r="C3470" t="str">
        <f t="shared" si="1495"/>
        <v>FFDFD3C0</v>
      </c>
      <c r="D3470" t="s">
        <v>939</v>
      </c>
      <c r="E3470">
        <v>10</v>
      </c>
      <c r="H3470">
        <v>79</v>
      </c>
      <c r="I3470" t="s">
        <v>940</v>
      </c>
      <c r="J3470" t="s">
        <v>130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503"/>
        <v>06:21:58.242</v>
      </c>
      <c r="U3470" t="str">
        <f t="shared" si="1496"/>
        <v>A7E2E0</v>
      </c>
      <c r="V3470">
        <v>0</v>
      </c>
      <c r="W3470">
        <v>0</v>
      </c>
      <c r="X3470">
        <v>1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0</v>
      </c>
      <c r="AI3470" t="s">
        <v>1619</v>
      </c>
      <c r="AJ3470">
        <v>38.822980000000001</v>
      </c>
      <c r="AK3470" t="s">
        <v>1618</v>
      </c>
      <c r="AL3470">
        <v>-87.603457000000006</v>
      </c>
      <c r="AM3470">
        <v>100</v>
      </c>
      <c r="AN3470">
        <v>1800</v>
      </c>
      <c r="AO3470" t="s">
        <v>118</v>
      </c>
      <c r="AP3470">
        <v>6</v>
      </c>
      <c r="AQ3470">
        <v>-115</v>
      </c>
      <c r="AR3470">
        <v>-640</v>
      </c>
      <c r="AZ3470">
        <v>4552</v>
      </c>
      <c r="BA3470">
        <v>1</v>
      </c>
      <c r="BB3470" t="str">
        <f t="shared" si="1497"/>
        <v xml:space="preserve">N607SR  </v>
      </c>
      <c r="BC3470">
        <v>1</v>
      </c>
      <c r="BE3470">
        <v>0</v>
      </c>
      <c r="BF3470">
        <v>0</v>
      </c>
      <c r="BG3470">
        <v>0</v>
      </c>
      <c r="BH3470">
        <v>1625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 t="shared" si="1504"/>
        <v>06:21:58.243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6</v>
      </c>
      <c r="CP3470" t="s">
        <v>119</v>
      </c>
      <c r="CQ3470">
        <v>465</v>
      </c>
      <c r="CR3470">
        <v>0</v>
      </c>
      <c r="CW3470">
        <v>4731118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 t="shared" si="1502"/>
        <v>08/29/2020 06:21:55.021</v>
      </c>
      <c r="C3471" t="str">
        <f t="shared" si="1495"/>
        <v>FFDFD3C0</v>
      </c>
      <c r="D3471" t="s">
        <v>128</v>
      </c>
      <c r="E3471">
        <v>5</v>
      </c>
      <c r="H3471">
        <v>241</v>
      </c>
      <c r="I3471" t="s">
        <v>129</v>
      </c>
      <c r="J3471" t="s">
        <v>130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503"/>
        <v>06:21:58.242</v>
      </c>
      <c r="U3471" t="str">
        <f t="shared" si="1496"/>
        <v>A7E2E0</v>
      </c>
      <c r="V3471">
        <v>0</v>
      </c>
      <c r="W3471">
        <v>0</v>
      </c>
      <c r="X3471">
        <v>1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0</v>
      </c>
      <c r="AI3471" t="s">
        <v>1619</v>
      </c>
      <c r="AJ3471">
        <v>38.822980000000001</v>
      </c>
      <c r="AK3471" t="s">
        <v>1618</v>
      </c>
      <c r="AL3471">
        <v>-87.603457000000006</v>
      </c>
      <c r="AM3471">
        <v>100</v>
      </c>
      <c r="AN3471">
        <v>1800</v>
      </c>
      <c r="AO3471" t="s">
        <v>118</v>
      </c>
      <c r="AP3471">
        <v>6</v>
      </c>
      <c r="AQ3471">
        <v>-115</v>
      </c>
      <c r="AR3471">
        <v>-640</v>
      </c>
      <c r="AZ3471">
        <v>4552</v>
      </c>
      <c r="BA3471">
        <v>1</v>
      </c>
      <c r="BB3471" t="str">
        <f t="shared" si="1497"/>
        <v xml:space="preserve">N607SR  </v>
      </c>
      <c r="BC3471">
        <v>1</v>
      </c>
      <c r="BE3471">
        <v>0</v>
      </c>
      <c r="BF3471">
        <v>0</v>
      </c>
      <c r="BG3471">
        <v>0</v>
      </c>
      <c r="BH3471">
        <v>1625</v>
      </c>
      <c r="BI3471">
        <v>1</v>
      </c>
      <c r="BJ3471">
        <v>1</v>
      </c>
      <c r="BK3471">
        <v>1</v>
      </c>
      <c r="BL3471">
        <v>0</v>
      </c>
      <c r="BO3471">
        <v>0</v>
      </c>
      <c r="BP3471">
        <v>0</v>
      </c>
      <c r="BW3471" t="str">
        <f t="shared" si="1504"/>
        <v>06:21:58.243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6</v>
      </c>
      <c r="CP3471" t="s">
        <v>119</v>
      </c>
      <c r="CQ3471">
        <v>465</v>
      </c>
      <c r="CR3471">
        <v>0</v>
      </c>
      <c r="CW3471">
        <v>4731118</v>
      </c>
      <c r="CY3471">
        <v>1</v>
      </c>
      <c r="CZ3471">
        <v>0</v>
      </c>
      <c r="DA3471">
        <v>1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 t="shared" ref="A3472:A3477" si="1505">"08/29/2020 06:21:55.984"</f>
        <v>08/29/2020 06:21:55.984</v>
      </c>
      <c r="C3472" t="str">
        <f t="shared" si="1495"/>
        <v>FFDFD3C0</v>
      </c>
      <c r="D3472" t="s">
        <v>121</v>
      </c>
      <c r="E3472">
        <v>13</v>
      </c>
      <c r="F3472">
        <v>1013</v>
      </c>
      <c r="G3472" t="s">
        <v>122</v>
      </c>
      <c r="J3472" t="s">
        <v>123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ref="S3472:S3477" si="1506">"06:21:59.234"</f>
        <v>06:21:59.234</v>
      </c>
      <c r="T3472" t="str">
        <f t="shared" ref="T3472:T3477" si="1507">"06:21:58.834"</f>
        <v>06:21:58.834</v>
      </c>
      <c r="U3472" t="str">
        <f t="shared" si="1496"/>
        <v>A7E2E0</v>
      </c>
      <c r="V3472">
        <v>0</v>
      </c>
      <c r="W3472">
        <v>0</v>
      </c>
      <c r="X3472">
        <v>1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0</v>
      </c>
      <c r="AI3472" t="s">
        <v>1620</v>
      </c>
      <c r="AJ3472">
        <v>38.822422000000003</v>
      </c>
      <c r="AK3472" t="s">
        <v>1621</v>
      </c>
      <c r="AL3472">
        <v>-87.603392999999997</v>
      </c>
      <c r="AM3472">
        <v>100</v>
      </c>
      <c r="AN3472">
        <v>1800</v>
      </c>
      <c r="AO3472" t="s">
        <v>118</v>
      </c>
      <c r="AP3472">
        <v>6</v>
      </c>
      <c r="AQ3472">
        <v>-114</v>
      </c>
      <c r="AR3472">
        <v>-640</v>
      </c>
      <c r="AZ3472">
        <v>4552</v>
      </c>
      <c r="BA3472">
        <v>1</v>
      </c>
      <c r="BB3472" t="str">
        <f t="shared" si="1497"/>
        <v xml:space="preserve">N607SR  </v>
      </c>
      <c r="BC3472">
        <v>1</v>
      </c>
      <c r="BE3472">
        <v>0</v>
      </c>
      <c r="BF3472">
        <v>0</v>
      </c>
      <c r="BG3472">
        <v>0</v>
      </c>
      <c r="BH3472">
        <v>1625</v>
      </c>
      <c r="BI3472">
        <v>1</v>
      </c>
      <c r="BJ3472">
        <v>1</v>
      </c>
      <c r="BK3472">
        <v>1</v>
      </c>
      <c r="BL3472">
        <v>0</v>
      </c>
      <c r="BO3472">
        <v>0</v>
      </c>
      <c r="BP3472">
        <v>0</v>
      </c>
      <c r="BW3472" t="str">
        <f>"06:21:59.236"</f>
        <v>06:21:59.236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6</v>
      </c>
      <c r="CP3472" t="s">
        <v>119</v>
      </c>
      <c r="CQ3472">
        <v>465</v>
      </c>
      <c r="CR3472">
        <v>0</v>
      </c>
      <c r="CW3472">
        <v>4731145</v>
      </c>
      <c r="CY3472">
        <v>1</v>
      </c>
      <c r="CZ3472">
        <v>0</v>
      </c>
      <c r="DA3472">
        <v>0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 t="shared" si="1505"/>
        <v>08/29/2020 06:21:55.984</v>
      </c>
      <c r="C3473" t="str">
        <f t="shared" si="1495"/>
        <v>FFDFD3C0</v>
      </c>
      <c r="D3473" t="s">
        <v>113</v>
      </c>
      <c r="E3473">
        <v>5</v>
      </c>
      <c r="H3473">
        <v>163</v>
      </c>
      <c r="I3473" t="s">
        <v>114</v>
      </c>
      <c r="J3473" t="s">
        <v>115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si="1506"/>
        <v>06:21:59.234</v>
      </c>
      <c r="T3473" t="str">
        <f t="shared" si="1507"/>
        <v>06:21:58.834</v>
      </c>
      <c r="U3473" t="str">
        <f t="shared" si="1496"/>
        <v>A7E2E0</v>
      </c>
      <c r="V3473">
        <v>0</v>
      </c>
      <c r="W3473">
        <v>0</v>
      </c>
      <c r="X3473">
        <v>1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3</v>
      </c>
      <c r="AG3473">
        <v>2</v>
      </c>
      <c r="AH3473">
        <v>0</v>
      </c>
      <c r="AI3473" t="s">
        <v>1620</v>
      </c>
      <c r="AJ3473">
        <v>38.822422000000003</v>
      </c>
      <c r="AK3473" t="s">
        <v>1621</v>
      </c>
      <c r="AL3473">
        <v>-87.603392999999997</v>
      </c>
      <c r="AM3473">
        <v>100</v>
      </c>
      <c r="AN3473">
        <v>1800</v>
      </c>
      <c r="AO3473" t="s">
        <v>118</v>
      </c>
      <c r="AP3473">
        <v>6</v>
      </c>
      <c r="AQ3473">
        <v>-114</v>
      </c>
      <c r="AR3473">
        <v>-640</v>
      </c>
      <c r="AZ3473">
        <v>4552</v>
      </c>
      <c r="BA3473">
        <v>1</v>
      </c>
      <c r="BB3473" t="str">
        <f t="shared" si="1497"/>
        <v xml:space="preserve">N607SR  </v>
      </c>
      <c r="BC3473">
        <v>1</v>
      </c>
      <c r="BE3473">
        <v>0</v>
      </c>
      <c r="BF3473">
        <v>0</v>
      </c>
      <c r="BG3473">
        <v>0</v>
      </c>
      <c r="BH3473">
        <v>1625</v>
      </c>
      <c r="BI3473">
        <v>1</v>
      </c>
      <c r="BJ3473">
        <v>1</v>
      </c>
      <c r="BK3473">
        <v>1</v>
      </c>
      <c r="BL3473">
        <v>0</v>
      </c>
      <c r="BO3473">
        <v>0</v>
      </c>
      <c r="BP3473">
        <v>0</v>
      </c>
      <c r="BW3473" t="str">
        <f>"06:21:59.236"</f>
        <v>06:21:59.236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6</v>
      </c>
      <c r="CP3473" t="s">
        <v>119</v>
      </c>
      <c r="CQ3473">
        <v>465</v>
      </c>
      <c r="CR3473">
        <v>0</v>
      </c>
      <c r="CW3473">
        <v>4731145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 t="shared" si="1505"/>
        <v>08/29/2020 06:21:55.984</v>
      </c>
      <c r="C3474" t="str">
        <f t="shared" si="1495"/>
        <v>FFDFD3C0</v>
      </c>
      <c r="D3474" t="s">
        <v>121</v>
      </c>
      <c r="E3474">
        <v>10</v>
      </c>
      <c r="F3474">
        <v>1010</v>
      </c>
      <c r="G3474" t="s">
        <v>114</v>
      </c>
      <c r="J3474" t="s">
        <v>123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506"/>
        <v>06:21:59.234</v>
      </c>
      <c r="T3474" t="str">
        <f t="shared" si="1507"/>
        <v>06:21:58.834</v>
      </c>
      <c r="U3474" t="str">
        <f t="shared" si="1496"/>
        <v>A7E2E0</v>
      </c>
      <c r="V3474">
        <v>0</v>
      </c>
      <c r="W3474">
        <v>0</v>
      </c>
      <c r="X3474">
        <v>1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0</v>
      </c>
      <c r="AI3474" t="s">
        <v>1620</v>
      </c>
      <c r="AJ3474">
        <v>38.822422000000003</v>
      </c>
      <c r="AK3474" t="s">
        <v>1621</v>
      </c>
      <c r="AL3474">
        <v>-87.603392999999997</v>
      </c>
      <c r="AM3474">
        <v>100</v>
      </c>
      <c r="AN3474">
        <v>1800</v>
      </c>
      <c r="AO3474" t="s">
        <v>118</v>
      </c>
      <c r="AP3474">
        <v>6</v>
      </c>
      <c r="AQ3474">
        <v>-114</v>
      </c>
      <c r="AR3474">
        <v>-640</v>
      </c>
      <c r="AZ3474">
        <v>4552</v>
      </c>
      <c r="BA3474">
        <v>1</v>
      </c>
      <c r="BB3474" t="str">
        <f t="shared" si="1497"/>
        <v xml:space="preserve">N607SR  </v>
      </c>
      <c r="BC3474">
        <v>1</v>
      </c>
      <c r="BE3474">
        <v>0</v>
      </c>
      <c r="BF3474">
        <v>0</v>
      </c>
      <c r="BG3474">
        <v>0</v>
      </c>
      <c r="BH3474">
        <v>1625</v>
      </c>
      <c r="BI3474">
        <v>1</v>
      </c>
      <c r="BJ3474">
        <v>1</v>
      </c>
      <c r="BK3474">
        <v>1</v>
      </c>
      <c r="BL3474">
        <v>0</v>
      </c>
      <c r="BO3474">
        <v>0</v>
      </c>
      <c r="BP3474">
        <v>0</v>
      </c>
      <c r="BW3474" t="str">
        <f>"06:21:59.236"</f>
        <v>06:21:59.236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6</v>
      </c>
      <c r="CP3474" t="s">
        <v>119</v>
      </c>
      <c r="CQ3474">
        <v>465</v>
      </c>
      <c r="CR3474">
        <v>0</v>
      </c>
      <c r="CW3474">
        <v>4731145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 t="shared" si="1505"/>
        <v>08/29/2020 06:21:55.984</v>
      </c>
      <c r="C3475" t="str">
        <f t="shared" si="1495"/>
        <v>FFDFD3C0</v>
      </c>
      <c r="D3475" t="s">
        <v>121</v>
      </c>
      <c r="E3475">
        <v>11</v>
      </c>
      <c r="F3475">
        <v>1011</v>
      </c>
      <c r="G3475" t="s">
        <v>125</v>
      </c>
      <c r="J3475" t="s">
        <v>123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506"/>
        <v>06:21:59.234</v>
      </c>
      <c r="T3475" t="str">
        <f t="shared" si="1507"/>
        <v>06:21:58.834</v>
      </c>
      <c r="U3475" t="str">
        <f t="shared" si="1496"/>
        <v>A7E2E0</v>
      </c>
      <c r="V3475">
        <v>0</v>
      </c>
      <c r="W3475">
        <v>0</v>
      </c>
      <c r="X3475">
        <v>1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0</v>
      </c>
      <c r="AI3475" t="s">
        <v>1620</v>
      </c>
      <c r="AJ3475">
        <v>38.822422000000003</v>
      </c>
      <c r="AK3475" t="s">
        <v>1621</v>
      </c>
      <c r="AL3475">
        <v>-87.603392999999997</v>
      </c>
      <c r="AM3475">
        <v>100</v>
      </c>
      <c r="AN3475">
        <v>1800</v>
      </c>
      <c r="AO3475" t="s">
        <v>118</v>
      </c>
      <c r="AP3475">
        <v>6</v>
      </c>
      <c r="AQ3475">
        <v>-114</v>
      </c>
      <c r="AR3475">
        <v>-640</v>
      </c>
      <c r="AZ3475">
        <v>4552</v>
      </c>
      <c r="BA3475">
        <v>1</v>
      </c>
      <c r="BB3475" t="str">
        <f t="shared" si="1497"/>
        <v xml:space="preserve">N607SR  </v>
      </c>
      <c r="BC3475">
        <v>1</v>
      </c>
      <c r="BE3475">
        <v>0</v>
      </c>
      <c r="BF3475">
        <v>0</v>
      </c>
      <c r="BG3475">
        <v>0</v>
      </c>
      <c r="BH3475">
        <v>1625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>"06:21:59.235"</f>
        <v>06:21:59.235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6</v>
      </c>
      <c r="CP3475" t="s">
        <v>119</v>
      </c>
      <c r="CQ3475">
        <v>457</v>
      </c>
      <c r="CR3475">
        <v>0</v>
      </c>
      <c r="CW3475">
        <v>15526360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 t="shared" si="1505"/>
        <v>08/29/2020 06:21:55.984</v>
      </c>
      <c r="C3476" t="str">
        <f t="shared" si="1495"/>
        <v>FFDFD3C0</v>
      </c>
      <c r="D3476" t="s">
        <v>939</v>
      </c>
      <c r="E3476">
        <v>10</v>
      </c>
      <c r="H3476">
        <v>79</v>
      </c>
      <c r="I3476" t="s">
        <v>940</v>
      </c>
      <c r="J3476" t="s">
        <v>130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si="1506"/>
        <v>06:21:59.234</v>
      </c>
      <c r="T3476" t="str">
        <f t="shared" si="1507"/>
        <v>06:21:58.834</v>
      </c>
      <c r="U3476" t="str">
        <f t="shared" si="1496"/>
        <v>A7E2E0</v>
      </c>
      <c r="V3476">
        <v>0</v>
      </c>
      <c r="W3476">
        <v>0</v>
      </c>
      <c r="X3476">
        <v>1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0</v>
      </c>
      <c r="AI3476" t="s">
        <v>1620</v>
      </c>
      <c r="AJ3476">
        <v>38.822422000000003</v>
      </c>
      <c r="AK3476" t="s">
        <v>1621</v>
      </c>
      <c r="AL3476">
        <v>-87.603392999999997</v>
      </c>
      <c r="AM3476">
        <v>100</v>
      </c>
      <c r="AN3476">
        <v>1800</v>
      </c>
      <c r="AO3476" t="s">
        <v>118</v>
      </c>
      <c r="AP3476">
        <v>6</v>
      </c>
      <c r="AQ3476">
        <v>-114</v>
      </c>
      <c r="AR3476">
        <v>-640</v>
      </c>
      <c r="AZ3476">
        <v>4552</v>
      </c>
      <c r="BA3476">
        <v>1</v>
      </c>
      <c r="BB3476" t="str">
        <f t="shared" si="1497"/>
        <v xml:space="preserve">N607SR  </v>
      </c>
      <c r="BC3476">
        <v>1</v>
      </c>
      <c r="BE3476">
        <v>0</v>
      </c>
      <c r="BF3476">
        <v>0</v>
      </c>
      <c r="BG3476">
        <v>0</v>
      </c>
      <c r="BH3476">
        <v>1625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>"06:21:59.236"</f>
        <v>06:21:59.236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6</v>
      </c>
      <c r="CP3476" t="s">
        <v>119</v>
      </c>
      <c r="CQ3476">
        <v>465</v>
      </c>
      <c r="CR3476">
        <v>0</v>
      </c>
      <c r="CW3476">
        <v>4731145</v>
      </c>
      <c r="CY3476">
        <v>1</v>
      </c>
      <c r="CZ3476">
        <v>0</v>
      </c>
      <c r="DA3476">
        <v>1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 t="shared" si="1505"/>
        <v>08/29/2020 06:21:55.984</v>
      </c>
      <c r="C3477" t="str">
        <f t="shared" si="1495"/>
        <v>FFDFD3C0</v>
      </c>
      <c r="D3477" t="s">
        <v>128</v>
      </c>
      <c r="E3477">
        <v>5</v>
      </c>
      <c r="H3477">
        <v>241</v>
      </c>
      <c r="I3477" t="s">
        <v>129</v>
      </c>
      <c r="J3477" t="s">
        <v>130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506"/>
        <v>06:21:59.234</v>
      </c>
      <c r="T3477" t="str">
        <f t="shared" si="1507"/>
        <v>06:21:58.834</v>
      </c>
      <c r="U3477" t="str">
        <f t="shared" si="1496"/>
        <v>A7E2E0</v>
      </c>
      <c r="V3477">
        <v>0</v>
      </c>
      <c r="W3477">
        <v>0</v>
      </c>
      <c r="X3477">
        <v>1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0</v>
      </c>
      <c r="AI3477" t="s">
        <v>1620</v>
      </c>
      <c r="AJ3477">
        <v>38.822422000000003</v>
      </c>
      <c r="AK3477" t="s">
        <v>1621</v>
      </c>
      <c r="AL3477">
        <v>-87.603392999999997</v>
      </c>
      <c r="AM3477">
        <v>100</v>
      </c>
      <c r="AN3477">
        <v>1800</v>
      </c>
      <c r="AO3477" t="s">
        <v>118</v>
      </c>
      <c r="AP3477">
        <v>6</v>
      </c>
      <c r="AQ3477">
        <v>-114</v>
      </c>
      <c r="AR3477">
        <v>-640</v>
      </c>
      <c r="AZ3477">
        <v>4552</v>
      </c>
      <c r="BA3477">
        <v>1</v>
      </c>
      <c r="BB3477" t="str">
        <f t="shared" si="1497"/>
        <v xml:space="preserve">N607SR  </v>
      </c>
      <c r="BC3477">
        <v>1</v>
      </c>
      <c r="BE3477">
        <v>0</v>
      </c>
      <c r="BF3477">
        <v>0</v>
      </c>
      <c r="BG3477">
        <v>0</v>
      </c>
      <c r="BH3477">
        <v>1625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>"06:21:59.236"</f>
        <v>06:21:59.236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6</v>
      </c>
      <c r="CP3477" t="s">
        <v>119</v>
      </c>
      <c r="CQ3477">
        <v>465</v>
      </c>
      <c r="CR3477">
        <v>0</v>
      </c>
      <c r="CW3477">
        <v>4731145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 t="shared" ref="A3478:A3483" si="1508">"08/29/2020 06:21:56.980"</f>
        <v>08/29/2020 06:21:56.980</v>
      </c>
      <c r="C3478" t="str">
        <f t="shared" si="1495"/>
        <v>FFDFD3C0</v>
      </c>
      <c r="D3478" t="s">
        <v>121</v>
      </c>
      <c r="E3478">
        <v>11</v>
      </c>
      <c r="F3478">
        <v>1011</v>
      </c>
      <c r="G3478" t="s">
        <v>125</v>
      </c>
      <c r="J3478" t="s">
        <v>123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ref="S3478:S3483" si="1509">"06:22:00.203"</f>
        <v>06:22:00.203</v>
      </c>
      <c r="T3478" t="str">
        <f>"06:21:59.703"</f>
        <v>06:21:59.703</v>
      </c>
      <c r="U3478" t="str">
        <f t="shared" si="1496"/>
        <v>A7E2E0</v>
      </c>
      <c r="V3478">
        <v>0</v>
      </c>
      <c r="W3478">
        <v>0</v>
      </c>
      <c r="X3478">
        <v>1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0</v>
      </c>
      <c r="AI3478" t="s">
        <v>1622</v>
      </c>
      <c r="AJ3478">
        <v>38.821970999999998</v>
      </c>
      <c r="AK3478" t="s">
        <v>1623</v>
      </c>
      <c r="AL3478">
        <v>-87.603370999999996</v>
      </c>
      <c r="AM3478">
        <v>100</v>
      </c>
      <c r="AN3478">
        <v>1800</v>
      </c>
      <c r="AO3478" t="s">
        <v>118</v>
      </c>
      <c r="AP3478">
        <v>6</v>
      </c>
      <c r="AQ3478">
        <v>-114</v>
      </c>
      <c r="AR3478">
        <v>-640</v>
      </c>
      <c r="AZ3478">
        <v>4552</v>
      </c>
      <c r="BA3478">
        <v>1</v>
      </c>
      <c r="BB3478" t="str">
        <f t="shared" si="1497"/>
        <v xml:space="preserve">N607SR  </v>
      </c>
      <c r="BC3478">
        <v>1</v>
      </c>
      <c r="BE3478">
        <v>0</v>
      </c>
      <c r="BF3478">
        <v>0</v>
      </c>
      <c r="BG3478">
        <v>0</v>
      </c>
      <c r="BH3478">
        <v>1600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 t="shared" ref="BW3478:BW3483" si="1510">"06:22:00.205"</f>
        <v>06:22:00.205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7</v>
      </c>
      <c r="CP3478" t="s">
        <v>119</v>
      </c>
      <c r="CQ3478">
        <v>457</v>
      </c>
      <c r="CR3478">
        <v>0</v>
      </c>
      <c r="CW3478">
        <v>15526389</v>
      </c>
      <c r="CY3478">
        <v>1</v>
      </c>
      <c r="CZ3478">
        <v>0</v>
      </c>
      <c r="DA3478">
        <v>0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 t="shared" si="1508"/>
        <v>08/29/2020 06:21:56.980</v>
      </c>
      <c r="C3479" t="str">
        <f t="shared" si="1495"/>
        <v>FFDFD3C0</v>
      </c>
      <c r="D3479" t="s">
        <v>939</v>
      </c>
      <c r="E3479">
        <v>10</v>
      </c>
      <c r="H3479">
        <v>79</v>
      </c>
      <c r="I3479" t="s">
        <v>940</v>
      </c>
      <c r="J3479" t="s">
        <v>130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si="1509"/>
        <v>06:22:00.203</v>
      </c>
      <c r="U3479" t="str">
        <f t="shared" si="1496"/>
        <v>A7E2E0</v>
      </c>
      <c r="V3479">
        <v>0</v>
      </c>
      <c r="W3479">
        <v>0</v>
      </c>
      <c r="X3479">
        <v>1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0</v>
      </c>
      <c r="AI3479" t="s">
        <v>1622</v>
      </c>
      <c r="AJ3479">
        <v>38.821970999999998</v>
      </c>
      <c r="AK3479" t="s">
        <v>1623</v>
      </c>
      <c r="AL3479">
        <v>-87.603370999999996</v>
      </c>
      <c r="AM3479">
        <v>100</v>
      </c>
      <c r="AN3479">
        <v>1800</v>
      </c>
      <c r="AO3479" t="s">
        <v>118</v>
      </c>
      <c r="AP3479">
        <v>6</v>
      </c>
      <c r="AQ3479">
        <v>-114</v>
      </c>
      <c r="AR3479">
        <v>-640</v>
      </c>
      <c r="AZ3479">
        <v>4552</v>
      </c>
      <c r="BA3479">
        <v>1</v>
      </c>
      <c r="BB3479" t="str">
        <f t="shared" si="1497"/>
        <v xml:space="preserve">N607SR  </v>
      </c>
      <c r="BC3479">
        <v>1</v>
      </c>
      <c r="BE3479">
        <v>0</v>
      </c>
      <c r="BF3479">
        <v>0</v>
      </c>
      <c r="BG3479">
        <v>0</v>
      </c>
      <c r="BH3479">
        <v>1600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 t="shared" si="1510"/>
        <v>06:22:00.205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6</v>
      </c>
      <c r="CP3479" t="s">
        <v>119</v>
      </c>
      <c r="CQ3479">
        <v>465</v>
      </c>
      <c r="CR3479">
        <v>0</v>
      </c>
      <c r="CW3479">
        <v>4731175</v>
      </c>
      <c r="CY3479">
        <v>1</v>
      </c>
      <c r="CZ3479">
        <v>0</v>
      </c>
      <c r="DA3479">
        <v>1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 t="shared" si="1508"/>
        <v>08/29/2020 06:21:56.980</v>
      </c>
      <c r="C3480" t="str">
        <f t="shared" si="1495"/>
        <v>FFDFD3C0</v>
      </c>
      <c r="D3480" t="s">
        <v>121</v>
      </c>
      <c r="E3480">
        <v>10</v>
      </c>
      <c r="F3480">
        <v>1010</v>
      </c>
      <c r="G3480" t="s">
        <v>114</v>
      </c>
      <c r="J3480" t="s">
        <v>123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si="1509"/>
        <v>06:22:00.203</v>
      </c>
      <c r="U3480" t="str">
        <f t="shared" si="1496"/>
        <v>A7E2E0</v>
      </c>
      <c r="V3480">
        <v>0</v>
      </c>
      <c r="W3480">
        <v>0</v>
      </c>
      <c r="X3480">
        <v>1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0</v>
      </c>
      <c r="AI3480" t="s">
        <v>1622</v>
      </c>
      <c r="AJ3480">
        <v>38.821970999999998</v>
      </c>
      <c r="AK3480" t="s">
        <v>1623</v>
      </c>
      <c r="AL3480">
        <v>-87.603370999999996</v>
      </c>
      <c r="AM3480">
        <v>100</v>
      </c>
      <c r="AN3480">
        <v>1800</v>
      </c>
      <c r="AO3480" t="s">
        <v>118</v>
      </c>
      <c r="AP3480">
        <v>6</v>
      </c>
      <c r="AQ3480">
        <v>-114</v>
      </c>
      <c r="AR3480">
        <v>-640</v>
      </c>
      <c r="AZ3480">
        <v>4552</v>
      </c>
      <c r="BA3480">
        <v>1</v>
      </c>
      <c r="BB3480" t="str">
        <f t="shared" si="1497"/>
        <v xml:space="preserve">N607SR  </v>
      </c>
      <c r="BC3480">
        <v>1</v>
      </c>
      <c r="BE3480">
        <v>0</v>
      </c>
      <c r="BF3480">
        <v>0</v>
      </c>
      <c r="BG3480">
        <v>0</v>
      </c>
      <c r="BH3480">
        <v>1600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 t="shared" si="1510"/>
        <v>06:22:00.205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6</v>
      </c>
      <c r="CP3480" t="s">
        <v>119</v>
      </c>
      <c r="CQ3480">
        <v>465</v>
      </c>
      <c r="CR3480">
        <v>0</v>
      </c>
      <c r="CW3480">
        <v>4731175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 t="shared" si="1508"/>
        <v>08/29/2020 06:21:56.980</v>
      </c>
      <c r="C3481" t="str">
        <f t="shared" si="1495"/>
        <v>FFDFD3C0</v>
      </c>
      <c r="D3481" t="s">
        <v>113</v>
      </c>
      <c r="E3481">
        <v>5</v>
      </c>
      <c r="H3481">
        <v>163</v>
      </c>
      <c r="I3481" t="s">
        <v>114</v>
      </c>
      <c r="J3481" t="s">
        <v>115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509"/>
        <v>06:22:00.203</v>
      </c>
      <c r="U3481" t="str">
        <f t="shared" si="1496"/>
        <v>A7E2E0</v>
      </c>
      <c r="V3481">
        <v>0</v>
      </c>
      <c r="W3481">
        <v>0</v>
      </c>
      <c r="X3481">
        <v>1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0</v>
      </c>
      <c r="AI3481" t="s">
        <v>1622</v>
      </c>
      <c r="AJ3481">
        <v>38.821970999999998</v>
      </c>
      <c r="AK3481" t="s">
        <v>1623</v>
      </c>
      <c r="AL3481">
        <v>-87.603370999999996</v>
      </c>
      <c r="AM3481">
        <v>100</v>
      </c>
      <c r="AN3481">
        <v>1800</v>
      </c>
      <c r="AO3481" t="s">
        <v>118</v>
      </c>
      <c r="AP3481">
        <v>6</v>
      </c>
      <c r="AQ3481">
        <v>-114</v>
      </c>
      <c r="AR3481">
        <v>-640</v>
      </c>
      <c r="AZ3481">
        <v>4552</v>
      </c>
      <c r="BA3481">
        <v>1</v>
      </c>
      <c r="BB3481" t="str">
        <f t="shared" si="1497"/>
        <v xml:space="preserve">N607SR  </v>
      </c>
      <c r="BC3481">
        <v>1</v>
      </c>
      <c r="BE3481">
        <v>0</v>
      </c>
      <c r="BF3481">
        <v>0</v>
      </c>
      <c r="BG3481">
        <v>0</v>
      </c>
      <c r="BH3481">
        <v>1600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 t="shared" si="1510"/>
        <v>06:22:00.205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6</v>
      </c>
      <c r="CP3481" t="s">
        <v>119</v>
      </c>
      <c r="CQ3481">
        <v>465</v>
      </c>
      <c r="CR3481">
        <v>0</v>
      </c>
      <c r="CW3481">
        <v>4731175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 t="shared" si="1508"/>
        <v>08/29/2020 06:21:56.980</v>
      </c>
      <c r="C3482" t="str">
        <f t="shared" si="1495"/>
        <v>FFDFD3C0</v>
      </c>
      <c r="D3482" t="s">
        <v>128</v>
      </c>
      <c r="E3482">
        <v>5</v>
      </c>
      <c r="H3482">
        <v>241</v>
      </c>
      <c r="I3482" t="s">
        <v>129</v>
      </c>
      <c r="J3482" t="s">
        <v>130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509"/>
        <v>06:22:00.203</v>
      </c>
      <c r="U3482" t="str">
        <f t="shared" si="1496"/>
        <v>A7E2E0</v>
      </c>
      <c r="V3482">
        <v>0</v>
      </c>
      <c r="W3482">
        <v>0</v>
      </c>
      <c r="X3482">
        <v>1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0</v>
      </c>
      <c r="AI3482" t="s">
        <v>1622</v>
      </c>
      <c r="AJ3482">
        <v>38.821970999999998</v>
      </c>
      <c r="AK3482" t="s">
        <v>1623</v>
      </c>
      <c r="AL3482">
        <v>-87.603370999999996</v>
      </c>
      <c r="AM3482">
        <v>100</v>
      </c>
      <c r="AN3482">
        <v>1800</v>
      </c>
      <c r="AO3482" t="s">
        <v>118</v>
      </c>
      <c r="AP3482">
        <v>6</v>
      </c>
      <c r="AQ3482">
        <v>-114</v>
      </c>
      <c r="AR3482">
        <v>-640</v>
      </c>
      <c r="AZ3482">
        <v>4552</v>
      </c>
      <c r="BA3482">
        <v>1</v>
      </c>
      <c r="BB3482" t="str">
        <f t="shared" si="1497"/>
        <v xml:space="preserve">N607SR  </v>
      </c>
      <c r="BC3482">
        <v>1</v>
      </c>
      <c r="BE3482">
        <v>0</v>
      </c>
      <c r="BF3482">
        <v>0</v>
      </c>
      <c r="BG3482">
        <v>0</v>
      </c>
      <c r="BH3482">
        <v>1600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 t="shared" si="1510"/>
        <v>06:22:00.205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6</v>
      </c>
      <c r="CP3482" t="s">
        <v>119</v>
      </c>
      <c r="CQ3482">
        <v>465</v>
      </c>
      <c r="CR3482">
        <v>0</v>
      </c>
      <c r="CW3482">
        <v>4731175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 t="shared" si="1508"/>
        <v>08/29/2020 06:21:56.980</v>
      </c>
      <c r="C3483" t="str">
        <f t="shared" si="1495"/>
        <v>FFDFD3C0</v>
      </c>
      <c r="D3483" t="s">
        <v>121</v>
      </c>
      <c r="E3483">
        <v>13</v>
      </c>
      <c r="F3483">
        <v>1013</v>
      </c>
      <c r="G3483" t="s">
        <v>122</v>
      </c>
      <c r="J3483" t="s">
        <v>123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si="1509"/>
        <v>06:22:00.203</v>
      </c>
      <c r="U3483" t="str">
        <f t="shared" si="1496"/>
        <v>A7E2E0</v>
      </c>
      <c r="V3483">
        <v>0</v>
      </c>
      <c r="W3483">
        <v>0</v>
      </c>
      <c r="X3483">
        <v>1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0</v>
      </c>
      <c r="AI3483" t="s">
        <v>1622</v>
      </c>
      <c r="AJ3483">
        <v>38.821970999999998</v>
      </c>
      <c r="AK3483" t="s">
        <v>1623</v>
      </c>
      <c r="AL3483">
        <v>-87.603370999999996</v>
      </c>
      <c r="AM3483">
        <v>100</v>
      </c>
      <c r="AN3483">
        <v>1800</v>
      </c>
      <c r="AO3483" t="s">
        <v>118</v>
      </c>
      <c r="AP3483">
        <v>6</v>
      </c>
      <c r="AQ3483">
        <v>-114</v>
      </c>
      <c r="AR3483">
        <v>-640</v>
      </c>
      <c r="AZ3483">
        <v>4552</v>
      </c>
      <c r="BA3483">
        <v>1</v>
      </c>
      <c r="BB3483" t="str">
        <f t="shared" si="1497"/>
        <v xml:space="preserve">N607SR  </v>
      </c>
      <c r="BC3483">
        <v>1</v>
      </c>
      <c r="BE3483">
        <v>0</v>
      </c>
      <c r="BF3483">
        <v>0</v>
      </c>
      <c r="BG3483">
        <v>0</v>
      </c>
      <c r="BH3483">
        <v>1600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 t="shared" si="1510"/>
        <v>06:22:00.205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6</v>
      </c>
      <c r="CP3483" t="s">
        <v>119</v>
      </c>
      <c r="CQ3483">
        <v>465</v>
      </c>
      <c r="CR3483">
        <v>0</v>
      </c>
      <c r="CW3483">
        <v>4731175</v>
      </c>
      <c r="CY3483">
        <v>1</v>
      </c>
      <c r="CZ3483">
        <v>0</v>
      </c>
      <c r="DA3483">
        <v>1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 t="shared" ref="A3484:A3489" si="1511">"08/29/2020 06:21:58.061"</f>
        <v>08/29/2020 06:21:58.061</v>
      </c>
      <c r="C3484" t="str">
        <f t="shared" si="1495"/>
        <v>FFDFD3C0</v>
      </c>
      <c r="D3484" t="s">
        <v>121</v>
      </c>
      <c r="E3484">
        <v>13</v>
      </c>
      <c r="F3484">
        <v>1013</v>
      </c>
      <c r="G3484" t="s">
        <v>122</v>
      </c>
      <c r="J3484" t="s">
        <v>123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ref="S3484:S3489" si="1512">"06:22:01.273"</f>
        <v>06:22:01.273</v>
      </c>
      <c r="T3484" t="str">
        <f t="shared" ref="T3484:T3489" si="1513">"06:22:00.773"</f>
        <v>06:22:00.773</v>
      </c>
      <c r="U3484" t="str">
        <f t="shared" si="1496"/>
        <v>A7E2E0</v>
      </c>
      <c r="V3484">
        <v>0</v>
      </c>
      <c r="W3484">
        <v>0</v>
      </c>
      <c r="X3484">
        <v>1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0</v>
      </c>
      <c r="AI3484" t="s">
        <v>1624</v>
      </c>
      <c r="AJ3484">
        <v>38.821392000000003</v>
      </c>
      <c r="AK3484" t="s">
        <v>1625</v>
      </c>
      <c r="AL3484">
        <v>-87.603328000000005</v>
      </c>
      <c r="AM3484">
        <v>100</v>
      </c>
      <c r="AN3484">
        <v>1800</v>
      </c>
      <c r="AO3484" t="s">
        <v>118</v>
      </c>
      <c r="AP3484">
        <v>6</v>
      </c>
      <c r="AQ3484">
        <v>-114</v>
      </c>
      <c r="AR3484">
        <v>-576</v>
      </c>
      <c r="AZ3484">
        <v>4552</v>
      </c>
      <c r="BA3484">
        <v>1</v>
      </c>
      <c r="BB3484" t="str">
        <f t="shared" si="1497"/>
        <v xml:space="preserve">N607SR  </v>
      </c>
      <c r="BC3484">
        <v>1</v>
      </c>
      <c r="BE3484">
        <v>0</v>
      </c>
      <c r="BF3484">
        <v>0</v>
      </c>
      <c r="BG3484">
        <v>0</v>
      </c>
      <c r="BH3484">
        <v>1600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 t="shared" ref="BW3484:BW3489" si="1514">"06:22:01.277"</f>
        <v>06:22:01.277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6</v>
      </c>
      <c r="CP3484" t="s">
        <v>119</v>
      </c>
      <c r="CQ3484">
        <v>465</v>
      </c>
      <c r="CR3484">
        <v>0</v>
      </c>
      <c r="CW3484">
        <v>4731207</v>
      </c>
      <c r="CY3484">
        <v>1</v>
      </c>
      <c r="CZ3484">
        <v>0</v>
      </c>
      <c r="DA3484">
        <v>0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 t="shared" si="1511"/>
        <v>08/29/2020 06:21:58.061</v>
      </c>
      <c r="C3485" t="str">
        <f t="shared" si="1495"/>
        <v>FFDFD3C0</v>
      </c>
      <c r="D3485" t="s">
        <v>113</v>
      </c>
      <c r="E3485">
        <v>5</v>
      </c>
      <c r="H3485">
        <v>163</v>
      </c>
      <c r="I3485" t="s">
        <v>114</v>
      </c>
      <c r="J3485" t="s">
        <v>115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512"/>
        <v>06:22:01.273</v>
      </c>
      <c r="T3485" t="str">
        <f t="shared" si="1513"/>
        <v>06:22:00.773</v>
      </c>
      <c r="U3485" t="str">
        <f t="shared" si="1496"/>
        <v>A7E2E0</v>
      </c>
      <c r="V3485">
        <v>0</v>
      </c>
      <c r="W3485">
        <v>0</v>
      </c>
      <c r="X3485">
        <v>1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0</v>
      </c>
      <c r="AI3485" t="s">
        <v>1624</v>
      </c>
      <c r="AJ3485">
        <v>38.821392000000003</v>
      </c>
      <c r="AK3485" t="s">
        <v>1625</v>
      </c>
      <c r="AL3485">
        <v>-87.603328000000005</v>
      </c>
      <c r="AM3485">
        <v>100</v>
      </c>
      <c r="AN3485">
        <v>1800</v>
      </c>
      <c r="AO3485" t="s">
        <v>118</v>
      </c>
      <c r="AP3485">
        <v>6</v>
      </c>
      <c r="AQ3485">
        <v>-114</v>
      </c>
      <c r="AR3485">
        <v>-576</v>
      </c>
      <c r="AZ3485">
        <v>4552</v>
      </c>
      <c r="BA3485">
        <v>1</v>
      </c>
      <c r="BB3485" t="str">
        <f t="shared" si="1497"/>
        <v xml:space="preserve">N607SR  </v>
      </c>
      <c r="BC3485">
        <v>1</v>
      </c>
      <c r="BE3485">
        <v>0</v>
      </c>
      <c r="BF3485">
        <v>0</v>
      </c>
      <c r="BG3485">
        <v>0</v>
      </c>
      <c r="BH3485">
        <v>1600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 t="shared" si="1514"/>
        <v>06:22:01.277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6</v>
      </c>
      <c r="CP3485" t="s">
        <v>119</v>
      </c>
      <c r="CQ3485">
        <v>465</v>
      </c>
      <c r="CR3485">
        <v>0</v>
      </c>
      <c r="CW3485">
        <v>4731207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 t="shared" si="1511"/>
        <v>08/29/2020 06:21:58.061</v>
      </c>
      <c r="C3486" t="str">
        <f t="shared" si="1495"/>
        <v>FFDFD3C0</v>
      </c>
      <c r="D3486" t="s">
        <v>939</v>
      </c>
      <c r="E3486">
        <v>10</v>
      </c>
      <c r="H3486">
        <v>79</v>
      </c>
      <c r="I3486" t="s">
        <v>940</v>
      </c>
      <c r="J3486" t="s">
        <v>130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si="1512"/>
        <v>06:22:01.273</v>
      </c>
      <c r="T3486" t="str">
        <f t="shared" si="1513"/>
        <v>06:22:00.773</v>
      </c>
      <c r="U3486" t="str">
        <f t="shared" si="1496"/>
        <v>A7E2E0</v>
      </c>
      <c r="V3486">
        <v>0</v>
      </c>
      <c r="W3486">
        <v>0</v>
      </c>
      <c r="X3486">
        <v>1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0</v>
      </c>
      <c r="AI3486" t="s">
        <v>1624</v>
      </c>
      <c r="AJ3486">
        <v>38.821392000000003</v>
      </c>
      <c r="AK3486" t="s">
        <v>1625</v>
      </c>
      <c r="AL3486">
        <v>-87.603328000000005</v>
      </c>
      <c r="AM3486">
        <v>100</v>
      </c>
      <c r="AN3486">
        <v>1800</v>
      </c>
      <c r="AO3486" t="s">
        <v>118</v>
      </c>
      <c r="AP3486">
        <v>6</v>
      </c>
      <c r="AQ3486">
        <v>-114</v>
      </c>
      <c r="AR3486">
        <v>-576</v>
      </c>
      <c r="AZ3486">
        <v>4552</v>
      </c>
      <c r="BA3486">
        <v>1</v>
      </c>
      <c r="BB3486" t="str">
        <f t="shared" si="1497"/>
        <v xml:space="preserve">N607SR  </v>
      </c>
      <c r="BC3486">
        <v>1</v>
      </c>
      <c r="BE3486">
        <v>0</v>
      </c>
      <c r="BF3486">
        <v>0</v>
      </c>
      <c r="BG3486">
        <v>0</v>
      </c>
      <c r="BH3486">
        <v>1600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 t="shared" si="1514"/>
        <v>06:22:01.277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6</v>
      </c>
      <c r="CP3486" t="s">
        <v>119</v>
      </c>
      <c r="CQ3486">
        <v>465</v>
      </c>
      <c r="CR3486">
        <v>0</v>
      </c>
      <c r="CW3486">
        <v>4731207</v>
      </c>
      <c r="CY3486">
        <v>1</v>
      </c>
      <c r="CZ3486">
        <v>0</v>
      </c>
      <c r="DA3486">
        <v>1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 t="shared" si="1511"/>
        <v>08/29/2020 06:21:58.061</v>
      </c>
      <c r="C3487" t="str">
        <f t="shared" si="1495"/>
        <v>FFDFD3C0</v>
      </c>
      <c r="D3487" t="s">
        <v>121</v>
      </c>
      <c r="E3487">
        <v>10</v>
      </c>
      <c r="F3487">
        <v>1010</v>
      </c>
      <c r="G3487" t="s">
        <v>114</v>
      </c>
      <c r="J3487" t="s">
        <v>123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si="1512"/>
        <v>06:22:01.273</v>
      </c>
      <c r="T3487" t="str">
        <f t="shared" si="1513"/>
        <v>06:22:00.773</v>
      </c>
      <c r="U3487" t="str">
        <f t="shared" si="1496"/>
        <v>A7E2E0</v>
      </c>
      <c r="V3487">
        <v>0</v>
      </c>
      <c r="W3487">
        <v>0</v>
      </c>
      <c r="X3487">
        <v>1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0</v>
      </c>
      <c r="AI3487" t="s">
        <v>1624</v>
      </c>
      <c r="AJ3487">
        <v>38.821392000000003</v>
      </c>
      <c r="AK3487" t="s">
        <v>1625</v>
      </c>
      <c r="AL3487">
        <v>-87.603328000000005</v>
      </c>
      <c r="AM3487">
        <v>100</v>
      </c>
      <c r="AN3487">
        <v>1800</v>
      </c>
      <c r="AO3487" t="s">
        <v>118</v>
      </c>
      <c r="AP3487">
        <v>6</v>
      </c>
      <c r="AQ3487">
        <v>-114</v>
      </c>
      <c r="AR3487">
        <v>-576</v>
      </c>
      <c r="AZ3487">
        <v>4552</v>
      </c>
      <c r="BA3487">
        <v>1</v>
      </c>
      <c r="BB3487" t="str">
        <f t="shared" si="1497"/>
        <v xml:space="preserve">N607SR  </v>
      </c>
      <c r="BC3487">
        <v>1</v>
      </c>
      <c r="BE3487">
        <v>0</v>
      </c>
      <c r="BF3487">
        <v>0</v>
      </c>
      <c r="BG3487">
        <v>0</v>
      </c>
      <c r="BH3487">
        <v>1600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 t="shared" si="1514"/>
        <v>06:22:01.277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6</v>
      </c>
      <c r="CP3487" t="s">
        <v>119</v>
      </c>
      <c r="CQ3487">
        <v>465</v>
      </c>
      <c r="CR3487">
        <v>0</v>
      </c>
      <c r="CW3487">
        <v>4731207</v>
      </c>
      <c r="CY3487">
        <v>1</v>
      </c>
      <c r="CZ3487">
        <v>0</v>
      </c>
      <c r="DA3487">
        <v>1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 t="shared" si="1511"/>
        <v>08/29/2020 06:21:58.061</v>
      </c>
      <c r="C3488" t="str">
        <f t="shared" si="1495"/>
        <v>FFDFD3C0</v>
      </c>
      <c r="D3488" t="s">
        <v>121</v>
      </c>
      <c r="E3488">
        <v>11</v>
      </c>
      <c r="F3488">
        <v>1011</v>
      </c>
      <c r="G3488" t="s">
        <v>125</v>
      </c>
      <c r="J3488" t="s">
        <v>123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si="1512"/>
        <v>06:22:01.273</v>
      </c>
      <c r="T3488" t="str">
        <f t="shared" si="1513"/>
        <v>06:22:00.773</v>
      </c>
      <c r="U3488" t="str">
        <f t="shared" si="1496"/>
        <v>A7E2E0</v>
      </c>
      <c r="V3488">
        <v>0</v>
      </c>
      <c r="W3488">
        <v>0</v>
      </c>
      <c r="X3488">
        <v>1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0</v>
      </c>
      <c r="AI3488" t="s">
        <v>1624</v>
      </c>
      <c r="AJ3488">
        <v>38.821392000000003</v>
      </c>
      <c r="AK3488" t="s">
        <v>1625</v>
      </c>
      <c r="AL3488">
        <v>-87.603328000000005</v>
      </c>
      <c r="AM3488">
        <v>100</v>
      </c>
      <c r="AN3488">
        <v>1800</v>
      </c>
      <c r="AO3488" t="s">
        <v>118</v>
      </c>
      <c r="AP3488">
        <v>6</v>
      </c>
      <c r="AQ3488">
        <v>-114</v>
      </c>
      <c r="AR3488">
        <v>-576</v>
      </c>
      <c r="AZ3488">
        <v>4552</v>
      </c>
      <c r="BA3488">
        <v>1</v>
      </c>
      <c r="BB3488" t="str">
        <f t="shared" si="1497"/>
        <v xml:space="preserve">N607SR  </v>
      </c>
      <c r="BC3488">
        <v>1</v>
      </c>
      <c r="BE3488">
        <v>0</v>
      </c>
      <c r="BF3488">
        <v>0</v>
      </c>
      <c r="BG3488">
        <v>0</v>
      </c>
      <c r="BH3488">
        <v>1600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 t="shared" si="1514"/>
        <v>06:22:01.277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6</v>
      </c>
      <c r="CP3488" t="s">
        <v>119</v>
      </c>
      <c r="CQ3488">
        <v>457</v>
      </c>
      <c r="CR3488">
        <v>0</v>
      </c>
      <c r="CW3488">
        <v>15526423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 t="shared" si="1511"/>
        <v>08/29/2020 06:21:58.061</v>
      </c>
      <c r="C3489" t="str">
        <f t="shared" si="1495"/>
        <v>FFDFD3C0</v>
      </c>
      <c r="D3489" t="s">
        <v>128</v>
      </c>
      <c r="E3489">
        <v>5</v>
      </c>
      <c r="H3489">
        <v>241</v>
      </c>
      <c r="I3489" t="s">
        <v>129</v>
      </c>
      <c r="J3489" t="s">
        <v>130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si="1512"/>
        <v>06:22:01.273</v>
      </c>
      <c r="T3489" t="str">
        <f t="shared" si="1513"/>
        <v>06:22:00.773</v>
      </c>
      <c r="U3489" t="str">
        <f t="shared" si="1496"/>
        <v>A7E2E0</v>
      </c>
      <c r="V3489">
        <v>0</v>
      </c>
      <c r="W3489">
        <v>0</v>
      </c>
      <c r="X3489">
        <v>1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0</v>
      </c>
      <c r="AI3489" t="s">
        <v>1624</v>
      </c>
      <c r="AJ3489">
        <v>38.821392000000003</v>
      </c>
      <c r="AK3489" t="s">
        <v>1625</v>
      </c>
      <c r="AL3489">
        <v>-87.603328000000005</v>
      </c>
      <c r="AM3489">
        <v>100</v>
      </c>
      <c r="AN3489">
        <v>1800</v>
      </c>
      <c r="AO3489" t="s">
        <v>118</v>
      </c>
      <c r="AP3489">
        <v>6</v>
      </c>
      <c r="AQ3489">
        <v>-114</v>
      </c>
      <c r="AR3489">
        <v>-576</v>
      </c>
      <c r="AZ3489">
        <v>4552</v>
      </c>
      <c r="BA3489">
        <v>1</v>
      </c>
      <c r="BB3489" t="str">
        <f t="shared" si="1497"/>
        <v xml:space="preserve">N607SR  </v>
      </c>
      <c r="BC3489">
        <v>1</v>
      </c>
      <c r="BE3489">
        <v>0</v>
      </c>
      <c r="BF3489">
        <v>0</v>
      </c>
      <c r="BG3489">
        <v>0</v>
      </c>
      <c r="BH3489">
        <v>1600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 t="shared" si="1514"/>
        <v>06:22:01.277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6</v>
      </c>
      <c r="CP3489" t="s">
        <v>119</v>
      </c>
      <c r="CQ3489">
        <v>465</v>
      </c>
      <c r="CR3489">
        <v>0</v>
      </c>
      <c r="CW3489">
        <v>4731207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 t="shared" ref="A3490:A3495" si="1515">"08/29/2020 06:21:59.105"</f>
        <v>08/29/2020 06:21:59.105</v>
      </c>
      <c r="C3490" t="str">
        <f t="shared" si="1495"/>
        <v>FFDFD3C0</v>
      </c>
      <c r="D3490" t="s">
        <v>121</v>
      </c>
      <c r="E3490">
        <v>11</v>
      </c>
      <c r="F3490">
        <v>1011</v>
      </c>
      <c r="G3490" t="s">
        <v>125</v>
      </c>
      <c r="J3490" t="s">
        <v>123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ref="S3490:S3495" si="1516">"06:22:02.336"</f>
        <v>06:22:02.336</v>
      </c>
      <c r="T3490" t="str">
        <f t="shared" ref="T3490:T3495" si="1517">"06:22:01.836"</f>
        <v>06:22:01.836</v>
      </c>
      <c r="U3490" t="str">
        <f t="shared" si="1496"/>
        <v>A7E2E0</v>
      </c>
      <c r="V3490">
        <v>0</v>
      </c>
      <c r="W3490">
        <v>0</v>
      </c>
      <c r="X3490">
        <v>1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0</v>
      </c>
      <c r="AI3490" t="s">
        <v>1626</v>
      </c>
      <c r="AJ3490">
        <v>38.820833999999998</v>
      </c>
      <c r="AK3490" t="s">
        <v>1627</v>
      </c>
      <c r="AL3490">
        <v>-87.603307000000001</v>
      </c>
      <c r="AM3490">
        <v>100</v>
      </c>
      <c r="AN3490">
        <v>1800</v>
      </c>
      <c r="AO3490" t="s">
        <v>118</v>
      </c>
      <c r="AP3490">
        <v>6</v>
      </c>
      <c r="AQ3490">
        <v>-113</v>
      </c>
      <c r="AR3490">
        <v>-640</v>
      </c>
      <c r="AZ3490">
        <v>4552</v>
      </c>
      <c r="BA3490">
        <v>1</v>
      </c>
      <c r="BB3490" t="str">
        <f t="shared" si="1497"/>
        <v xml:space="preserve">N607SR  </v>
      </c>
      <c r="BC3490">
        <v>1</v>
      </c>
      <c r="BE3490">
        <v>0</v>
      </c>
      <c r="BF3490">
        <v>0</v>
      </c>
      <c r="BG3490">
        <v>0</v>
      </c>
      <c r="BH3490">
        <v>1600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 t="shared" ref="BW3490:BW3495" si="1518">"06:22:02.342"</f>
        <v>06:22:02.342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6</v>
      </c>
      <c r="CP3490" t="s">
        <v>119</v>
      </c>
      <c r="CQ3490">
        <v>457</v>
      </c>
      <c r="CR3490">
        <v>0</v>
      </c>
      <c r="CW3490">
        <v>15526457</v>
      </c>
      <c r="CY3490">
        <v>1</v>
      </c>
      <c r="CZ3490">
        <v>0</v>
      </c>
      <c r="DA3490">
        <v>0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 t="shared" si="1515"/>
        <v>08/29/2020 06:21:59.105</v>
      </c>
      <c r="C3491" t="str">
        <f t="shared" si="1495"/>
        <v>FFDFD3C0</v>
      </c>
      <c r="D3491" t="s">
        <v>128</v>
      </c>
      <c r="E3491">
        <v>5</v>
      </c>
      <c r="H3491">
        <v>241</v>
      </c>
      <c r="I3491" t="s">
        <v>129</v>
      </c>
      <c r="J3491" t="s">
        <v>130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516"/>
        <v>06:22:02.336</v>
      </c>
      <c r="T3491" t="str">
        <f t="shared" si="1517"/>
        <v>06:22:01.836</v>
      </c>
      <c r="U3491" t="str">
        <f t="shared" si="1496"/>
        <v>A7E2E0</v>
      </c>
      <c r="V3491">
        <v>0</v>
      </c>
      <c r="W3491">
        <v>0</v>
      </c>
      <c r="X3491">
        <v>1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0</v>
      </c>
      <c r="AI3491" t="s">
        <v>1626</v>
      </c>
      <c r="AJ3491">
        <v>38.820833999999998</v>
      </c>
      <c r="AK3491" t="s">
        <v>1627</v>
      </c>
      <c r="AL3491">
        <v>-87.603307000000001</v>
      </c>
      <c r="AM3491">
        <v>100</v>
      </c>
      <c r="AN3491">
        <v>1800</v>
      </c>
      <c r="AO3491" t="s">
        <v>118</v>
      </c>
      <c r="AP3491">
        <v>6</v>
      </c>
      <c r="AQ3491">
        <v>-113</v>
      </c>
      <c r="AR3491">
        <v>-640</v>
      </c>
      <c r="AZ3491">
        <v>4552</v>
      </c>
      <c r="BA3491">
        <v>1</v>
      </c>
      <c r="BB3491" t="str">
        <f t="shared" si="1497"/>
        <v xml:space="preserve">N607SR  </v>
      </c>
      <c r="BC3491">
        <v>1</v>
      </c>
      <c r="BE3491">
        <v>0</v>
      </c>
      <c r="BF3491">
        <v>0</v>
      </c>
      <c r="BG3491">
        <v>0</v>
      </c>
      <c r="BH3491">
        <v>1600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 t="shared" si="1518"/>
        <v>06:22:02.342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6</v>
      </c>
      <c r="CP3491" t="s">
        <v>119</v>
      </c>
      <c r="CQ3491">
        <v>465</v>
      </c>
      <c r="CR3491">
        <v>0</v>
      </c>
      <c r="CW3491">
        <v>4731239</v>
      </c>
      <c r="CY3491">
        <v>1</v>
      </c>
      <c r="CZ3491">
        <v>0</v>
      </c>
      <c r="DA3491">
        <v>1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 t="shared" si="1515"/>
        <v>08/29/2020 06:21:59.105</v>
      </c>
      <c r="C3492" t="str">
        <f t="shared" si="1495"/>
        <v>FFDFD3C0</v>
      </c>
      <c r="D3492" t="s">
        <v>121</v>
      </c>
      <c r="E3492">
        <v>13</v>
      </c>
      <c r="F3492">
        <v>1013</v>
      </c>
      <c r="G3492" t="s">
        <v>122</v>
      </c>
      <c r="J3492" t="s">
        <v>123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si="1516"/>
        <v>06:22:02.336</v>
      </c>
      <c r="T3492" t="str">
        <f t="shared" si="1517"/>
        <v>06:22:01.836</v>
      </c>
      <c r="U3492" t="str">
        <f t="shared" si="1496"/>
        <v>A7E2E0</v>
      </c>
      <c r="V3492">
        <v>0</v>
      </c>
      <c r="W3492">
        <v>0</v>
      </c>
      <c r="X3492">
        <v>1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0</v>
      </c>
      <c r="AI3492" t="s">
        <v>1626</v>
      </c>
      <c r="AJ3492">
        <v>38.820833999999998</v>
      </c>
      <c r="AK3492" t="s">
        <v>1627</v>
      </c>
      <c r="AL3492">
        <v>-87.603307000000001</v>
      </c>
      <c r="AM3492">
        <v>100</v>
      </c>
      <c r="AN3492">
        <v>1800</v>
      </c>
      <c r="AO3492" t="s">
        <v>118</v>
      </c>
      <c r="AP3492">
        <v>6</v>
      </c>
      <c r="AQ3492">
        <v>-113</v>
      </c>
      <c r="AR3492">
        <v>-640</v>
      </c>
      <c r="AZ3492">
        <v>4552</v>
      </c>
      <c r="BA3492">
        <v>1</v>
      </c>
      <c r="BB3492" t="str">
        <f t="shared" si="1497"/>
        <v xml:space="preserve">N607SR  </v>
      </c>
      <c r="BC3492">
        <v>1</v>
      </c>
      <c r="BE3492">
        <v>0</v>
      </c>
      <c r="BF3492">
        <v>0</v>
      </c>
      <c r="BG3492">
        <v>0</v>
      </c>
      <c r="BH3492">
        <v>1600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 t="shared" si="1518"/>
        <v>06:22:02.342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6</v>
      </c>
      <c r="CP3492" t="s">
        <v>119</v>
      </c>
      <c r="CQ3492">
        <v>465</v>
      </c>
      <c r="CR3492">
        <v>0</v>
      </c>
      <c r="CW3492">
        <v>4731239</v>
      </c>
      <c r="CY3492">
        <v>1</v>
      </c>
      <c r="CZ3492">
        <v>0</v>
      </c>
      <c r="DA3492">
        <v>1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 t="shared" si="1515"/>
        <v>08/29/2020 06:21:59.105</v>
      </c>
      <c r="C3493" t="str">
        <f t="shared" si="1495"/>
        <v>FFDFD3C0</v>
      </c>
      <c r="D3493" t="s">
        <v>939</v>
      </c>
      <c r="E3493">
        <v>10</v>
      </c>
      <c r="H3493">
        <v>79</v>
      </c>
      <c r="I3493" t="s">
        <v>940</v>
      </c>
      <c r="J3493" t="s">
        <v>130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516"/>
        <v>06:22:02.336</v>
      </c>
      <c r="T3493" t="str">
        <f t="shared" si="1517"/>
        <v>06:22:01.836</v>
      </c>
      <c r="U3493" t="str">
        <f t="shared" si="1496"/>
        <v>A7E2E0</v>
      </c>
      <c r="V3493">
        <v>0</v>
      </c>
      <c r="W3493">
        <v>0</v>
      </c>
      <c r="X3493">
        <v>1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0</v>
      </c>
      <c r="AI3493" t="s">
        <v>1626</v>
      </c>
      <c r="AJ3493">
        <v>38.820833999999998</v>
      </c>
      <c r="AK3493" t="s">
        <v>1627</v>
      </c>
      <c r="AL3493">
        <v>-87.603307000000001</v>
      </c>
      <c r="AM3493">
        <v>100</v>
      </c>
      <c r="AN3493">
        <v>1800</v>
      </c>
      <c r="AO3493" t="s">
        <v>118</v>
      </c>
      <c r="AP3493">
        <v>6</v>
      </c>
      <c r="AQ3493">
        <v>-113</v>
      </c>
      <c r="AR3493">
        <v>-640</v>
      </c>
      <c r="AZ3493">
        <v>4552</v>
      </c>
      <c r="BA3493">
        <v>1</v>
      </c>
      <c r="BB3493" t="str">
        <f t="shared" si="1497"/>
        <v xml:space="preserve">N607SR  </v>
      </c>
      <c r="BC3493">
        <v>1</v>
      </c>
      <c r="BE3493">
        <v>0</v>
      </c>
      <c r="BF3493">
        <v>0</v>
      </c>
      <c r="BG3493">
        <v>0</v>
      </c>
      <c r="BH3493">
        <v>1600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 t="shared" si="1518"/>
        <v>06:22:02.342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6</v>
      </c>
      <c r="CP3493" t="s">
        <v>119</v>
      </c>
      <c r="CQ3493">
        <v>465</v>
      </c>
      <c r="CR3493">
        <v>0</v>
      </c>
      <c r="CW3493">
        <v>4731239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 t="shared" si="1515"/>
        <v>08/29/2020 06:21:59.105</v>
      </c>
      <c r="C3494" t="str">
        <f t="shared" si="1495"/>
        <v>FFDFD3C0</v>
      </c>
      <c r="D3494" t="s">
        <v>113</v>
      </c>
      <c r="E3494">
        <v>5</v>
      </c>
      <c r="H3494">
        <v>163</v>
      </c>
      <c r="I3494" t="s">
        <v>114</v>
      </c>
      <c r="J3494" t="s">
        <v>115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si="1516"/>
        <v>06:22:02.336</v>
      </c>
      <c r="T3494" t="str">
        <f t="shared" si="1517"/>
        <v>06:22:01.836</v>
      </c>
      <c r="U3494" t="str">
        <f t="shared" si="1496"/>
        <v>A7E2E0</v>
      </c>
      <c r="V3494">
        <v>0</v>
      </c>
      <c r="W3494">
        <v>0</v>
      </c>
      <c r="X3494">
        <v>1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0</v>
      </c>
      <c r="AI3494" t="s">
        <v>1626</v>
      </c>
      <c r="AJ3494">
        <v>38.820833999999998</v>
      </c>
      <c r="AK3494" t="s">
        <v>1627</v>
      </c>
      <c r="AL3494">
        <v>-87.603307000000001</v>
      </c>
      <c r="AM3494">
        <v>100</v>
      </c>
      <c r="AN3494">
        <v>1800</v>
      </c>
      <c r="AO3494" t="s">
        <v>118</v>
      </c>
      <c r="AP3494">
        <v>6</v>
      </c>
      <c r="AQ3494">
        <v>-113</v>
      </c>
      <c r="AR3494">
        <v>-640</v>
      </c>
      <c r="AZ3494">
        <v>4552</v>
      </c>
      <c r="BA3494">
        <v>1</v>
      </c>
      <c r="BB3494" t="str">
        <f t="shared" si="1497"/>
        <v xml:space="preserve">N607SR  </v>
      </c>
      <c r="BC3494">
        <v>1</v>
      </c>
      <c r="BE3494">
        <v>0</v>
      </c>
      <c r="BF3494">
        <v>0</v>
      </c>
      <c r="BG3494">
        <v>0</v>
      </c>
      <c r="BH3494">
        <v>1600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 t="shared" si="1518"/>
        <v>06:22:02.342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6</v>
      </c>
      <c r="CP3494" t="s">
        <v>119</v>
      </c>
      <c r="CQ3494">
        <v>465</v>
      </c>
      <c r="CR3494">
        <v>0</v>
      </c>
      <c r="CW3494">
        <v>4731239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 t="shared" si="1515"/>
        <v>08/29/2020 06:21:59.105</v>
      </c>
      <c r="C3495" t="str">
        <f t="shared" si="1495"/>
        <v>FFDFD3C0</v>
      </c>
      <c r="D3495" t="s">
        <v>121</v>
      </c>
      <c r="E3495">
        <v>10</v>
      </c>
      <c r="F3495">
        <v>1010</v>
      </c>
      <c r="G3495" t="s">
        <v>114</v>
      </c>
      <c r="J3495" t="s">
        <v>123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516"/>
        <v>06:22:02.336</v>
      </c>
      <c r="T3495" t="str">
        <f t="shared" si="1517"/>
        <v>06:22:01.836</v>
      </c>
      <c r="U3495" t="str">
        <f t="shared" si="1496"/>
        <v>A7E2E0</v>
      </c>
      <c r="V3495">
        <v>0</v>
      </c>
      <c r="W3495">
        <v>0</v>
      </c>
      <c r="X3495">
        <v>1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0</v>
      </c>
      <c r="AI3495" t="s">
        <v>1626</v>
      </c>
      <c r="AJ3495">
        <v>38.820833999999998</v>
      </c>
      <c r="AK3495" t="s">
        <v>1627</v>
      </c>
      <c r="AL3495">
        <v>-87.603307000000001</v>
      </c>
      <c r="AM3495">
        <v>100</v>
      </c>
      <c r="AN3495">
        <v>1800</v>
      </c>
      <c r="AO3495" t="s">
        <v>118</v>
      </c>
      <c r="AP3495">
        <v>6</v>
      </c>
      <c r="AQ3495">
        <v>-113</v>
      </c>
      <c r="AR3495">
        <v>-640</v>
      </c>
      <c r="AZ3495">
        <v>4552</v>
      </c>
      <c r="BA3495">
        <v>1</v>
      </c>
      <c r="BB3495" t="str">
        <f t="shared" si="1497"/>
        <v xml:space="preserve">N607SR  </v>
      </c>
      <c r="BC3495">
        <v>1</v>
      </c>
      <c r="BE3495">
        <v>0</v>
      </c>
      <c r="BF3495">
        <v>0</v>
      </c>
      <c r="BG3495">
        <v>0</v>
      </c>
      <c r="BH3495">
        <v>1600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 t="shared" si="1518"/>
        <v>06:22:02.342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6</v>
      </c>
      <c r="CP3495" t="s">
        <v>119</v>
      </c>
      <c r="CQ3495">
        <v>465</v>
      </c>
      <c r="CR3495">
        <v>0</v>
      </c>
      <c r="CW3495">
        <v>4731239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 t="shared" ref="A3496:A3501" si="1519">"08/29/2020 06:22:00.163"</f>
        <v>08/29/2020 06:22:00.163</v>
      </c>
      <c r="C3496" t="str">
        <f t="shared" si="1495"/>
        <v>FFDFD3C0</v>
      </c>
      <c r="D3496" t="s">
        <v>113</v>
      </c>
      <c r="E3496">
        <v>5</v>
      </c>
      <c r="H3496">
        <v>163</v>
      </c>
      <c r="I3496" t="s">
        <v>114</v>
      </c>
      <c r="J3496" t="s">
        <v>115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ref="S3496:S3501" si="1520">"06:22:03.383"</f>
        <v>06:22:03.383</v>
      </c>
      <c r="T3496" t="str">
        <f t="shared" ref="T3496:T3501" si="1521">"06:22:02.983"</f>
        <v>06:22:02.983</v>
      </c>
      <c r="U3496" t="str">
        <f t="shared" si="1496"/>
        <v>A7E2E0</v>
      </c>
      <c r="V3496">
        <v>0</v>
      </c>
      <c r="W3496">
        <v>0</v>
      </c>
      <c r="X3496">
        <v>1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0</v>
      </c>
      <c r="AI3496" t="s">
        <v>1628</v>
      </c>
      <c r="AJ3496">
        <v>38.820318999999998</v>
      </c>
      <c r="AK3496" t="s">
        <v>1629</v>
      </c>
      <c r="AL3496">
        <v>-87.603241999999995</v>
      </c>
      <c r="AM3496">
        <v>100</v>
      </c>
      <c r="AN3496">
        <v>1800</v>
      </c>
      <c r="AO3496" t="s">
        <v>118</v>
      </c>
      <c r="AP3496">
        <v>5</v>
      </c>
      <c r="AQ3496">
        <v>-111</v>
      </c>
      <c r="AR3496">
        <v>-768</v>
      </c>
      <c r="AZ3496">
        <v>4552</v>
      </c>
      <c r="BA3496">
        <v>1</v>
      </c>
      <c r="BB3496" t="str">
        <f t="shared" si="1497"/>
        <v xml:space="preserve">N607SR  </v>
      </c>
      <c r="BC3496">
        <v>1</v>
      </c>
      <c r="BE3496">
        <v>0</v>
      </c>
      <c r="BF3496">
        <v>0</v>
      </c>
      <c r="BG3496">
        <v>0</v>
      </c>
      <c r="BH3496">
        <v>1575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 t="shared" ref="BW3496:BW3501" si="1522">"06:22:03.384"</f>
        <v>06:22:03.384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6</v>
      </c>
      <c r="CP3496" t="s">
        <v>119</v>
      </c>
      <c r="CQ3496">
        <v>457</v>
      </c>
      <c r="CR3496">
        <v>0</v>
      </c>
      <c r="CW3496">
        <v>15526483</v>
      </c>
      <c r="CY3496">
        <v>1</v>
      </c>
      <c r="CZ3496">
        <v>0</v>
      </c>
      <c r="DA3496">
        <v>0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 t="shared" si="1519"/>
        <v>08/29/2020 06:22:00.163</v>
      </c>
      <c r="C3497" t="str">
        <f t="shared" si="1495"/>
        <v>FFDFD3C0</v>
      </c>
      <c r="D3497" t="s">
        <v>121</v>
      </c>
      <c r="E3497">
        <v>10</v>
      </c>
      <c r="F3497">
        <v>1010</v>
      </c>
      <c r="G3497" t="s">
        <v>114</v>
      </c>
      <c r="J3497" t="s">
        <v>123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si="1520"/>
        <v>06:22:03.383</v>
      </c>
      <c r="T3497" t="str">
        <f t="shared" si="1521"/>
        <v>06:22:02.983</v>
      </c>
      <c r="U3497" t="str">
        <f t="shared" si="1496"/>
        <v>A7E2E0</v>
      </c>
      <c r="V3497">
        <v>0</v>
      </c>
      <c r="W3497">
        <v>0</v>
      </c>
      <c r="X3497">
        <v>1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0</v>
      </c>
      <c r="AI3497" t="s">
        <v>1628</v>
      </c>
      <c r="AJ3497">
        <v>38.820318999999998</v>
      </c>
      <c r="AK3497" t="s">
        <v>1629</v>
      </c>
      <c r="AL3497">
        <v>-87.603241999999995</v>
      </c>
      <c r="AM3497">
        <v>100</v>
      </c>
      <c r="AN3497">
        <v>1800</v>
      </c>
      <c r="AO3497" t="s">
        <v>118</v>
      </c>
      <c r="AP3497">
        <v>5</v>
      </c>
      <c r="AQ3497">
        <v>-111</v>
      </c>
      <c r="AR3497">
        <v>-768</v>
      </c>
      <c r="AZ3497">
        <v>4552</v>
      </c>
      <c r="BA3497">
        <v>1</v>
      </c>
      <c r="BB3497" t="str">
        <f t="shared" si="1497"/>
        <v xml:space="preserve">N607SR  </v>
      </c>
      <c r="BC3497">
        <v>1</v>
      </c>
      <c r="BE3497">
        <v>0</v>
      </c>
      <c r="BF3497">
        <v>0</v>
      </c>
      <c r="BG3497">
        <v>0</v>
      </c>
      <c r="BH3497">
        <v>1575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 t="shared" si="1522"/>
        <v>06:22:03.384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6</v>
      </c>
      <c r="CP3497" t="s">
        <v>119</v>
      </c>
      <c r="CQ3497">
        <v>457</v>
      </c>
      <c r="CR3497">
        <v>0</v>
      </c>
      <c r="CW3497">
        <v>15526483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 t="shared" si="1519"/>
        <v>08/29/2020 06:22:00.163</v>
      </c>
      <c r="C3498" t="str">
        <f t="shared" si="1495"/>
        <v>FFDFD3C0</v>
      </c>
      <c r="D3498" t="s">
        <v>121</v>
      </c>
      <c r="E3498">
        <v>11</v>
      </c>
      <c r="F3498">
        <v>1011</v>
      </c>
      <c r="G3498" t="s">
        <v>125</v>
      </c>
      <c r="J3498" t="s">
        <v>123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1520"/>
        <v>06:22:03.383</v>
      </c>
      <c r="T3498" t="str">
        <f t="shared" si="1521"/>
        <v>06:22:02.983</v>
      </c>
      <c r="U3498" t="str">
        <f t="shared" si="1496"/>
        <v>A7E2E0</v>
      </c>
      <c r="V3498">
        <v>0</v>
      </c>
      <c r="W3498">
        <v>0</v>
      </c>
      <c r="X3498">
        <v>1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0</v>
      </c>
      <c r="AI3498" t="s">
        <v>1628</v>
      </c>
      <c r="AJ3498">
        <v>38.820318999999998</v>
      </c>
      <c r="AK3498" t="s">
        <v>1629</v>
      </c>
      <c r="AL3498">
        <v>-87.603241999999995</v>
      </c>
      <c r="AM3498">
        <v>100</v>
      </c>
      <c r="AN3498">
        <v>1800</v>
      </c>
      <c r="AO3498" t="s">
        <v>118</v>
      </c>
      <c r="AP3498">
        <v>5</v>
      </c>
      <c r="AQ3498">
        <v>-111</v>
      </c>
      <c r="AR3498">
        <v>-768</v>
      </c>
      <c r="AZ3498">
        <v>4552</v>
      </c>
      <c r="BA3498">
        <v>1</v>
      </c>
      <c r="BB3498" t="str">
        <f t="shared" si="1497"/>
        <v xml:space="preserve">N607SR  </v>
      </c>
      <c r="BC3498">
        <v>1</v>
      </c>
      <c r="BE3498">
        <v>0</v>
      </c>
      <c r="BF3498">
        <v>0</v>
      </c>
      <c r="BG3498">
        <v>0</v>
      </c>
      <c r="BH3498">
        <v>1575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 t="shared" si="1522"/>
        <v>06:22:03.384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6</v>
      </c>
      <c r="CP3498" t="s">
        <v>119</v>
      </c>
      <c r="CQ3498">
        <v>457</v>
      </c>
      <c r="CR3498">
        <v>0</v>
      </c>
      <c r="CW3498">
        <v>15526483</v>
      </c>
      <c r="CY3498">
        <v>1</v>
      </c>
      <c r="CZ3498">
        <v>0</v>
      </c>
      <c r="DA3498">
        <v>1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 t="shared" si="1519"/>
        <v>08/29/2020 06:22:00.163</v>
      </c>
      <c r="C3499" t="str">
        <f t="shared" si="1495"/>
        <v>FFDFD3C0</v>
      </c>
      <c r="D3499" t="s">
        <v>128</v>
      </c>
      <c r="E3499">
        <v>5</v>
      </c>
      <c r="H3499">
        <v>241</v>
      </c>
      <c r="I3499" t="s">
        <v>129</v>
      </c>
      <c r="J3499" t="s">
        <v>130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si="1520"/>
        <v>06:22:03.383</v>
      </c>
      <c r="T3499" t="str">
        <f t="shared" si="1521"/>
        <v>06:22:02.983</v>
      </c>
      <c r="U3499" t="str">
        <f t="shared" si="1496"/>
        <v>A7E2E0</v>
      </c>
      <c r="V3499">
        <v>0</v>
      </c>
      <c r="W3499">
        <v>0</v>
      </c>
      <c r="X3499">
        <v>1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0</v>
      </c>
      <c r="AI3499" t="s">
        <v>1628</v>
      </c>
      <c r="AJ3499">
        <v>38.820318999999998</v>
      </c>
      <c r="AK3499" t="s">
        <v>1629</v>
      </c>
      <c r="AL3499">
        <v>-87.603241999999995</v>
      </c>
      <c r="AM3499">
        <v>100</v>
      </c>
      <c r="AN3499">
        <v>1800</v>
      </c>
      <c r="AO3499" t="s">
        <v>118</v>
      </c>
      <c r="AP3499">
        <v>5</v>
      </c>
      <c r="AQ3499">
        <v>-111</v>
      </c>
      <c r="AR3499">
        <v>-768</v>
      </c>
      <c r="AZ3499">
        <v>4552</v>
      </c>
      <c r="BA3499">
        <v>1</v>
      </c>
      <c r="BB3499" t="str">
        <f t="shared" si="1497"/>
        <v xml:space="preserve">N607SR  </v>
      </c>
      <c r="BC3499">
        <v>1</v>
      </c>
      <c r="BE3499">
        <v>0</v>
      </c>
      <c r="BF3499">
        <v>0</v>
      </c>
      <c r="BG3499">
        <v>0</v>
      </c>
      <c r="BH3499">
        <v>1575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 t="shared" si="1522"/>
        <v>06:22:03.384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6</v>
      </c>
      <c r="CP3499" t="s">
        <v>119</v>
      </c>
      <c r="CQ3499">
        <v>457</v>
      </c>
      <c r="CR3499">
        <v>0</v>
      </c>
      <c r="CW3499">
        <v>15526483</v>
      </c>
      <c r="CY3499">
        <v>1</v>
      </c>
      <c r="CZ3499">
        <v>0</v>
      </c>
      <c r="DA3499">
        <v>1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 t="shared" si="1519"/>
        <v>08/29/2020 06:22:00.163</v>
      </c>
      <c r="C3500" t="str">
        <f t="shared" si="1495"/>
        <v>FFDFD3C0</v>
      </c>
      <c r="D3500" t="s">
        <v>939</v>
      </c>
      <c r="E3500">
        <v>10</v>
      </c>
      <c r="H3500">
        <v>79</v>
      </c>
      <c r="I3500" t="s">
        <v>940</v>
      </c>
      <c r="J3500" t="s">
        <v>130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1520"/>
        <v>06:22:03.383</v>
      </c>
      <c r="T3500" t="str">
        <f t="shared" si="1521"/>
        <v>06:22:02.983</v>
      </c>
      <c r="U3500" t="str">
        <f t="shared" si="1496"/>
        <v>A7E2E0</v>
      </c>
      <c r="V3500">
        <v>0</v>
      </c>
      <c r="W3500">
        <v>0</v>
      </c>
      <c r="X3500">
        <v>1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0</v>
      </c>
      <c r="AI3500" t="s">
        <v>1628</v>
      </c>
      <c r="AJ3500">
        <v>38.820318999999998</v>
      </c>
      <c r="AK3500" t="s">
        <v>1629</v>
      </c>
      <c r="AL3500">
        <v>-87.603241999999995</v>
      </c>
      <c r="AM3500">
        <v>100</v>
      </c>
      <c r="AN3500">
        <v>1800</v>
      </c>
      <c r="AO3500" t="s">
        <v>118</v>
      </c>
      <c r="AP3500">
        <v>5</v>
      </c>
      <c r="AQ3500">
        <v>-111</v>
      </c>
      <c r="AR3500">
        <v>-768</v>
      </c>
      <c r="AZ3500">
        <v>4552</v>
      </c>
      <c r="BA3500">
        <v>1</v>
      </c>
      <c r="BB3500" t="str">
        <f t="shared" si="1497"/>
        <v xml:space="preserve">N607SR  </v>
      </c>
      <c r="BC3500">
        <v>1</v>
      </c>
      <c r="BE3500">
        <v>0</v>
      </c>
      <c r="BF3500">
        <v>0</v>
      </c>
      <c r="BG3500">
        <v>0</v>
      </c>
      <c r="BH3500">
        <v>1575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 t="shared" si="1522"/>
        <v>06:22:03.384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5</v>
      </c>
      <c r="CP3500" t="s">
        <v>119</v>
      </c>
      <c r="CQ3500">
        <v>465</v>
      </c>
      <c r="CR3500">
        <v>0</v>
      </c>
      <c r="CW3500">
        <v>4731264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 t="shared" si="1519"/>
        <v>08/29/2020 06:22:00.163</v>
      </c>
      <c r="C3501" t="str">
        <f t="shared" si="1495"/>
        <v>FFDFD3C0</v>
      </c>
      <c r="D3501" t="s">
        <v>121</v>
      </c>
      <c r="E3501">
        <v>13</v>
      </c>
      <c r="F3501">
        <v>1013</v>
      </c>
      <c r="G3501" t="s">
        <v>122</v>
      </c>
      <c r="J3501" t="s">
        <v>123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1520"/>
        <v>06:22:03.383</v>
      </c>
      <c r="T3501" t="str">
        <f t="shared" si="1521"/>
        <v>06:22:02.983</v>
      </c>
      <c r="U3501" t="str">
        <f t="shared" si="1496"/>
        <v>A7E2E0</v>
      </c>
      <c r="V3501">
        <v>0</v>
      </c>
      <c r="W3501">
        <v>0</v>
      </c>
      <c r="X3501">
        <v>1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0</v>
      </c>
      <c r="AI3501" t="s">
        <v>1628</v>
      </c>
      <c r="AJ3501">
        <v>38.820318999999998</v>
      </c>
      <c r="AK3501" t="s">
        <v>1629</v>
      </c>
      <c r="AL3501">
        <v>-87.603241999999995</v>
      </c>
      <c r="AM3501">
        <v>100</v>
      </c>
      <c r="AN3501">
        <v>1800</v>
      </c>
      <c r="AO3501" t="s">
        <v>118</v>
      </c>
      <c r="AP3501">
        <v>5</v>
      </c>
      <c r="AQ3501">
        <v>-111</v>
      </c>
      <c r="AR3501">
        <v>-768</v>
      </c>
      <c r="AZ3501">
        <v>4552</v>
      </c>
      <c r="BA3501">
        <v>1</v>
      </c>
      <c r="BB3501" t="str">
        <f t="shared" si="1497"/>
        <v xml:space="preserve">N607SR  </v>
      </c>
      <c r="BC3501">
        <v>1</v>
      </c>
      <c r="BE3501">
        <v>0</v>
      </c>
      <c r="BF3501">
        <v>0</v>
      </c>
      <c r="BG3501">
        <v>0</v>
      </c>
      <c r="BH3501">
        <v>1575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 t="shared" si="1522"/>
        <v>06:22:03.384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6</v>
      </c>
      <c r="CP3501" t="s">
        <v>119</v>
      </c>
      <c r="CQ3501">
        <v>457</v>
      </c>
      <c r="CR3501">
        <v>0</v>
      </c>
      <c r="CW3501">
        <v>15526483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 t="shared" ref="A3502:A3507" si="1523">"08/29/2020 06:22:01.278"</f>
        <v>08/29/2020 06:22:01.278</v>
      </c>
      <c r="C3502" t="str">
        <f t="shared" si="1495"/>
        <v>FFDFD3C0</v>
      </c>
      <c r="D3502" t="s">
        <v>113</v>
      </c>
      <c r="E3502">
        <v>5</v>
      </c>
      <c r="H3502">
        <v>163</v>
      </c>
      <c r="I3502" t="s">
        <v>114</v>
      </c>
      <c r="J3502" t="s">
        <v>115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ref="S3502:S3507" si="1524">"06:22:04.516"</f>
        <v>06:22:04.516</v>
      </c>
      <c r="T3502" t="str">
        <f t="shared" ref="T3502:T3507" si="1525">"06:22:04.016"</f>
        <v>06:22:04.016</v>
      </c>
      <c r="U3502" t="str">
        <f t="shared" si="1496"/>
        <v>A7E2E0</v>
      </c>
      <c r="V3502">
        <v>0</v>
      </c>
      <c r="W3502">
        <v>0</v>
      </c>
      <c r="X3502">
        <v>1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0</v>
      </c>
      <c r="AI3502" t="s">
        <v>1630</v>
      </c>
      <c r="AJ3502">
        <v>38.819696999999998</v>
      </c>
      <c r="AK3502" t="s">
        <v>1629</v>
      </c>
      <c r="AL3502">
        <v>-87.603241999999995</v>
      </c>
      <c r="AM3502">
        <v>100</v>
      </c>
      <c r="AN3502">
        <v>1800</v>
      </c>
      <c r="AO3502" t="s">
        <v>118</v>
      </c>
      <c r="AP3502">
        <v>5</v>
      </c>
      <c r="AQ3502">
        <v>-110</v>
      </c>
      <c r="AR3502">
        <v>-896</v>
      </c>
      <c r="AZ3502">
        <v>4552</v>
      </c>
      <c r="BA3502">
        <v>1</v>
      </c>
      <c r="BB3502" t="str">
        <f t="shared" si="1497"/>
        <v xml:space="preserve">N607SR  </v>
      </c>
      <c r="BC3502">
        <v>1</v>
      </c>
      <c r="BE3502">
        <v>0</v>
      </c>
      <c r="BF3502">
        <v>0</v>
      </c>
      <c r="BG3502">
        <v>0</v>
      </c>
      <c r="BH3502">
        <v>1575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 t="shared" ref="BW3502:BW3507" si="1526">"06:22:04.516"</f>
        <v>06:22:04.516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6</v>
      </c>
      <c r="CP3502" t="s">
        <v>119</v>
      </c>
      <c r="CQ3502">
        <v>465</v>
      </c>
      <c r="CR3502">
        <v>0</v>
      </c>
      <c r="CW3502">
        <v>4731293</v>
      </c>
      <c r="CY3502">
        <v>1</v>
      </c>
      <c r="CZ3502">
        <v>0</v>
      </c>
      <c r="DA3502">
        <v>0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 t="shared" si="1523"/>
        <v>08/29/2020 06:22:01.278</v>
      </c>
      <c r="C3503" t="str">
        <f t="shared" si="1495"/>
        <v>FFDFD3C0</v>
      </c>
      <c r="D3503" t="s">
        <v>121</v>
      </c>
      <c r="E3503">
        <v>11</v>
      </c>
      <c r="F3503">
        <v>1011</v>
      </c>
      <c r="G3503" t="s">
        <v>125</v>
      </c>
      <c r="J3503" t="s">
        <v>123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524"/>
        <v>06:22:04.516</v>
      </c>
      <c r="T3503" t="str">
        <f t="shared" si="1525"/>
        <v>06:22:04.016</v>
      </c>
      <c r="U3503" t="str">
        <f t="shared" si="1496"/>
        <v>A7E2E0</v>
      </c>
      <c r="V3503">
        <v>0</v>
      </c>
      <c r="W3503">
        <v>0</v>
      </c>
      <c r="X3503">
        <v>1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0</v>
      </c>
      <c r="AI3503" t="s">
        <v>1630</v>
      </c>
      <c r="AJ3503">
        <v>38.819696999999998</v>
      </c>
      <c r="AK3503" t="s">
        <v>1629</v>
      </c>
      <c r="AL3503">
        <v>-87.603241999999995</v>
      </c>
      <c r="AM3503">
        <v>100</v>
      </c>
      <c r="AN3503">
        <v>1800</v>
      </c>
      <c r="AO3503" t="s">
        <v>118</v>
      </c>
      <c r="AP3503">
        <v>5</v>
      </c>
      <c r="AQ3503">
        <v>-110</v>
      </c>
      <c r="AR3503">
        <v>-896</v>
      </c>
      <c r="AZ3503">
        <v>4552</v>
      </c>
      <c r="BA3503">
        <v>1</v>
      </c>
      <c r="BB3503" t="str">
        <f t="shared" si="1497"/>
        <v xml:space="preserve">N607SR  </v>
      </c>
      <c r="BC3503">
        <v>1</v>
      </c>
      <c r="BE3503">
        <v>0</v>
      </c>
      <c r="BF3503">
        <v>0</v>
      </c>
      <c r="BG3503">
        <v>0</v>
      </c>
      <c r="BH3503">
        <v>1575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 t="shared" si="1526"/>
        <v>06:22:04.516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6</v>
      </c>
      <c r="CP3503" t="s">
        <v>119</v>
      </c>
      <c r="CQ3503">
        <v>457</v>
      </c>
      <c r="CR3503">
        <v>0</v>
      </c>
      <c r="CW3503">
        <v>15526517</v>
      </c>
      <c r="CY3503">
        <v>1</v>
      </c>
      <c r="CZ3503">
        <v>0</v>
      </c>
      <c r="DA3503">
        <v>1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 t="shared" si="1523"/>
        <v>08/29/2020 06:22:01.278</v>
      </c>
      <c r="C3504" t="str">
        <f t="shared" si="1495"/>
        <v>FFDFD3C0</v>
      </c>
      <c r="D3504" t="s">
        <v>128</v>
      </c>
      <c r="E3504">
        <v>5</v>
      </c>
      <c r="H3504">
        <v>241</v>
      </c>
      <c r="I3504" t="s">
        <v>129</v>
      </c>
      <c r="J3504" t="s">
        <v>130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524"/>
        <v>06:22:04.516</v>
      </c>
      <c r="T3504" t="str">
        <f t="shared" si="1525"/>
        <v>06:22:04.016</v>
      </c>
      <c r="U3504" t="str">
        <f t="shared" si="1496"/>
        <v>A7E2E0</v>
      </c>
      <c r="V3504">
        <v>0</v>
      </c>
      <c r="W3504">
        <v>0</v>
      </c>
      <c r="X3504">
        <v>1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0</v>
      </c>
      <c r="AI3504" t="s">
        <v>1630</v>
      </c>
      <c r="AJ3504">
        <v>38.819696999999998</v>
      </c>
      <c r="AK3504" t="s">
        <v>1629</v>
      </c>
      <c r="AL3504">
        <v>-87.603241999999995</v>
      </c>
      <c r="AM3504">
        <v>100</v>
      </c>
      <c r="AN3504">
        <v>1800</v>
      </c>
      <c r="AO3504" t="s">
        <v>118</v>
      </c>
      <c r="AP3504">
        <v>5</v>
      </c>
      <c r="AQ3504">
        <v>-110</v>
      </c>
      <c r="AR3504">
        <v>-896</v>
      </c>
      <c r="AZ3504">
        <v>4552</v>
      </c>
      <c r="BA3504">
        <v>1</v>
      </c>
      <c r="BB3504" t="str">
        <f t="shared" si="1497"/>
        <v xml:space="preserve">N607SR  </v>
      </c>
      <c r="BC3504">
        <v>1</v>
      </c>
      <c r="BE3504">
        <v>0</v>
      </c>
      <c r="BF3504">
        <v>0</v>
      </c>
      <c r="BG3504">
        <v>0</v>
      </c>
      <c r="BH3504">
        <v>1575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 t="shared" si="1526"/>
        <v>06:22:04.516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6</v>
      </c>
      <c r="CP3504" t="s">
        <v>119</v>
      </c>
      <c r="CQ3504">
        <v>465</v>
      </c>
      <c r="CR3504">
        <v>0</v>
      </c>
      <c r="CW3504">
        <v>4731293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 t="shared" si="1523"/>
        <v>08/29/2020 06:22:01.278</v>
      </c>
      <c r="C3505" t="str">
        <f t="shared" si="1495"/>
        <v>FFDFD3C0</v>
      </c>
      <c r="D3505" t="s">
        <v>939</v>
      </c>
      <c r="E3505">
        <v>10</v>
      </c>
      <c r="H3505">
        <v>79</v>
      </c>
      <c r="I3505" t="s">
        <v>940</v>
      </c>
      <c r="J3505" t="s">
        <v>130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524"/>
        <v>06:22:04.516</v>
      </c>
      <c r="T3505" t="str">
        <f t="shared" si="1525"/>
        <v>06:22:04.016</v>
      </c>
      <c r="U3505" t="str">
        <f t="shared" si="1496"/>
        <v>A7E2E0</v>
      </c>
      <c r="V3505">
        <v>0</v>
      </c>
      <c r="W3505">
        <v>0</v>
      </c>
      <c r="X3505">
        <v>1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0</v>
      </c>
      <c r="AI3505" t="s">
        <v>1630</v>
      </c>
      <c r="AJ3505">
        <v>38.819696999999998</v>
      </c>
      <c r="AK3505" t="s">
        <v>1629</v>
      </c>
      <c r="AL3505">
        <v>-87.603241999999995</v>
      </c>
      <c r="AM3505">
        <v>100</v>
      </c>
      <c r="AN3505">
        <v>1800</v>
      </c>
      <c r="AO3505" t="s">
        <v>118</v>
      </c>
      <c r="AP3505">
        <v>5</v>
      </c>
      <c r="AQ3505">
        <v>-110</v>
      </c>
      <c r="AR3505">
        <v>-896</v>
      </c>
      <c r="AZ3505">
        <v>4552</v>
      </c>
      <c r="BA3505">
        <v>1</v>
      </c>
      <c r="BB3505" t="str">
        <f t="shared" si="1497"/>
        <v xml:space="preserve">N607SR  </v>
      </c>
      <c r="BC3505">
        <v>1</v>
      </c>
      <c r="BE3505">
        <v>0</v>
      </c>
      <c r="BF3505">
        <v>0</v>
      </c>
      <c r="BG3505">
        <v>0</v>
      </c>
      <c r="BH3505">
        <v>1575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 t="shared" si="1526"/>
        <v>06:22:04.516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6</v>
      </c>
      <c r="CP3505" t="s">
        <v>119</v>
      </c>
      <c r="CQ3505">
        <v>465</v>
      </c>
      <c r="CR3505">
        <v>0</v>
      </c>
      <c r="CW3505">
        <v>4731293</v>
      </c>
      <c r="CY3505">
        <v>1</v>
      </c>
      <c r="CZ3505">
        <v>0</v>
      </c>
      <c r="DA3505">
        <v>1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 t="shared" si="1523"/>
        <v>08/29/2020 06:22:01.278</v>
      </c>
      <c r="C3506" t="str">
        <f t="shared" si="1495"/>
        <v>FFDFD3C0</v>
      </c>
      <c r="D3506" t="s">
        <v>121</v>
      </c>
      <c r="E3506">
        <v>13</v>
      </c>
      <c r="F3506">
        <v>1013</v>
      </c>
      <c r="G3506" t="s">
        <v>122</v>
      </c>
      <c r="J3506" t="s">
        <v>123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si="1524"/>
        <v>06:22:04.516</v>
      </c>
      <c r="T3506" t="str">
        <f t="shared" si="1525"/>
        <v>06:22:04.016</v>
      </c>
      <c r="U3506" t="str">
        <f t="shared" si="1496"/>
        <v>A7E2E0</v>
      </c>
      <c r="V3506">
        <v>0</v>
      </c>
      <c r="W3506">
        <v>0</v>
      </c>
      <c r="X3506">
        <v>1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0</v>
      </c>
      <c r="AI3506" t="s">
        <v>1630</v>
      </c>
      <c r="AJ3506">
        <v>38.819696999999998</v>
      </c>
      <c r="AK3506" t="s">
        <v>1629</v>
      </c>
      <c r="AL3506">
        <v>-87.603241999999995</v>
      </c>
      <c r="AM3506">
        <v>100</v>
      </c>
      <c r="AN3506">
        <v>1800</v>
      </c>
      <c r="AO3506" t="s">
        <v>118</v>
      </c>
      <c r="AP3506">
        <v>5</v>
      </c>
      <c r="AQ3506">
        <v>-110</v>
      </c>
      <c r="AR3506">
        <v>-896</v>
      </c>
      <c r="AZ3506">
        <v>4552</v>
      </c>
      <c r="BA3506">
        <v>1</v>
      </c>
      <c r="BB3506" t="str">
        <f t="shared" si="1497"/>
        <v xml:space="preserve">N607SR  </v>
      </c>
      <c r="BC3506">
        <v>1</v>
      </c>
      <c r="BE3506">
        <v>0</v>
      </c>
      <c r="BF3506">
        <v>0</v>
      </c>
      <c r="BG3506">
        <v>0</v>
      </c>
      <c r="BH3506">
        <v>1575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 t="shared" si="1526"/>
        <v>06:22:04.516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6</v>
      </c>
      <c r="CP3506" t="s">
        <v>119</v>
      </c>
      <c r="CQ3506">
        <v>465</v>
      </c>
      <c r="CR3506">
        <v>0</v>
      </c>
      <c r="CW3506">
        <v>4731293</v>
      </c>
      <c r="CY3506">
        <v>1</v>
      </c>
      <c r="CZ3506">
        <v>0</v>
      </c>
      <c r="DA3506">
        <v>1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 t="shared" si="1523"/>
        <v>08/29/2020 06:22:01.278</v>
      </c>
      <c r="C3507" t="str">
        <f t="shared" si="1495"/>
        <v>FFDFD3C0</v>
      </c>
      <c r="D3507" t="s">
        <v>121</v>
      </c>
      <c r="E3507">
        <v>10</v>
      </c>
      <c r="F3507">
        <v>1010</v>
      </c>
      <c r="G3507" t="s">
        <v>114</v>
      </c>
      <c r="J3507" t="s">
        <v>123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si="1524"/>
        <v>06:22:04.516</v>
      </c>
      <c r="T3507" t="str">
        <f t="shared" si="1525"/>
        <v>06:22:04.016</v>
      </c>
      <c r="U3507" t="str">
        <f t="shared" si="1496"/>
        <v>A7E2E0</v>
      </c>
      <c r="V3507">
        <v>0</v>
      </c>
      <c r="W3507">
        <v>0</v>
      </c>
      <c r="X3507">
        <v>1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0</v>
      </c>
      <c r="AI3507" t="s">
        <v>1630</v>
      </c>
      <c r="AJ3507">
        <v>38.819696999999998</v>
      </c>
      <c r="AK3507" t="s">
        <v>1629</v>
      </c>
      <c r="AL3507">
        <v>-87.603241999999995</v>
      </c>
      <c r="AM3507">
        <v>100</v>
      </c>
      <c r="AN3507">
        <v>1800</v>
      </c>
      <c r="AO3507" t="s">
        <v>118</v>
      </c>
      <c r="AP3507">
        <v>5</v>
      </c>
      <c r="AQ3507">
        <v>-110</v>
      </c>
      <c r="AR3507">
        <v>-896</v>
      </c>
      <c r="AZ3507">
        <v>4552</v>
      </c>
      <c r="BA3507">
        <v>1</v>
      </c>
      <c r="BB3507" t="str">
        <f t="shared" si="1497"/>
        <v xml:space="preserve">N607SR  </v>
      </c>
      <c r="BC3507">
        <v>1</v>
      </c>
      <c r="BE3507">
        <v>0</v>
      </c>
      <c r="BF3507">
        <v>0</v>
      </c>
      <c r="BG3507">
        <v>0</v>
      </c>
      <c r="BH3507">
        <v>1575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 t="shared" si="1526"/>
        <v>06:22:04.516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6</v>
      </c>
      <c r="CP3507" t="s">
        <v>119</v>
      </c>
      <c r="CQ3507">
        <v>465</v>
      </c>
      <c r="CR3507">
        <v>0</v>
      </c>
      <c r="CW3507">
        <v>4731293</v>
      </c>
      <c r="CY3507">
        <v>1</v>
      </c>
      <c r="CZ3507">
        <v>0</v>
      </c>
      <c r="DA3507">
        <v>1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 t="shared" ref="A3508:A3513" si="1527">"08/29/2020 06:22:02.385"</f>
        <v>08/29/2020 06:22:02.385</v>
      </c>
      <c r="C3508" t="str">
        <f t="shared" si="1495"/>
        <v>FFDFD3C0</v>
      </c>
      <c r="D3508" t="s">
        <v>121</v>
      </c>
      <c r="E3508">
        <v>10</v>
      </c>
      <c r="F3508">
        <v>1010</v>
      </c>
      <c r="G3508" t="s">
        <v>114</v>
      </c>
      <c r="J3508" t="s">
        <v>123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ref="S3508:S3513" si="1528">"06:22:05.625"</f>
        <v>06:22:05.625</v>
      </c>
      <c r="T3508" t="str">
        <f t="shared" ref="T3508:T3513" si="1529">"06:22:05.125"</f>
        <v>06:22:05.125</v>
      </c>
      <c r="U3508" t="str">
        <f t="shared" si="1496"/>
        <v>A7E2E0</v>
      </c>
      <c r="V3508">
        <v>0</v>
      </c>
      <c r="W3508">
        <v>0</v>
      </c>
      <c r="X3508">
        <v>1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0</v>
      </c>
      <c r="AI3508" t="s">
        <v>1631</v>
      </c>
      <c r="AJ3508">
        <v>38.819118000000003</v>
      </c>
      <c r="AK3508" t="s">
        <v>1632</v>
      </c>
      <c r="AL3508">
        <v>-87.603221000000005</v>
      </c>
      <c r="AM3508">
        <v>100</v>
      </c>
      <c r="AN3508">
        <v>1800</v>
      </c>
      <c r="AO3508" t="s">
        <v>118</v>
      </c>
      <c r="AP3508">
        <v>4</v>
      </c>
      <c r="AQ3508">
        <v>-109</v>
      </c>
      <c r="AR3508">
        <v>-960</v>
      </c>
      <c r="AZ3508">
        <v>4552</v>
      </c>
      <c r="BA3508">
        <v>1</v>
      </c>
      <c r="BB3508" t="str">
        <f t="shared" si="1497"/>
        <v xml:space="preserve">N607SR  </v>
      </c>
      <c r="BC3508">
        <v>1</v>
      </c>
      <c r="BE3508">
        <v>0</v>
      </c>
      <c r="BF3508">
        <v>0</v>
      </c>
      <c r="BG3508">
        <v>0</v>
      </c>
      <c r="BH3508">
        <v>1550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 t="shared" ref="BW3508:BW3513" si="1530">"06:22:05.632"</f>
        <v>06:22:05.632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6</v>
      </c>
      <c r="CP3508" t="s">
        <v>119</v>
      </c>
      <c r="CQ3508">
        <v>465</v>
      </c>
      <c r="CR3508">
        <v>0</v>
      </c>
      <c r="CW3508">
        <v>4731323</v>
      </c>
      <c r="CY3508">
        <v>1</v>
      </c>
      <c r="CZ3508">
        <v>0</v>
      </c>
      <c r="DA3508">
        <v>0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 t="shared" si="1527"/>
        <v>08/29/2020 06:22:02.385</v>
      </c>
      <c r="C3509" t="str">
        <f t="shared" si="1495"/>
        <v>FFDFD3C0</v>
      </c>
      <c r="D3509" t="s">
        <v>113</v>
      </c>
      <c r="E3509">
        <v>5</v>
      </c>
      <c r="H3509">
        <v>163</v>
      </c>
      <c r="I3509" t="s">
        <v>114</v>
      </c>
      <c r="J3509" t="s">
        <v>115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528"/>
        <v>06:22:05.625</v>
      </c>
      <c r="T3509" t="str">
        <f t="shared" si="1529"/>
        <v>06:22:05.125</v>
      </c>
      <c r="U3509" t="str">
        <f t="shared" si="1496"/>
        <v>A7E2E0</v>
      </c>
      <c r="V3509">
        <v>0</v>
      </c>
      <c r="W3509">
        <v>0</v>
      </c>
      <c r="X3509">
        <v>1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0</v>
      </c>
      <c r="AI3509" t="s">
        <v>1631</v>
      </c>
      <c r="AJ3509">
        <v>38.819118000000003</v>
      </c>
      <c r="AK3509" t="s">
        <v>1632</v>
      </c>
      <c r="AL3509">
        <v>-87.603221000000005</v>
      </c>
      <c r="AM3509">
        <v>100</v>
      </c>
      <c r="AN3509">
        <v>1800</v>
      </c>
      <c r="AO3509" t="s">
        <v>118</v>
      </c>
      <c r="AP3509">
        <v>4</v>
      </c>
      <c r="AQ3509">
        <v>-109</v>
      </c>
      <c r="AR3509">
        <v>-960</v>
      </c>
      <c r="AZ3509">
        <v>4552</v>
      </c>
      <c r="BA3509">
        <v>1</v>
      </c>
      <c r="BB3509" t="str">
        <f t="shared" si="1497"/>
        <v xml:space="preserve">N607SR  </v>
      </c>
      <c r="BC3509">
        <v>1</v>
      </c>
      <c r="BE3509">
        <v>0</v>
      </c>
      <c r="BF3509">
        <v>0</v>
      </c>
      <c r="BG3509">
        <v>0</v>
      </c>
      <c r="BH3509">
        <v>1550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 t="shared" si="1530"/>
        <v>06:22:05.632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6</v>
      </c>
      <c r="CP3509" t="s">
        <v>119</v>
      </c>
      <c r="CQ3509">
        <v>465</v>
      </c>
      <c r="CR3509">
        <v>0</v>
      </c>
      <c r="CW3509">
        <v>4731323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 t="shared" si="1527"/>
        <v>08/29/2020 06:22:02.385</v>
      </c>
      <c r="C3510" t="str">
        <f t="shared" si="1495"/>
        <v>FFDFD3C0</v>
      </c>
      <c r="D3510" t="s">
        <v>121</v>
      </c>
      <c r="E3510">
        <v>11</v>
      </c>
      <c r="F3510">
        <v>1011</v>
      </c>
      <c r="G3510" t="s">
        <v>125</v>
      </c>
      <c r="J3510" t="s">
        <v>123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528"/>
        <v>06:22:05.625</v>
      </c>
      <c r="T3510" t="str">
        <f t="shared" si="1529"/>
        <v>06:22:05.125</v>
      </c>
      <c r="U3510" t="str">
        <f t="shared" si="1496"/>
        <v>A7E2E0</v>
      </c>
      <c r="V3510">
        <v>0</v>
      </c>
      <c r="W3510">
        <v>0</v>
      </c>
      <c r="X3510">
        <v>1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0</v>
      </c>
      <c r="AI3510" t="s">
        <v>1631</v>
      </c>
      <c r="AJ3510">
        <v>38.819118000000003</v>
      </c>
      <c r="AK3510" t="s">
        <v>1632</v>
      </c>
      <c r="AL3510">
        <v>-87.603221000000005</v>
      </c>
      <c r="AM3510">
        <v>100</v>
      </c>
      <c r="AN3510">
        <v>1800</v>
      </c>
      <c r="AO3510" t="s">
        <v>118</v>
      </c>
      <c r="AP3510">
        <v>4</v>
      </c>
      <c r="AQ3510">
        <v>-109</v>
      </c>
      <c r="AR3510">
        <v>-960</v>
      </c>
      <c r="AZ3510">
        <v>4552</v>
      </c>
      <c r="BA3510">
        <v>1</v>
      </c>
      <c r="BB3510" t="str">
        <f t="shared" si="1497"/>
        <v xml:space="preserve">N607SR  </v>
      </c>
      <c r="BC3510">
        <v>1</v>
      </c>
      <c r="BE3510">
        <v>0</v>
      </c>
      <c r="BF3510">
        <v>0</v>
      </c>
      <c r="BG3510">
        <v>0</v>
      </c>
      <c r="BH3510">
        <v>1550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 t="shared" si="1530"/>
        <v>06:22:05.632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6</v>
      </c>
      <c r="CP3510" t="s">
        <v>119</v>
      </c>
      <c r="CQ3510">
        <v>457</v>
      </c>
      <c r="CR3510">
        <v>0</v>
      </c>
      <c r="CW3510">
        <v>15526552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 t="shared" si="1527"/>
        <v>08/29/2020 06:22:02.385</v>
      </c>
      <c r="C3511" t="str">
        <f t="shared" si="1495"/>
        <v>FFDFD3C0</v>
      </c>
      <c r="D3511" t="s">
        <v>939</v>
      </c>
      <c r="E3511">
        <v>10</v>
      </c>
      <c r="H3511">
        <v>79</v>
      </c>
      <c r="I3511" t="s">
        <v>940</v>
      </c>
      <c r="J3511" t="s">
        <v>130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si="1528"/>
        <v>06:22:05.625</v>
      </c>
      <c r="T3511" t="str">
        <f t="shared" si="1529"/>
        <v>06:22:05.125</v>
      </c>
      <c r="U3511" t="str">
        <f t="shared" si="1496"/>
        <v>A7E2E0</v>
      </c>
      <c r="V3511">
        <v>0</v>
      </c>
      <c r="W3511">
        <v>0</v>
      </c>
      <c r="X3511">
        <v>1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0</v>
      </c>
      <c r="AI3511" t="s">
        <v>1631</v>
      </c>
      <c r="AJ3511">
        <v>38.819118000000003</v>
      </c>
      <c r="AK3511" t="s">
        <v>1632</v>
      </c>
      <c r="AL3511">
        <v>-87.603221000000005</v>
      </c>
      <c r="AM3511">
        <v>100</v>
      </c>
      <c r="AN3511">
        <v>1800</v>
      </c>
      <c r="AO3511" t="s">
        <v>118</v>
      </c>
      <c r="AP3511">
        <v>4</v>
      </c>
      <c r="AQ3511">
        <v>-109</v>
      </c>
      <c r="AR3511">
        <v>-960</v>
      </c>
      <c r="AZ3511">
        <v>4552</v>
      </c>
      <c r="BA3511">
        <v>1</v>
      </c>
      <c r="BB3511" t="str">
        <f t="shared" si="1497"/>
        <v xml:space="preserve">N607SR  </v>
      </c>
      <c r="BC3511">
        <v>1</v>
      </c>
      <c r="BE3511">
        <v>0</v>
      </c>
      <c r="BF3511">
        <v>0</v>
      </c>
      <c r="BG3511">
        <v>0</v>
      </c>
      <c r="BH3511">
        <v>1550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 t="shared" si="1530"/>
        <v>06:22:05.632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6</v>
      </c>
      <c r="CP3511" t="s">
        <v>119</v>
      </c>
      <c r="CQ3511">
        <v>465</v>
      </c>
      <c r="CR3511">
        <v>0</v>
      </c>
      <c r="CW3511">
        <v>4731323</v>
      </c>
      <c r="CY3511">
        <v>1</v>
      </c>
      <c r="CZ3511">
        <v>0</v>
      </c>
      <c r="DA3511">
        <v>1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 t="shared" si="1527"/>
        <v>08/29/2020 06:22:02.385</v>
      </c>
      <c r="C3512" t="str">
        <f t="shared" si="1495"/>
        <v>FFDFD3C0</v>
      </c>
      <c r="D3512" t="s">
        <v>128</v>
      </c>
      <c r="E3512">
        <v>5</v>
      </c>
      <c r="H3512">
        <v>241</v>
      </c>
      <c r="I3512" t="s">
        <v>129</v>
      </c>
      <c r="J3512" t="s">
        <v>130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528"/>
        <v>06:22:05.625</v>
      </c>
      <c r="T3512" t="str">
        <f t="shared" si="1529"/>
        <v>06:22:05.125</v>
      </c>
      <c r="U3512" t="str">
        <f t="shared" si="1496"/>
        <v>A7E2E0</v>
      </c>
      <c r="V3512">
        <v>0</v>
      </c>
      <c r="W3512">
        <v>0</v>
      </c>
      <c r="X3512">
        <v>1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0</v>
      </c>
      <c r="AI3512" t="s">
        <v>1631</v>
      </c>
      <c r="AJ3512">
        <v>38.819118000000003</v>
      </c>
      <c r="AK3512" t="s">
        <v>1632</v>
      </c>
      <c r="AL3512">
        <v>-87.603221000000005</v>
      </c>
      <c r="AM3512">
        <v>100</v>
      </c>
      <c r="AN3512">
        <v>1800</v>
      </c>
      <c r="AO3512" t="s">
        <v>118</v>
      </c>
      <c r="AP3512">
        <v>4</v>
      </c>
      <c r="AQ3512">
        <v>-109</v>
      </c>
      <c r="AR3512">
        <v>-960</v>
      </c>
      <c r="AZ3512">
        <v>4552</v>
      </c>
      <c r="BA3512">
        <v>1</v>
      </c>
      <c r="BB3512" t="str">
        <f t="shared" si="1497"/>
        <v xml:space="preserve">N607SR  </v>
      </c>
      <c r="BC3512">
        <v>1</v>
      </c>
      <c r="BE3512">
        <v>0</v>
      </c>
      <c r="BF3512">
        <v>0</v>
      </c>
      <c r="BG3512">
        <v>0</v>
      </c>
      <c r="BH3512">
        <v>1550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 t="shared" si="1530"/>
        <v>06:22:05.632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6</v>
      </c>
      <c r="CP3512" t="s">
        <v>119</v>
      </c>
      <c r="CQ3512">
        <v>465</v>
      </c>
      <c r="CR3512">
        <v>0</v>
      </c>
      <c r="CW3512">
        <v>4731323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 t="shared" si="1527"/>
        <v>08/29/2020 06:22:02.385</v>
      </c>
      <c r="C3513" t="str">
        <f t="shared" si="1495"/>
        <v>FFDFD3C0</v>
      </c>
      <c r="D3513" t="s">
        <v>121</v>
      </c>
      <c r="E3513">
        <v>13</v>
      </c>
      <c r="F3513">
        <v>1013</v>
      </c>
      <c r="G3513" t="s">
        <v>122</v>
      </c>
      <c r="J3513" t="s">
        <v>123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si="1528"/>
        <v>06:22:05.625</v>
      </c>
      <c r="T3513" t="str">
        <f t="shared" si="1529"/>
        <v>06:22:05.125</v>
      </c>
      <c r="U3513" t="str">
        <f t="shared" si="1496"/>
        <v>A7E2E0</v>
      </c>
      <c r="V3513">
        <v>0</v>
      </c>
      <c r="W3513">
        <v>0</v>
      </c>
      <c r="X3513">
        <v>1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0</v>
      </c>
      <c r="AI3513" t="s">
        <v>1631</v>
      </c>
      <c r="AJ3513">
        <v>38.819118000000003</v>
      </c>
      <c r="AK3513" t="s">
        <v>1632</v>
      </c>
      <c r="AL3513">
        <v>-87.603221000000005</v>
      </c>
      <c r="AM3513">
        <v>100</v>
      </c>
      <c r="AN3513">
        <v>1800</v>
      </c>
      <c r="AO3513" t="s">
        <v>118</v>
      </c>
      <c r="AP3513">
        <v>4</v>
      </c>
      <c r="AQ3513">
        <v>-109</v>
      </c>
      <c r="AR3513">
        <v>-960</v>
      </c>
      <c r="AZ3513">
        <v>4552</v>
      </c>
      <c r="BA3513">
        <v>1</v>
      </c>
      <c r="BB3513" t="str">
        <f t="shared" si="1497"/>
        <v xml:space="preserve">N607SR  </v>
      </c>
      <c r="BC3513">
        <v>1</v>
      </c>
      <c r="BE3513">
        <v>0</v>
      </c>
      <c r="BF3513">
        <v>0</v>
      </c>
      <c r="BG3513">
        <v>0</v>
      </c>
      <c r="BH3513">
        <v>1550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 t="shared" si="1530"/>
        <v>06:22:05.632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6</v>
      </c>
      <c r="CP3513" t="s">
        <v>119</v>
      </c>
      <c r="CQ3513">
        <v>465</v>
      </c>
      <c r="CR3513">
        <v>0</v>
      </c>
      <c r="CW3513">
        <v>4731323</v>
      </c>
      <c r="CY3513">
        <v>1</v>
      </c>
      <c r="CZ3513">
        <v>0</v>
      </c>
      <c r="DA3513">
        <v>1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 t="shared" ref="A3514:A3519" si="1531">"08/29/2020 06:22:03.431"</f>
        <v>08/29/2020 06:22:03.431</v>
      </c>
      <c r="C3514" t="str">
        <f t="shared" si="1495"/>
        <v>FFDFD3C0</v>
      </c>
      <c r="D3514" t="s">
        <v>121</v>
      </c>
      <c r="E3514">
        <v>13</v>
      </c>
      <c r="F3514">
        <v>1013</v>
      </c>
      <c r="G3514" t="s">
        <v>122</v>
      </c>
      <c r="J3514" t="s">
        <v>123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ref="S3514:S3519" si="1532">"06:22:06.656"</f>
        <v>06:22:06.656</v>
      </c>
      <c r="T3514" t="str">
        <f t="shared" ref="T3514:T3519" si="1533">"06:22:06.256"</f>
        <v>06:22:06.256</v>
      </c>
      <c r="U3514" t="str">
        <f t="shared" si="1496"/>
        <v>A7E2E0</v>
      </c>
      <c r="V3514">
        <v>0</v>
      </c>
      <c r="W3514">
        <v>0</v>
      </c>
      <c r="X3514">
        <v>1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0</v>
      </c>
      <c r="AI3514" t="s">
        <v>1633</v>
      </c>
      <c r="AJ3514">
        <v>38.818644999999997</v>
      </c>
      <c r="AK3514" t="s">
        <v>1632</v>
      </c>
      <c r="AL3514">
        <v>-87.603221000000005</v>
      </c>
      <c r="AM3514">
        <v>100</v>
      </c>
      <c r="AN3514">
        <v>1700</v>
      </c>
      <c r="AO3514" t="s">
        <v>118</v>
      </c>
      <c r="AP3514">
        <v>3</v>
      </c>
      <c r="AQ3514">
        <v>-109</v>
      </c>
      <c r="AR3514">
        <v>-1024</v>
      </c>
      <c r="AZ3514">
        <v>4552</v>
      </c>
      <c r="BA3514">
        <v>1</v>
      </c>
      <c r="BB3514" t="str">
        <f t="shared" si="1497"/>
        <v xml:space="preserve">N607SR  </v>
      </c>
      <c r="BC3514">
        <v>1</v>
      </c>
      <c r="BE3514">
        <v>0</v>
      </c>
      <c r="BF3514">
        <v>0</v>
      </c>
      <c r="BG3514">
        <v>0</v>
      </c>
      <c r="BH3514">
        <v>1525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 t="shared" ref="BW3514:BW3519" si="1534">"06:22:06.663"</f>
        <v>06:22:06.663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6</v>
      </c>
      <c r="CP3514" t="s">
        <v>119</v>
      </c>
      <c r="CQ3514">
        <v>465</v>
      </c>
      <c r="CR3514">
        <v>0</v>
      </c>
      <c r="CW3514">
        <v>4731351</v>
      </c>
      <c r="CY3514">
        <v>1</v>
      </c>
      <c r="CZ3514">
        <v>0</v>
      </c>
      <c r="DA3514">
        <v>0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 t="shared" si="1531"/>
        <v>08/29/2020 06:22:03.431</v>
      </c>
      <c r="C3515" t="str">
        <f t="shared" si="1495"/>
        <v>FFDFD3C0</v>
      </c>
      <c r="D3515" t="s">
        <v>121</v>
      </c>
      <c r="E3515">
        <v>10</v>
      </c>
      <c r="F3515">
        <v>1010</v>
      </c>
      <c r="G3515" t="s">
        <v>114</v>
      </c>
      <c r="J3515" t="s">
        <v>123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si="1532"/>
        <v>06:22:06.656</v>
      </c>
      <c r="T3515" t="str">
        <f t="shared" si="1533"/>
        <v>06:22:06.256</v>
      </c>
      <c r="U3515" t="str">
        <f t="shared" si="1496"/>
        <v>A7E2E0</v>
      </c>
      <c r="V3515">
        <v>0</v>
      </c>
      <c r="W3515">
        <v>0</v>
      </c>
      <c r="X3515">
        <v>1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0</v>
      </c>
      <c r="AI3515" t="s">
        <v>1633</v>
      </c>
      <c r="AJ3515">
        <v>38.818644999999997</v>
      </c>
      <c r="AK3515" t="s">
        <v>1632</v>
      </c>
      <c r="AL3515">
        <v>-87.603221000000005</v>
      </c>
      <c r="AM3515">
        <v>100</v>
      </c>
      <c r="AN3515">
        <v>1700</v>
      </c>
      <c r="AO3515" t="s">
        <v>118</v>
      </c>
      <c r="AP3515">
        <v>3</v>
      </c>
      <c r="AQ3515">
        <v>-109</v>
      </c>
      <c r="AR3515">
        <v>-1024</v>
      </c>
      <c r="AZ3515">
        <v>4552</v>
      </c>
      <c r="BA3515">
        <v>1</v>
      </c>
      <c r="BB3515" t="str">
        <f t="shared" si="1497"/>
        <v xml:space="preserve">N607SR  </v>
      </c>
      <c r="BC3515">
        <v>1</v>
      </c>
      <c r="BE3515">
        <v>0</v>
      </c>
      <c r="BF3515">
        <v>0</v>
      </c>
      <c r="BG3515">
        <v>0</v>
      </c>
      <c r="BH3515">
        <v>1525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 t="shared" si="1534"/>
        <v>06:22:06.663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6</v>
      </c>
      <c r="CP3515" t="s">
        <v>119</v>
      </c>
      <c r="CQ3515">
        <v>465</v>
      </c>
      <c r="CR3515">
        <v>0</v>
      </c>
      <c r="CW3515">
        <v>4731351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 t="shared" si="1531"/>
        <v>08/29/2020 06:22:03.431</v>
      </c>
      <c r="C3516" t="str">
        <f t="shared" si="1495"/>
        <v>FFDFD3C0</v>
      </c>
      <c r="D3516" t="s">
        <v>113</v>
      </c>
      <c r="E3516">
        <v>5</v>
      </c>
      <c r="H3516">
        <v>163</v>
      </c>
      <c r="I3516" t="s">
        <v>114</v>
      </c>
      <c r="J3516" t="s">
        <v>115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si="1532"/>
        <v>06:22:06.656</v>
      </c>
      <c r="T3516" t="str">
        <f t="shared" si="1533"/>
        <v>06:22:06.256</v>
      </c>
      <c r="U3516" t="str">
        <f t="shared" si="1496"/>
        <v>A7E2E0</v>
      </c>
      <c r="V3516">
        <v>0</v>
      </c>
      <c r="W3516">
        <v>0</v>
      </c>
      <c r="X3516">
        <v>1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0</v>
      </c>
      <c r="AI3516" t="s">
        <v>1633</v>
      </c>
      <c r="AJ3516">
        <v>38.818644999999997</v>
      </c>
      <c r="AK3516" t="s">
        <v>1632</v>
      </c>
      <c r="AL3516">
        <v>-87.603221000000005</v>
      </c>
      <c r="AM3516">
        <v>100</v>
      </c>
      <c r="AN3516">
        <v>1700</v>
      </c>
      <c r="AO3516" t="s">
        <v>118</v>
      </c>
      <c r="AP3516">
        <v>3</v>
      </c>
      <c r="AQ3516">
        <v>-109</v>
      </c>
      <c r="AR3516">
        <v>-1024</v>
      </c>
      <c r="AZ3516">
        <v>4552</v>
      </c>
      <c r="BA3516">
        <v>1</v>
      </c>
      <c r="BB3516" t="str">
        <f t="shared" si="1497"/>
        <v xml:space="preserve">N607SR  </v>
      </c>
      <c r="BC3516">
        <v>1</v>
      </c>
      <c r="BE3516">
        <v>0</v>
      </c>
      <c r="BF3516">
        <v>0</v>
      </c>
      <c r="BG3516">
        <v>0</v>
      </c>
      <c r="BH3516">
        <v>1525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 t="shared" si="1534"/>
        <v>06:22:06.663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6</v>
      </c>
      <c r="CP3516" t="s">
        <v>119</v>
      </c>
      <c r="CQ3516">
        <v>465</v>
      </c>
      <c r="CR3516">
        <v>0</v>
      </c>
      <c r="CW3516">
        <v>4731351</v>
      </c>
      <c r="CY3516">
        <v>1</v>
      </c>
      <c r="CZ3516">
        <v>0</v>
      </c>
      <c r="DA3516">
        <v>1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 t="shared" si="1531"/>
        <v>08/29/2020 06:22:03.431</v>
      </c>
      <c r="C3517" t="str">
        <f t="shared" si="1495"/>
        <v>FFDFD3C0</v>
      </c>
      <c r="D3517" t="s">
        <v>939</v>
      </c>
      <c r="E3517">
        <v>10</v>
      </c>
      <c r="H3517">
        <v>79</v>
      </c>
      <c r="I3517" t="s">
        <v>940</v>
      </c>
      <c r="J3517" t="s">
        <v>130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532"/>
        <v>06:22:06.656</v>
      </c>
      <c r="T3517" t="str">
        <f t="shared" si="1533"/>
        <v>06:22:06.256</v>
      </c>
      <c r="U3517" t="str">
        <f t="shared" si="1496"/>
        <v>A7E2E0</v>
      </c>
      <c r="V3517">
        <v>0</v>
      </c>
      <c r="W3517">
        <v>0</v>
      </c>
      <c r="X3517">
        <v>1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0</v>
      </c>
      <c r="AI3517" t="s">
        <v>1633</v>
      </c>
      <c r="AJ3517">
        <v>38.818644999999997</v>
      </c>
      <c r="AK3517" t="s">
        <v>1632</v>
      </c>
      <c r="AL3517">
        <v>-87.603221000000005</v>
      </c>
      <c r="AM3517">
        <v>100</v>
      </c>
      <c r="AN3517">
        <v>1700</v>
      </c>
      <c r="AO3517" t="s">
        <v>118</v>
      </c>
      <c r="AP3517">
        <v>3</v>
      </c>
      <c r="AQ3517">
        <v>-109</v>
      </c>
      <c r="AR3517">
        <v>-1024</v>
      </c>
      <c r="AZ3517">
        <v>4552</v>
      </c>
      <c r="BA3517">
        <v>1</v>
      </c>
      <c r="BB3517" t="str">
        <f t="shared" si="1497"/>
        <v xml:space="preserve">N607SR  </v>
      </c>
      <c r="BC3517">
        <v>1</v>
      </c>
      <c r="BE3517">
        <v>0</v>
      </c>
      <c r="BF3517">
        <v>0</v>
      </c>
      <c r="BG3517">
        <v>0</v>
      </c>
      <c r="BH3517">
        <v>1525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 t="shared" si="1534"/>
        <v>06:22:06.663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6</v>
      </c>
      <c r="CP3517" t="s">
        <v>119</v>
      </c>
      <c r="CQ3517">
        <v>465</v>
      </c>
      <c r="CR3517">
        <v>0</v>
      </c>
      <c r="CW3517">
        <v>4731351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 t="shared" si="1531"/>
        <v>08/29/2020 06:22:03.431</v>
      </c>
      <c r="C3518" t="str">
        <f t="shared" si="1495"/>
        <v>FFDFD3C0</v>
      </c>
      <c r="D3518" t="s">
        <v>121</v>
      </c>
      <c r="E3518">
        <v>11</v>
      </c>
      <c r="F3518">
        <v>1011</v>
      </c>
      <c r="G3518" t="s">
        <v>125</v>
      </c>
      <c r="J3518" t="s">
        <v>123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si="1532"/>
        <v>06:22:06.656</v>
      </c>
      <c r="T3518" t="str">
        <f t="shared" si="1533"/>
        <v>06:22:06.256</v>
      </c>
      <c r="U3518" t="str">
        <f t="shared" si="1496"/>
        <v>A7E2E0</v>
      </c>
      <c r="V3518">
        <v>0</v>
      </c>
      <c r="W3518">
        <v>0</v>
      </c>
      <c r="X3518">
        <v>1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0</v>
      </c>
      <c r="AI3518" t="s">
        <v>1633</v>
      </c>
      <c r="AJ3518">
        <v>38.818644999999997</v>
      </c>
      <c r="AK3518" t="s">
        <v>1632</v>
      </c>
      <c r="AL3518">
        <v>-87.603221000000005</v>
      </c>
      <c r="AM3518">
        <v>100</v>
      </c>
      <c r="AN3518">
        <v>1700</v>
      </c>
      <c r="AO3518" t="s">
        <v>118</v>
      </c>
      <c r="AP3518">
        <v>3</v>
      </c>
      <c r="AQ3518">
        <v>-109</v>
      </c>
      <c r="AR3518">
        <v>-1024</v>
      </c>
      <c r="AZ3518">
        <v>4552</v>
      </c>
      <c r="BA3518">
        <v>1</v>
      </c>
      <c r="BB3518" t="str">
        <f t="shared" si="1497"/>
        <v xml:space="preserve">N607SR  </v>
      </c>
      <c r="BC3518">
        <v>1</v>
      </c>
      <c r="BE3518">
        <v>0</v>
      </c>
      <c r="BF3518">
        <v>0</v>
      </c>
      <c r="BG3518">
        <v>0</v>
      </c>
      <c r="BH3518">
        <v>1525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 t="shared" si="1534"/>
        <v>06:22:06.663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6</v>
      </c>
      <c r="CP3518" t="s">
        <v>119</v>
      </c>
      <c r="CQ3518">
        <v>457</v>
      </c>
      <c r="CR3518">
        <v>0</v>
      </c>
      <c r="CW3518">
        <v>15526583</v>
      </c>
      <c r="CY3518">
        <v>1</v>
      </c>
      <c r="CZ3518">
        <v>0</v>
      </c>
      <c r="DA3518">
        <v>1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 t="shared" si="1531"/>
        <v>08/29/2020 06:22:03.431</v>
      </c>
      <c r="C3519" t="str">
        <f t="shared" si="1495"/>
        <v>FFDFD3C0</v>
      </c>
      <c r="D3519" t="s">
        <v>128</v>
      </c>
      <c r="E3519">
        <v>5</v>
      </c>
      <c r="H3519">
        <v>241</v>
      </c>
      <c r="I3519" t="s">
        <v>129</v>
      </c>
      <c r="J3519" t="s">
        <v>130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532"/>
        <v>06:22:06.656</v>
      </c>
      <c r="T3519" t="str">
        <f t="shared" si="1533"/>
        <v>06:22:06.256</v>
      </c>
      <c r="U3519" t="str">
        <f t="shared" si="1496"/>
        <v>A7E2E0</v>
      </c>
      <c r="V3519">
        <v>0</v>
      </c>
      <c r="W3519">
        <v>0</v>
      </c>
      <c r="X3519">
        <v>1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0</v>
      </c>
      <c r="AI3519" t="s">
        <v>1633</v>
      </c>
      <c r="AJ3519">
        <v>38.818644999999997</v>
      </c>
      <c r="AK3519" t="s">
        <v>1632</v>
      </c>
      <c r="AL3519">
        <v>-87.603221000000005</v>
      </c>
      <c r="AM3519">
        <v>100</v>
      </c>
      <c r="AN3519">
        <v>1700</v>
      </c>
      <c r="AO3519" t="s">
        <v>118</v>
      </c>
      <c r="AP3519">
        <v>3</v>
      </c>
      <c r="AQ3519">
        <v>-109</v>
      </c>
      <c r="AR3519">
        <v>-1024</v>
      </c>
      <c r="AZ3519">
        <v>4552</v>
      </c>
      <c r="BA3519">
        <v>1</v>
      </c>
      <c r="BB3519" t="str">
        <f t="shared" si="1497"/>
        <v xml:space="preserve">N607SR  </v>
      </c>
      <c r="BC3519">
        <v>1</v>
      </c>
      <c r="BE3519">
        <v>0</v>
      </c>
      <c r="BF3519">
        <v>0</v>
      </c>
      <c r="BG3519">
        <v>0</v>
      </c>
      <c r="BH3519">
        <v>1525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 t="shared" si="1534"/>
        <v>06:22:06.663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6</v>
      </c>
      <c r="CP3519" t="s">
        <v>119</v>
      </c>
      <c r="CQ3519">
        <v>465</v>
      </c>
      <c r="CR3519">
        <v>0</v>
      </c>
      <c r="CW3519">
        <v>4731351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 t="shared" ref="A3520:A3525" si="1535">"08/29/2020 06:22:04.333"</f>
        <v>08/29/2020 06:22:04.333</v>
      </c>
      <c r="C3520" t="str">
        <f t="shared" si="1495"/>
        <v>FFDFD3C0</v>
      </c>
      <c r="D3520" t="s">
        <v>128</v>
      </c>
      <c r="E3520">
        <v>5</v>
      </c>
      <c r="H3520">
        <v>241</v>
      </c>
      <c r="I3520" t="s">
        <v>129</v>
      </c>
      <c r="J3520" t="s">
        <v>130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ref="S3520:S3525" si="1536">"06:22:07.586"</f>
        <v>06:22:07.586</v>
      </c>
      <c r="T3520" t="str">
        <f t="shared" ref="T3520:T3525" si="1537">"06:22:07.186"</f>
        <v>06:22:07.186</v>
      </c>
      <c r="U3520" t="str">
        <f t="shared" si="1496"/>
        <v>A7E2E0</v>
      </c>
      <c r="V3520">
        <v>0</v>
      </c>
      <c r="W3520">
        <v>0</v>
      </c>
      <c r="X3520">
        <v>1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0</v>
      </c>
      <c r="AI3520" t="s">
        <v>1634</v>
      </c>
      <c r="AJ3520">
        <v>38.818173000000002</v>
      </c>
      <c r="AK3520" t="s">
        <v>1635</v>
      </c>
      <c r="AL3520">
        <v>-87.603199000000004</v>
      </c>
      <c r="AM3520">
        <v>100</v>
      </c>
      <c r="AN3520">
        <v>1700</v>
      </c>
      <c r="AO3520" t="s">
        <v>118</v>
      </c>
      <c r="AP3520">
        <v>2</v>
      </c>
      <c r="AQ3520">
        <v>-108</v>
      </c>
      <c r="AR3520">
        <v>-1088</v>
      </c>
      <c r="AZ3520">
        <v>4552</v>
      </c>
      <c r="BA3520">
        <v>1</v>
      </c>
      <c r="BB3520" t="str">
        <f t="shared" si="1497"/>
        <v xml:space="preserve">N607SR  </v>
      </c>
      <c r="BC3520">
        <v>1</v>
      </c>
      <c r="BE3520">
        <v>0</v>
      </c>
      <c r="BF3520">
        <v>0</v>
      </c>
      <c r="BG3520">
        <v>0</v>
      </c>
      <c r="BH3520">
        <v>1500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 t="shared" ref="BW3520:BW3525" si="1538">"06:22:07.587"</f>
        <v>06:22:07.587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6</v>
      </c>
      <c r="CP3520" t="s">
        <v>119</v>
      </c>
      <c r="CQ3520">
        <v>457</v>
      </c>
      <c r="CR3520">
        <v>0</v>
      </c>
      <c r="CW3520">
        <v>15526612</v>
      </c>
      <c r="CY3520">
        <v>1</v>
      </c>
      <c r="CZ3520">
        <v>0</v>
      </c>
      <c r="DA3520">
        <v>0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 t="shared" si="1535"/>
        <v>08/29/2020 06:22:04.333</v>
      </c>
      <c r="C3521" t="str">
        <f t="shared" si="1495"/>
        <v>FFDFD3C0</v>
      </c>
      <c r="D3521" t="s">
        <v>121</v>
      </c>
      <c r="E3521">
        <v>13</v>
      </c>
      <c r="F3521">
        <v>1013</v>
      </c>
      <c r="G3521" t="s">
        <v>122</v>
      </c>
      <c r="J3521" t="s">
        <v>123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536"/>
        <v>06:22:07.586</v>
      </c>
      <c r="T3521" t="str">
        <f t="shared" si="1537"/>
        <v>06:22:07.186</v>
      </c>
      <c r="U3521" t="str">
        <f t="shared" si="1496"/>
        <v>A7E2E0</v>
      </c>
      <c r="V3521">
        <v>0</v>
      </c>
      <c r="W3521">
        <v>0</v>
      </c>
      <c r="X3521">
        <v>1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0</v>
      </c>
      <c r="AI3521" t="s">
        <v>1634</v>
      </c>
      <c r="AJ3521">
        <v>38.818173000000002</v>
      </c>
      <c r="AK3521" t="s">
        <v>1635</v>
      </c>
      <c r="AL3521">
        <v>-87.603199000000004</v>
      </c>
      <c r="AM3521">
        <v>100</v>
      </c>
      <c r="AN3521">
        <v>1700</v>
      </c>
      <c r="AO3521" t="s">
        <v>118</v>
      </c>
      <c r="AP3521">
        <v>2</v>
      </c>
      <c r="AQ3521">
        <v>-108</v>
      </c>
      <c r="AR3521">
        <v>-1088</v>
      </c>
      <c r="AZ3521">
        <v>4552</v>
      </c>
      <c r="BA3521">
        <v>1</v>
      </c>
      <c r="BB3521" t="str">
        <f t="shared" si="1497"/>
        <v xml:space="preserve">N607SR  </v>
      </c>
      <c r="BC3521">
        <v>1</v>
      </c>
      <c r="BE3521">
        <v>0</v>
      </c>
      <c r="BF3521">
        <v>0</v>
      </c>
      <c r="BG3521">
        <v>0</v>
      </c>
      <c r="BH3521">
        <v>1500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 t="shared" si="1538"/>
        <v>06:22:07.587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6</v>
      </c>
      <c r="CP3521" t="s">
        <v>119</v>
      </c>
      <c r="CQ3521">
        <v>457</v>
      </c>
      <c r="CR3521">
        <v>0</v>
      </c>
      <c r="CW3521">
        <v>15526612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 t="shared" si="1535"/>
        <v>08/29/2020 06:22:04.333</v>
      </c>
      <c r="C3522" t="str">
        <f t="shared" ref="C3522:C3585" si="1539">"FFDFD3C0"</f>
        <v>FFDFD3C0</v>
      </c>
      <c r="D3522" t="s">
        <v>121</v>
      </c>
      <c r="E3522">
        <v>10</v>
      </c>
      <c r="F3522">
        <v>1010</v>
      </c>
      <c r="G3522" t="s">
        <v>114</v>
      </c>
      <c r="J3522" t="s">
        <v>123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1536"/>
        <v>06:22:07.586</v>
      </c>
      <c r="T3522" t="str">
        <f t="shared" si="1537"/>
        <v>06:22:07.186</v>
      </c>
      <c r="U3522" t="str">
        <f t="shared" ref="U3522:U3585" si="1540">"A7E2E0"</f>
        <v>A7E2E0</v>
      </c>
      <c r="V3522">
        <v>0</v>
      </c>
      <c r="W3522">
        <v>0</v>
      </c>
      <c r="X3522">
        <v>1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0</v>
      </c>
      <c r="AI3522" t="s">
        <v>1634</v>
      </c>
      <c r="AJ3522">
        <v>38.818173000000002</v>
      </c>
      <c r="AK3522" t="s">
        <v>1635</v>
      </c>
      <c r="AL3522">
        <v>-87.603199000000004</v>
      </c>
      <c r="AM3522">
        <v>100</v>
      </c>
      <c r="AN3522">
        <v>1700</v>
      </c>
      <c r="AO3522" t="s">
        <v>118</v>
      </c>
      <c r="AP3522">
        <v>2</v>
      </c>
      <c r="AQ3522">
        <v>-108</v>
      </c>
      <c r="AR3522">
        <v>-1088</v>
      </c>
      <c r="AZ3522">
        <v>4552</v>
      </c>
      <c r="BA3522">
        <v>1</v>
      </c>
      <c r="BB3522" t="str">
        <f t="shared" ref="BB3522:BB3585" si="1541">"N607SR  "</f>
        <v xml:space="preserve">N607SR  </v>
      </c>
      <c r="BC3522">
        <v>1</v>
      </c>
      <c r="BE3522">
        <v>0</v>
      </c>
      <c r="BF3522">
        <v>0</v>
      </c>
      <c r="BG3522">
        <v>0</v>
      </c>
      <c r="BH3522">
        <v>1500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 t="shared" si="1538"/>
        <v>06:22:07.587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6</v>
      </c>
      <c r="CP3522" t="s">
        <v>119</v>
      </c>
      <c r="CQ3522">
        <v>457</v>
      </c>
      <c r="CR3522">
        <v>0</v>
      </c>
      <c r="CW3522">
        <v>15526612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 t="shared" si="1535"/>
        <v>08/29/2020 06:22:04.333</v>
      </c>
      <c r="C3523" t="str">
        <f t="shared" si="1539"/>
        <v>FFDFD3C0</v>
      </c>
      <c r="D3523" t="s">
        <v>113</v>
      </c>
      <c r="E3523">
        <v>5</v>
      </c>
      <c r="H3523">
        <v>163</v>
      </c>
      <c r="I3523" t="s">
        <v>114</v>
      </c>
      <c r="J3523" t="s">
        <v>115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536"/>
        <v>06:22:07.586</v>
      </c>
      <c r="T3523" t="str">
        <f t="shared" si="1537"/>
        <v>06:22:07.186</v>
      </c>
      <c r="U3523" t="str">
        <f t="shared" si="1540"/>
        <v>A7E2E0</v>
      </c>
      <c r="V3523">
        <v>0</v>
      </c>
      <c r="W3523">
        <v>0</v>
      </c>
      <c r="X3523">
        <v>1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0</v>
      </c>
      <c r="AI3523" t="s">
        <v>1634</v>
      </c>
      <c r="AJ3523">
        <v>38.818173000000002</v>
      </c>
      <c r="AK3523" t="s">
        <v>1635</v>
      </c>
      <c r="AL3523">
        <v>-87.603199000000004</v>
      </c>
      <c r="AM3523">
        <v>100</v>
      </c>
      <c r="AN3523">
        <v>1700</v>
      </c>
      <c r="AO3523" t="s">
        <v>118</v>
      </c>
      <c r="AP3523">
        <v>2</v>
      </c>
      <c r="AQ3523">
        <v>-108</v>
      </c>
      <c r="AR3523">
        <v>-1088</v>
      </c>
      <c r="AZ3523">
        <v>4552</v>
      </c>
      <c r="BA3523">
        <v>1</v>
      </c>
      <c r="BB3523" t="str">
        <f t="shared" si="1541"/>
        <v xml:space="preserve">N607SR  </v>
      </c>
      <c r="BC3523">
        <v>1</v>
      </c>
      <c r="BE3523">
        <v>0</v>
      </c>
      <c r="BF3523">
        <v>0</v>
      </c>
      <c r="BG3523">
        <v>0</v>
      </c>
      <c r="BH3523">
        <v>1500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 t="shared" si="1538"/>
        <v>06:22:07.587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6</v>
      </c>
      <c r="CP3523" t="s">
        <v>119</v>
      </c>
      <c r="CQ3523">
        <v>457</v>
      </c>
      <c r="CR3523">
        <v>0</v>
      </c>
      <c r="CW3523">
        <v>15526612</v>
      </c>
      <c r="CY3523">
        <v>1</v>
      </c>
      <c r="CZ3523">
        <v>0</v>
      </c>
      <c r="DA3523">
        <v>1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 t="shared" si="1535"/>
        <v>08/29/2020 06:22:04.333</v>
      </c>
      <c r="C3524" t="str">
        <f t="shared" si="1539"/>
        <v>FFDFD3C0</v>
      </c>
      <c r="D3524" t="s">
        <v>939</v>
      </c>
      <c r="E3524">
        <v>10</v>
      </c>
      <c r="H3524">
        <v>79</v>
      </c>
      <c r="I3524" t="s">
        <v>940</v>
      </c>
      <c r="J3524" t="s">
        <v>130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536"/>
        <v>06:22:07.586</v>
      </c>
      <c r="T3524" t="str">
        <f t="shared" si="1537"/>
        <v>06:22:07.186</v>
      </c>
      <c r="U3524" t="str">
        <f t="shared" si="1540"/>
        <v>A7E2E0</v>
      </c>
      <c r="V3524">
        <v>0</v>
      </c>
      <c r="W3524">
        <v>0</v>
      </c>
      <c r="X3524">
        <v>1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0</v>
      </c>
      <c r="AI3524" t="s">
        <v>1634</v>
      </c>
      <c r="AJ3524">
        <v>38.818173000000002</v>
      </c>
      <c r="AK3524" t="s">
        <v>1635</v>
      </c>
      <c r="AL3524">
        <v>-87.603199000000004</v>
      </c>
      <c r="AM3524">
        <v>100</v>
      </c>
      <c r="AN3524">
        <v>1700</v>
      </c>
      <c r="AO3524" t="s">
        <v>118</v>
      </c>
      <c r="AP3524">
        <v>2</v>
      </c>
      <c r="AQ3524">
        <v>-108</v>
      </c>
      <c r="AR3524">
        <v>-1088</v>
      </c>
      <c r="AZ3524">
        <v>4552</v>
      </c>
      <c r="BA3524">
        <v>1</v>
      </c>
      <c r="BB3524" t="str">
        <f t="shared" si="1541"/>
        <v xml:space="preserve">N607SR  </v>
      </c>
      <c r="BC3524">
        <v>1</v>
      </c>
      <c r="BE3524">
        <v>0</v>
      </c>
      <c r="BF3524">
        <v>0</v>
      </c>
      <c r="BG3524">
        <v>0</v>
      </c>
      <c r="BH3524">
        <v>1500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 t="shared" si="1538"/>
        <v>06:22:07.587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5</v>
      </c>
      <c r="CP3524" t="s">
        <v>119</v>
      </c>
      <c r="CQ3524">
        <v>465</v>
      </c>
      <c r="CR3524">
        <v>0</v>
      </c>
      <c r="CW3524">
        <v>4731379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 t="shared" si="1535"/>
        <v>08/29/2020 06:22:04.333</v>
      </c>
      <c r="C3525" t="str">
        <f t="shared" si="1539"/>
        <v>FFDFD3C0</v>
      </c>
      <c r="D3525" t="s">
        <v>121</v>
      </c>
      <c r="E3525">
        <v>11</v>
      </c>
      <c r="F3525">
        <v>1011</v>
      </c>
      <c r="G3525" t="s">
        <v>125</v>
      </c>
      <c r="J3525" t="s">
        <v>123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si="1536"/>
        <v>06:22:07.586</v>
      </c>
      <c r="T3525" t="str">
        <f t="shared" si="1537"/>
        <v>06:22:07.186</v>
      </c>
      <c r="U3525" t="str">
        <f t="shared" si="1540"/>
        <v>A7E2E0</v>
      </c>
      <c r="V3525">
        <v>0</v>
      </c>
      <c r="W3525">
        <v>0</v>
      </c>
      <c r="X3525">
        <v>1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0</v>
      </c>
      <c r="AI3525" t="s">
        <v>1634</v>
      </c>
      <c r="AJ3525">
        <v>38.818173000000002</v>
      </c>
      <c r="AK3525" t="s">
        <v>1635</v>
      </c>
      <c r="AL3525">
        <v>-87.603199000000004</v>
      </c>
      <c r="AM3525">
        <v>100</v>
      </c>
      <c r="AN3525">
        <v>1700</v>
      </c>
      <c r="AO3525" t="s">
        <v>118</v>
      </c>
      <c r="AP3525">
        <v>2</v>
      </c>
      <c r="AQ3525">
        <v>-108</v>
      </c>
      <c r="AR3525">
        <v>-1088</v>
      </c>
      <c r="AZ3525">
        <v>4552</v>
      </c>
      <c r="BA3525">
        <v>1</v>
      </c>
      <c r="BB3525" t="str">
        <f t="shared" si="1541"/>
        <v xml:space="preserve">N607SR  </v>
      </c>
      <c r="BC3525">
        <v>1</v>
      </c>
      <c r="BE3525">
        <v>0</v>
      </c>
      <c r="BF3525">
        <v>0</v>
      </c>
      <c r="BG3525">
        <v>0</v>
      </c>
      <c r="BH3525">
        <v>1500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 t="shared" si="1538"/>
        <v>06:22:07.587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6</v>
      </c>
      <c r="CP3525" t="s">
        <v>119</v>
      </c>
      <c r="CQ3525">
        <v>457</v>
      </c>
      <c r="CR3525">
        <v>0</v>
      </c>
      <c r="CW3525">
        <v>15526612</v>
      </c>
      <c r="CY3525">
        <v>1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 t="shared" ref="A3526:A3531" si="1542">"08/29/2020 06:22:05.316"</f>
        <v>08/29/2020 06:22:05.316</v>
      </c>
      <c r="C3526" t="str">
        <f t="shared" si="1539"/>
        <v>FFDFD3C0</v>
      </c>
      <c r="D3526" t="s">
        <v>121</v>
      </c>
      <c r="E3526">
        <v>10</v>
      </c>
      <c r="F3526">
        <v>1010</v>
      </c>
      <c r="G3526" t="s">
        <v>114</v>
      </c>
      <c r="J3526" t="s">
        <v>123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ref="S3526:S3531" si="1543">"06:22:08.531"</f>
        <v>06:22:08.531</v>
      </c>
      <c r="T3526" t="str">
        <f t="shared" ref="T3526:T3531" si="1544">"06:22:08.131"</f>
        <v>06:22:08.131</v>
      </c>
      <c r="U3526" t="str">
        <f t="shared" si="1540"/>
        <v>A7E2E0</v>
      </c>
      <c r="V3526">
        <v>0</v>
      </c>
      <c r="W3526">
        <v>0</v>
      </c>
      <c r="X3526">
        <v>1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0</v>
      </c>
      <c r="AI3526" t="s">
        <v>1636</v>
      </c>
      <c r="AJ3526">
        <v>38.817680000000003</v>
      </c>
      <c r="AK3526" t="s">
        <v>1635</v>
      </c>
      <c r="AL3526">
        <v>-87.603199000000004</v>
      </c>
      <c r="AM3526">
        <v>100</v>
      </c>
      <c r="AN3526">
        <v>1700</v>
      </c>
      <c r="AO3526" t="s">
        <v>118</v>
      </c>
      <c r="AP3526">
        <v>2</v>
      </c>
      <c r="AQ3526">
        <v>-108</v>
      </c>
      <c r="AR3526">
        <v>-1152</v>
      </c>
      <c r="AZ3526">
        <v>4552</v>
      </c>
      <c r="BA3526">
        <v>1</v>
      </c>
      <c r="BB3526" t="str">
        <f t="shared" si="1541"/>
        <v xml:space="preserve">N607SR  </v>
      </c>
      <c r="BC3526">
        <v>1</v>
      </c>
      <c r="BE3526">
        <v>0</v>
      </c>
      <c r="BF3526">
        <v>0</v>
      </c>
      <c r="BG3526">
        <v>0</v>
      </c>
      <c r="BH3526">
        <v>1500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 t="shared" ref="BW3526:BW3531" si="1545">"06:22:08.539"</f>
        <v>06:22:08.539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6</v>
      </c>
      <c r="CP3526" t="s">
        <v>119</v>
      </c>
      <c r="CQ3526">
        <v>465</v>
      </c>
      <c r="CR3526">
        <v>0</v>
      </c>
      <c r="CW3526">
        <v>4731408</v>
      </c>
      <c r="CY3526">
        <v>1</v>
      </c>
      <c r="CZ3526">
        <v>0</v>
      </c>
      <c r="DA3526">
        <v>0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 t="shared" si="1542"/>
        <v>08/29/2020 06:22:05.316</v>
      </c>
      <c r="C3527" t="str">
        <f t="shared" si="1539"/>
        <v>FFDFD3C0</v>
      </c>
      <c r="D3527" t="s">
        <v>939</v>
      </c>
      <c r="E3527">
        <v>10</v>
      </c>
      <c r="H3527">
        <v>79</v>
      </c>
      <c r="I3527" t="s">
        <v>940</v>
      </c>
      <c r="J3527" t="s">
        <v>130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si="1543"/>
        <v>06:22:08.531</v>
      </c>
      <c r="T3527" t="str">
        <f t="shared" si="1544"/>
        <v>06:22:08.131</v>
      </c>
      <c r="U3527" t="str">
        <f t="shared" si="1540"/>
        <v>A7E2E0</v>
      </c>
      <c r="V3527">
        <v>0</v>
      </c>
      <c r="W3527">
        <v>0</v>
      </c>
      <c r="X3527">
        <v>1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0</v>
      </c>
      <c r="AI3527" t="s">
        <v>1636</v>
      </c>
      <c r="AJ3527">
        <v>38.817680000000003</v>
      </c>
      <c r="AK3527" t="s">
        <v>1635</v>
      </c>
      <c r="AL3527">
        <v>-87.603199000000004</v>
      </c>
      <c r="AM3527">
        <v>100</v>
      </c>
      <c r="AN3527">
        <v>1700</v>
      </c>
      <c r="AO3527" t="s">
        <v>118</v>
      </c>
      <c r="AP3527">
        <v>2</v>
      </c>
      <c r="AQ3527">
        <v>-108</v>
      </c>
      <c r="AR3527">
        <v>-1152</v>
      </c>
      <c r="AZ3527">
        <v>4552</v>
      </c>
      <c r="BA3527">
        <v>1</v>
      </c>
      <c r="BB3527" t="str">
        <f t="shared" si="1541"/>
        <v xml:space="preserve">N607SR  </v>
      </c>
      <c r="BC3527">
        <v>1</v>
      </c>
      <c r="BE3527">
        <v>0</v>
      </c>
      <c r="BF3527">
        <v>0</v>
      </c>
      <c r="BG3527">
        <v>0</v>
      </c>
      <c r="BH3527">
        <v>1500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 t="shared" si="1545"/>
        <v>06:22:08.539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6</v>
      </c>
      <c r="CP3527" t="s">
        <v>119</v>
      </c>
      <c r="CQ3527">
        <v>465</v>
      </c>
      <c r="CR3527">
        <v>0</v>
      </c>
      <c r="CW3527">
        <v>4731408</v>
      </c>
      <c r="CY3527">
        <v>1</v>
      </c>
      <c r="CZ3527">
        <v>0</v>
      </c>
      <c r="DA3527">
        <v>1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 t="shared" si="1542"/>
        <v>08/29/2020 06:22:05.316</v>
      </c>
      <c r="C3528" t="str">
        <f t="shared" si="1539"/>
        <v>FFDFD3C0</v>
      </c>
      <c r="D3528" t="s">
        <v>113</v>
      </c>
      <c r="E3528">
        <v>5</v>
      </c>
      <c r="H3528">
        <v>163</v>
      </c>
      <c r="I3528" t="s">
        <v>114</v>
      </c>
      <c r="J3528" t="s">
        <v>115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543"/>
        <v>06:22:08.531</v>
      </c>
      <c r="T3528" t="str">
        <f t="shared" si="1544"/>
        <v>06:22:08.131</v>
      </c>
      <c r="U3528" t="str">
        <f t="shared" si="1540"/>
        <v>A7E2E0</v>
      </c>
      <c r="V3528">
        <v>0</v>
      </c>
      <c r="W3528">
        <v>0</v>
      </c>
      <c r="X3528">
        <v>1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0</v>
      </c>
      <c r="AI3528" t="s">
        <v>1636</v>
      </c>
      <c r="AJ3528">
        <v>38.817680000000003</v>
      </c>
      <c r="AK3528" t="s">
        <v>1635</v>
      </c>
      <c r="AL3528">
        <v>-87.603199000000004</v>
      </c>
      <c r="AM3528">
        <v>100</v>
      </c>
      <c r="AN3528">
        <v>1700</v>
      </c>
      <c r="AO3528" t="s">
        <v>118</v>
      </c>
      <c r="AP3528">
        <v>2</v>
      </c>
      <c r="AQ3528">
        <v>-108</v>
      </c>
      <c r="AR3528">
        <v>-1152</v>
      </c>
      <c r="AZ3528">
        <v>4552</v>
      </c>
      <c r="BA3528">
        <v>1</v>
      </c>
      <c r="BB3528" t="str">
        <f t="shared" si="1541"/>
        <v xml:space="preserve">N607SR  </v>
      </c>
      <c r="BC3528">
        <v>1</v>
      </c>
      <c r="BE3528">
        <v>0</v>
      </c>
      <c r="BF3528">
        <v>0</v>
      </c>
      <c r="BG3528">
        <v>0</v>
      </c>
      <c r="BH3528">
        <v>1500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 t="shared" si="1545"/>
        <v>06:22:08.539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6</v>
      </c>
      <c r="CP3528" t="s">
        <v>119</v>
      </c>
      <c r="CQ3528">
        <v>465</v>
      </c>
      <c r="CR3528">
        <v>0</v>
      </c>
      <c r="CW3528">
        <v>4731408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 t="shared" si="1542"/>
        <v>08/29/2020 06:22:05.316</v>
      </c>
      <c r="C3529" t="str">
        <f t="shared" si="1539"/>
        <v>FFDFD3C0</v>
      </c>
      <c r="D3529" t="s">
        <v>121</v>
      </c>
      <c r="E3529">
        <v>11</v>
      </c>
      <c r="F3529">
        <v>1011</v>
      </c>
      <c r="G3529" t="s">
        <v>125</v>
      </c>
      <c r="J3529" t="s">
        <v>123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si="1543"/>
        <v>06:22:08.531</v>
      </c>
      <c r="T3529" t="str">
        <f t="shared" si="1544"/>
        <v>06:22:08.131</v>
      </c>
      <c r="U3529" t="str">
        <f t="shared" si="1540"/>
        <v>A7E2E0</v>
      </c>
      <c r="V3529">
        <v>0</v>
      </c>
      <c r="W3529">
        <v>0</v>
      </c>
      <c r="X3529">
        <v>1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0</v>
      </c>
      <c r="AI3529" t="s">
        <v>1636</v>
      </c>
      <c r="AJ3529">
        <v>38.817680000000003</v>
      </c>
      <c r="AK3529" t="s">
        <v>1635</v>
      </c>
      <c r="AL3529">
        <v>-87.603199000000004</v>
      </c>
      <c r="AM3529">
        <v>100</v>
      </c>
      <c r="AN3529">
        <v>1700</v>
      </c>
      <c r="AO3529" t="s">
        <v>118</v>
      </c>
      <c r="AP3529">
        <v>2</v>
      </c>
      <c r="AQ3529">
        <v>-108</v>
      </c>
      <c r="AR3529">
        <v>-1152</v>
      </c>
      <c r="AZ3529">
        <v>4552</v>
      </c>
      <c r="BA3529">
        <v>1</v>
      </c>
      <c r="BB3529" t="str">
        <f t="shared" si="1541"/>
        <v xml:space="preserve">N607SR  </v>
      </c>
      <c r="BC3529">
        <v>1</v>
      </c>
      <c r="BE3529">
        <v>0</v>
      </c>
      <c r="BF3529">
        <v>0</v>
      </c>
      <c r="BG3529">
        <v>0</v>
      </c>
      <c r="BH3529">
        <v>1500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 t="shared" si="1545"/>
        <v>06:22:08.539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6</v>
      </c>
      <c r="CP3529" t="s">
        <v>119</v>
      </c>
      <c r="CQ3529">
        <v>457</v>
      </c>
      <c r="CR3529">
        <v>0</v>
      </c>
      <c r="CW3529">
        <v>15526643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 t="shared" si="1542"/>
        <v>08/29/2020 06:22:05.316</v>
      </c>
      <c r="C3530" t="str">
        <f t="shared" si="1539"/>
        <v>FFDFD3C0</v>
      </c>
      <c r="D3530" t="s">
        <v>128</v>
      </c>
      <c r="E3530">
        <v>5</v>
      </c>
      <c r="H3530">
        <v>241</v>
      </c>
      <c r="I3530" t="s">
        <v>129</v>
      </c>
      <c r="J3530" t="s">
        <v>130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543"/>
        <v>06:22:08.531</v>
      </c>
      <c r="T3530" t="str">
        <f t="shared" si="1544"/>
        <v>06:22:08.131</v>
      </c>
      <c r="U3530" t="str">
        <f t="shared" si="1540"/>
        <v>A7E2E0</v>
      </c>
      <c r="V3530">
        <v>0</v>
      </c>
      <c r="W3530">
        <v>0</v>
      </c>
      <c r="X3530">
        <v>1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0</v>
      </c>
      <c r="AI3530" t="s">
        <v>1636</v>
      </c>
      <c r="AJ3530">
        <v>38.817680000000003</v>
      </c>
      <c r="AK3530" t="s">
        <v>1635</v>
      </c>
      <c r="AL3530">
        <v>-87.603199000000004</v>
      </c>
      <c r="AM3530">
        <v>100</v>
      </c>
      <c r="AN3530">
        <v>1700</v>
      </c>
      <c r="AO3530" t="s">
        <v>118</v>
      </c>
      <c r="AP3530">
        <v>2</v>
      </c>
      <c r="AQ3530">
        <v>-108</v>
      </c>
      <c r="AR3530">
        <v>-1152</v>
      </c>
      <c r="AZ3530">
        <v>4552</v>
      </c>
      <c r="BA3530">
        <v>1</v>
      </c>
      <c r="BB3530" t="str">
        <f t="shared" si="1541"/>
        <v xml:space="preserve">N607SR  </v>
      </c>
      <c r="BC3530">
        <v>1</v>
      </c>
      <c r="BE3530">
        <v>0</v>
      </c>
      <c r="BF3530">
        <v>0</v>
      </c>
      <c r="BG3530">
        <v>0</v>
      </c>
      <c r="BH3530">
        <v>1500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 t="shared" si="1545"/>
        <v>06:22:08.539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6</v>
      </c>
      <c r="CP3530" t="s">
        <v>119</v>
      </c>
      <c r="CQ3530">
        <v>465</v>
      </c>
      <c r="CR3530">
        <v>0</v>
      </c>
      <c r="CW3530">
        <v>4731408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 t="shared" si="1542"/>
        <v>08/29/2020 06:22:05.316</v>
      </c>
      <c r="C3531" t="str">
        <f t="shared" si="1539"/>
        <v>FFDFD3C0</v>
      </c>
      <c r="D3531" t="s">
        <v>121</v>
      </c>
      <c r="E3531">
        <v>13</v>
      </c>
      <c r="F3531">
        <v>1013</v>
      </c>
      <c r="G3531" t="s">
        <v>122</v>
      </c>
      <c r="J3531" t="s">
        <v>123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543"/>
        <v>06:22:08.531</v>
      </c>
      <c r="T3531" t="str">
        <f t="shared" si="1544"/>
        <v>06:22:08.131</v>
      </c>
      <c r="U3531" t="str">
        <f t="shared" si="1540"/>
        <v>A7E2E0</v>
      </c>
      <c r="V3531">
        <v>0</v>
      </c>
      <c r="W3531">
        <v>0</v>
      </c>
      <c r="X3531">
        <v>1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0</v>
      </c>
      <c r="AI3531" t="s">
        <v>1636</v>
      </c>
      <c r="AJ3531">
        <v>38.817680000000003</v>
      </c>
      <c r="AK3531" t="s">
        <v>1635</v>
      </c>
      <c r="AL3531">
        <v>-87.603199000000004</v>
      </c>
      <c r="AM3531">
        <v>100</v>
      </c>
      <c r="AN3531">
        <v>1700</v>
      </c>
      <c r="AO3531" t="s">
        <v>118</v>
      </c>
      <c r="AP3531">
        <v>2</v>
      </c>
      <c r="AQ3531">
        <v>-108</v>
      </c>
      <c r="AR3531">
        <v>-1152</v>
      </c>
      <c r="AZ3531">
        <v>4552</v>
      </c>
      <c r="BA3531">
        <v>1</v>
      </c>
      <c r="BB3531" t="str">
        <f t="shared" si="1541"/>
        <v xml:space="preserve">N607SR  </v>
      </c>
      <c r="BC3531">
        <v>1</v>
      </c>
      <c r="BE3531">
        <v>0</v>
      </c>
      <c r="BF3531">
        <v>0</v>
      </c>
      <c r="BG3531">
        <v>0</v>
      </c>
      <c r="BH3531">
        <v>1500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 t="shared" si="1545"/>
        <v>06:22:08.539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6</v>
      </c>
      <c r="CP3531" t="s">
        <v>119</v>
      </c>
      <c r="CQ3531">
        <v>465</v>
      </c>
      <c r="CR3531">
        <v>0</v>
      </c>
      <c r="CW3531">
        <v>4731408</v>
      </c>
      <c r="CY3531">
        <v>1</v>
      </c>
      <c r="CZ3531">
        <v>0</v>
      </c>
      <c r="DA3531">
        <v>1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 t="shared" ref="A3532:A3537" si="1546">"08/29/2020 06:22:06.194"</f>
        <v>08/29/2020 06:22:06.194</v>
      </c>
      <c r="C3532" t="str">
        <f t="shared" si="1539"/>
        <v>FFDFD3C0</v>
      </c>
      <c r="D3532" t="s">
        <v>113</v>
      </c>
      <c r="E3532">
        <v>5</v>
      </c>
      <c r="H3532">
        <v>163</v>
      </c>
      <c r="I3532" t="s">
        <v>114</v>
      </c>
      <c r="J3532" t="s">
        <v>115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ref="S3532:S3537" si="1547">"06:22:09.414"</f>
        <v>06:22:09.414</v>
      </c>
      <c r="T3532" t="str">
        <f t="shared" ref="T3532:T3537" si="1548">"06:22:09.014"</f>
        <v>06:22:09.014</v>
      </c>
      <c r="U3532" t="str">
        <f t="shared" si="1540"/>
        <v>A7E2E0</v>
      </c>
      <c r="V3532">
        <v>0</v>
      </c>
      <c r="W3532">
        <v>0</v>
      </c>
      <c r="X3532">
        <v>1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0</v>
      </c>
      <c r="AI3532" t="s">
        <v>1637</v>
      </c>
      <c r="AJ3532">
        <v>38.817250999999999</v>
      </c>
      <c r="AK3532" t="s">
        <v>1638</v>
      </c>
      <c r="AL3532">
        <v>-87.603156999999996</v>
      </c>
      <c r="AM3532">
        <v>100</v>
      </c>
      <c r="AN3532">
        <v>1700</v>
      </c>
      <c r="AO3532" t="s">
        <v>118</v>
      </c>
      <c r="AP3532">
        <v>1</v>
      </c>
      <c r="AQ3532">
        <v>-108</v>
      </c>
      <c r="AR3532">
        <v>-1216</v>
      </c>
      <c r="AZ3532">
        <v>4552</v>
      </c>
      <c r="BA3532">
        <v>1</v>
      </c>
      <c r="BB3532" t="str">
        <f t="shared" si="1541"/>
        <v xml:space="preserve">N607SR  </v>
      </c>
      <c r="BC3532">
        <v>1</v>
      </c>
      <c r="BE3532">
        <v>0</v>
      </c>
      <c r="BF3532">
        <v>0</v>
      </c>
      <c r="BG3532">
        <v>0</v>
      </c>
      <c r="BH3532">
        <v>1475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>"06:22:09.419"</f>
        <v>06:22:09.419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6</v>
      </c>
      <c r="CP3532" t="s">
        <v>119</v>
      </c>
      <c r="CQ3532">
        <v>465</v>
      </c>
      <c r="CR3532">
        <v>0</v>
      </c>
      <c r="CW3532">
        <v>4731436</v>
      </c>
      <c r="CY3532">
        <v>1</v>
      </c>
      <c r="CZ3532">
        <v>0</v>
      </c>
      <c r="DA3532">
        <v>0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 t="shared" si="1546"/>
        <v>08/29/2020 06:22:06.194</v>
      </c>
      <c r="C3533" t="str">
        <f t="shared" si="1539"/>
        <v>FFDFD3C0</v>
      </c>
      <c r="D3533" t="s">
        <v>121</v>
      </c>
      <c r="E3533">
        <v>11</v>
      </c>
      <c r="F3533">
        <v>1011</v>
      </c>
      <c r="G3533" t="s">
        <v>125</v>
      </c>
      <c r="J3533" t="s">
        <v>123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547"/>
        <v>06:22:09.414</v>
      </c>
      <c r="T3533" t="str">
        <f t="shared" si="1548"/>
        <v>06:22:09.014</v>
      </c>
      <c r="U3533" t="str">
        <f t="shared" si="1540"/>
        <v>A7E2E0</v>
      </c>
      <c r="V3533">
        <v>0</v>
      </c>
      <c r="W3533">
        <v>0</v>
      </c>
      <c r="X3533">
        <v>1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0</v>
      </c>
      <c r="AI3533" t="s">
        <v>1637</v>
      </c>
      <c r="AJ3533">
        <v>38.817250999999999</v>
      </c>
      <c r="AK3533" t="s">
        <v>1638</v>
      </c>
      <c r="AL3533">
        <v>-87.603156999999996</v>
      </c>
      <c r="AM3533">
        <v>100</v>
      </c>
      <c r="AN3533">
        <v>1700</v>
      </c>
      <c r="AO3533" t="s">
        <v>118</v>
      </c>
      <c r="AP3533">
        <v>1</v>
      </c>
      <c r="AQ3533">
        <v>-108</v>
      </c>
      <c r="AR3533">
        <v>-1216</v>
      </c>
      <c r="AZ3533">
        <v>4552</v>
      </c>
      <c r="BA3533">
        <v>1</v>
      </c>
      <c r="BB3533" t="str">
        <f t="shared" si="1541"/>
        <v xml:space="preserve">N607SR  </v>
      </c>
      <c r="BC3533">
        <v>1</v>
      </c>
      <c r="BE3533">
        <v>0</v>
      </c>
      <c r="BF3533">
        <v>0</v>
      </c>
      <c r="BG3533">
        <v>0</v>
      </c>
      <c r="BH3533">
        <v>1475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>"06:22:09.418"</f>
        <v>06:22:09.418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6</v>
      </c>
      <c r="CP3533" t="s">
        <v>119</v>
      </c>
      <c r="CQ3533">
        <v>457</v>
      </c>
      <c r="CR3533">
        <v>0</v>
      </c>
      <c r="CW3533">
        <v>15526676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 t="shared" si="1546"/>
        <v>08/29/2020 06:22:06.194</v>
      </c>
      <c r="C3534" t="str">
        <f t="shared" si="1539"/>
        <v>FFDFD3C0</v>
      </c>
      <c r="D3534" t="s">
        <v>128</v>
      </c>
      <c r="E3534">
        <v>5</v>
      </c>
      <c r="H3534">
        <v>241</v>
      </c>
      <c r="I3534" t="s">
        <v>129</v>
      </c>
      <c r="J3534" t="s">
        <v>130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si="1547"/>
        <v>06:22:09.414</v>
      </c>
      <c r="T3534" t="str">
        <f t="shared" si="1548"/>
        <v>06:22:09.014</v>
      </c>
      <c r="U3534" t="str">
        <f t="shared" si="1540"/>
        <v>A7E2E0</v>
      </c>
      <c r="V3534">
        <v>0</v>
      </c>
      <c r="W3534">
        <v>0</v>
      </c>
      <c r="X3534">
        <v>1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0</v>
      </c>
      <c r="AI3534" t="s">
        <v>1637</v>
      </c>
      <c r="AJ3534">
        <v>38.817250999999999</v>
      </c>
      <c r="AK3534" t="s">
        <v>1638</v>
      </c>
      <c r="AL3534">
        <v>-87.603156999999996</v>
      </c>
      <c r="AM3534">
        <v>100</v>
      </c>
      <c r="AN3534">
        <v>1700</v>
      </c>
      <c r="AO3534" t="s">
        <v>118</v>
      </c>
      <c r="AP3534">
        <v>1</v>
      </c>
      <c r="AQ3534">
        <v>-108</v>
      </c>
      <c r="AR3534">
        <v>-1216</v>
      </c>
      <c r="AZ3534">
        <v>4552</v>
      </c>
      <c r="BA3534">
        <v>1</v>
      </c>
      <c r="BB3534" t="str">
        <f t="shared" si="1541"/>
        <v xml:space="preserve">N607SR  </v>
      </c>
      <c r="BC3534">
        <v>1</v>
      </c>
      <c r="BE3534">
        <v>0</v>
      </c>
      <c r="BF3534">
        <v>0</v>
      </c>
      <c r="BG3534">
        <v>0</v>
      </c>
      <c r="BH3534">
        <v>1475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>"06:22:09.419"</f>
        <v>06:22:09.419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6</v>
      </c>
      <c r="CP3534" t="s">
        <v>119</v>
      </c>
      <c r="CQ3534">
        <v>465</v>
      </c>
      <c r="CR3534">
        <v>0</v>
      </c>
      <c r="CW3534">
        <v>4731436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 t="shared" si="1546"/>
        <v>08/29/2020 06:22:06.194</v>
      </c>
      <c r="C3535" t="str">
        <f t="shared" si="1539"/>
        <v>FFDFD3C0</v>
      </c>
      <c r="D3535" t="s">
        <v>121</v>
      </c>
      <c r="E3535">
        <v>13</v>
      </c>
      <c r="F3535">
        <v>1013</v>
      </c>
      <c r="G3535" t="s">
        <v>122</v>
      </c>
      <c r="J3535" t="s">
        <v>123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547"/>
        <v>06:22:09.414</v>
      </c>
      <c r="T3535" t="str">
        <f t="shared" si="1548"/>
        <v>06:22:09.014</v>
      </c>
      <c r="U3535" t="str">
        <f t="shared" si="1540"/>
        <v>A7E2E0</v>
      </c>
      <c r="V3535">
        <v>0</v>
      </c>
      <c r="W3535">
        <v>0</v>
      </c>
      <c r="X3535">
        <v>1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0</v>
      </c>
      <c r="AI3535" t="s">
        <v>1637</v>
      </c>
      <c r="AJ3535">
        <v>38.817250999999999</v>
      </c>
      <c r="AK3535" t="s">
        <v>1638</v>
      </c>
      <c r="AL3535">
        <v>-87.603156999999996</v>
      </c>
      <c r="AM3535">
        <v>100</v>
      </c>
      <c r="AN3535">
        <v>1700</v>
      </c>
      <c r="AO3535" t="s">
        <v>118</v>
      </c>
      <c r="AP3535">
        <v>1</v>
      </c>
      <c r="AQ3535">
        <v>-108</v>
      </c>
      <c r="AR3535">
        <v>-1216</v>
      </c>
      <c r="AZ3535">
        <v>4552</v>
      </c>
      <c r="BA3535">
        <v>1</v>
      </c>
      <c r="BB3535" t="str">
        <f t="shared" si="1541"/>
        <v xml:space="preserve">N607SR  </v>
      </c>
      <c r="BC3535">
        <v>1</v>
      </c>
      <c r="BE3535">
        <v>0</v>
      </c>
      <c r="BF3535">
        <v>0</v>
      </c>
      <c r="BG3535">
        <v>0</v>
      </c>
      <c r="BH3535">
        <v>1475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>"06:22:09.419"</f>
        <v>06:22:09.419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6</v>
      </c>
      <c r="CP3535" t="s">
        <v>119</v>
      </c>
      <c r="CQ3535">
        <v>465</v>
      </c>
      <c r="CR3535">
        <v>0</v>
      </c>
      <c r="CW3535">
        <v>4731436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 t="shared" si="1546"/>
        <v>08/29/2020 06:22:06.194</v>
      </c>
      <c r="C3536" t="str">
        <f t="shared" si="1539"/>
        <v>FFDFD3C0</v>
      </c>
      <c r="D3536" t="s">
        <v>121</v>
      </c>
      <c r="E3536">
        <v>10</v>
      </c>
      <c r="F3536">
        <v>1010</v>
      </c>
      <c r="G3536" t="s">
        <v>114</v>
      </c>
      <c r="J3536" t="s">
        <v>123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si="1547"/>
        <v>06:22:09.414</v>
      </c>
      <c r="T3536" t="str">
        <f t="shared" si="1548"/>
        <v>06:22:09.014</v>
      </c>
      <c r="U3536" t="str">
        <f t="shared" si="1540"/>
        <v>A7E2E0</v>
      </c>
      <c r="V3536">
        <v>0</v>
      </c>
      <c r="W3536">
        <v>0</v>
      </c>
      <c r="X3536">
        <v>1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0</v>
      </c>
      <c r="AI3536" t="s">
        <v>1637</v>
      </c>
      <c r="AJ3536">
        <v>38.817250999999999</v>
      </c>
      <c r="AK3536" t="s">
        <v>1638</v>
      </c>
      <c r="AL3536">
        <v>-87.603156999999996</v>
      </c>
      <c r="AM3536">
        <v>100</v>
      </c>
      <c r="AN3536">
        <v>1700</v>
      </c>
      <c r="AO3536" t="s">
        <v>118</v>
      </c>
      <c r="AP3536">
        <v>1</v>
      </c>
      <c r="AQ3536">
        <v>-108</v>
      </c>
      <c r="AR3536">
        <v>-1216</v>
      </c>
      <c r="AZ3536">
        <v>4552</v>
      </c>
      <c r="BA3536">
        <v>1</v>
      </c>
      <c r="BB3536" t="str">
        <f t="shared" si="1541"/>
        <v xml:space="preserve">N607SR  </v>
      </c>
      <c r="BC3536">
        <v>1</v>
      </c>
      <c r="BE3536">
        <v>0</v>
      </c>
      <c r="BF3536">
        <v>0</v>
      </c>
      <c r="BG3536">
        <v>0</v>
      </c>
      <c r="BH3536">
        <v>1475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>"06:22:09.419"</f>
        <v>06:22:09.419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6</v>
      </c>
      <c r="CP3536" t="s">
        <v>119</v>
      </c>
      <c r="CQ3536">
        <v>465</v>
      </c>
      <c r="CR3536">
        <v>0</v>
      </c>
      <c r="CW3536">
        <v>4731436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 t="shared" si="1546"/>
        <v>08/29/2020 06:22:06.194</v>
      </c>
      <c r="C3537" t="str">
        <f t="shared" si="1539"/>
        <v>FFDFD3C0</v>
      </c>
      <c r="D3537" t="s">
        <v>939</v>
      </c>
      <c r="E3537">
        <v>10</v>
      </c>
      <c r="H3537">
        <v>79</v>
      </c>
      <c r="I3537" t="s">
        <v>940</v>
      </c>
      <c r="J3537" t="s">
        <v>130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si="1547"/>
        <v>06:22:09.414</v>
      </c>
      <c r="T3537" t="str">
        <f t="shared" si="1548"/>
        <v>06:22:09.014</v>
      </c>
      <c r="U3537" t="str">
        <f t="shared" si="1540"/>
        <v>A7E2E0</v>
      </c>
      <c r="V3537">
        <v>0</v>
      </c>
      <c r="W3537">
        <v>0</v>
      </c>
      <c r="X3537">
        <v>1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0</v>
      </c>
      <c r="AI3537" t="s">
        <v>1637</v>
      </c>
      <c r="AJ3537">
        <v>38.817250999999999</v>
      </c>
      <c r="AK3537" t="s">
        <v>1638</v>
      </c>
      <c r="AL3537">
        <v>-87.603156999999996</v>
      </c>
      <c r="AM3537">
        <v>100</v>
      </c>
      <c r="AN3537">
        <v>1700</v>
      </c>
      <c r="AO3537" t="s">
        <v>118</v>
      </c>
      <c r="AP3537">
        <v>1</v>
      </c>
      <c r="AQ3537">
        <v>-108</v>
      </c>
      <c r="AR3537">
        <v>-1216</v>
      </c>
      <c r="AZ3537">
        <v>4552</v>
      </c>
      <c r="BA3537">
        <v>1</v>
      </c>
      <c r="BB3537" t="str">
        <f t="shared" si="1541"/>
        <v xml:space="preserve">N607SR  </v>
      </c>
      <c r="BC3537">
        <v>1</v>
      </c>
      <c r="BE3537">
        <v>0</v>
      </c>
      <c r="BF3537">
        <v>0</v>
      </c>
      <c r="BG3537">
        <v>0</v>
      </c>
      <c r="BH3537">
        <v>1475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>"06:22:09.419"</f>
        <v>06:22:09.419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6</v>
      </c>
      <c r="CP3537" t="s">
        <v>119</v>
      </c>
      <c r="CQ3537">
        <v>465</v>
      </c>
      <c r="CR3537">
        <v>0</v>
      </c>
      <c r="CW3537">
        <v>4731436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 t="shared" ref="A3538:A3543" si="1549">"08/29/2020 06:22:07.289"</f>
        <v>08/29/2020 06:22:07.289</v>
      </c>
      <c r="C3538" t="str">
        <f t="shared" si="1539"/>
        <v>FFDFD3C0</v>
      </c>
      <c r="D3538" t="s">
        <v>939</v>
      </c>
      <c r="E3538">
        <v>10</v>
      </c>
      <c r="H3538">
        <v>79</v>
      </c>
      <c r="I3538" t="s">
        <v>940</v>
      </c>
      <c r="J3538" t="s">
        <v>130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ref="S3538:S3543" si="1550">"06:22:10.508"</f>
        <v>06:22:10.508</v>
      </c>
      <c r="U3538" t="str">
        <f t="shared" si="1540"/>
        <v>A7E2E0</v>
      </c>
      <c r="V3538">
        <v>0</v>
      </c>
      <c r="W3538">
        <v>0</v>
      </c>
      <c r="X3538">
        <v>1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0</v>
      </c>
      <c r="AI3538" t="s">
        <v>1639</v>
      </c>
      <c r="AJ3538">
        <v>38.816735999999999</v>
      </c>
      <c r="AK3538" t="s">
        <v>1638</v>
      </c>
      <c r="AL3538">
        <v>-87.603156999999996</v>
      </c>
      <c r="AM3538">
        <v>100</v>
      </c>
      <c r="AN3538">
        <v>1700</v>
      </c>
      <c r="AO3538" t="s">
        <v>118</v>
      </c>
      <c r="AP3538">
        <v>0</v>
      </c>
      <c r="AQ3538">
        <v>-107</v>
      </c>
      <c r="AR3538">
        <v>-1216</v>
      </c>
      <c r="AZ3538">
        <v>4552</v>
      </c>
      <c r="BA3538">
        <v>1</v>
      </c>
      <c r="BB3538" t="str">
        <f t="shared" si="1541"/>
        <v xml:space="preserve">N607SR  </v>
      </c>
      <c r="BC3538">
        <v>1</v>
      </c>
      <c r="BE3538">
        <v>0</v>
      </c>
      <c r="BF3538">
        <v>0</v>
      </c>
      <c r="BG3538">
        <v>0</v>
      </c>
      <c r="BH3538">
        <v>1450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 t="shared" ref="BW3538:BW3543" si="1551">"06:22:10.510"</f>
        <v>06:22:10.510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6</v>
      </c>
      <c r="CP3538" t="s">
        <v>119</v>
      </c>
      <c r="CQ3538">
        <v>465</v>
      </c>
      <c r="CR3538">
        <v>0</v>
      </c>
      <c r="CW3538">
        <v>4731470</v>
      </c>
      <c r="CY3538">
        <v>1</v>
      </c>
      <c r="CZ3538">
        <v>0</v>
      </c>
      <c r="DA3538">
        <v>0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 t="shared" si="1549"/>
        <v>08/29/2020 06:22:07.289</v>
      </c>
      <c r="C3539" t="str">
        <f t="shared" si="1539"/>
        <v>FFDFD3C0</v>
      </c>
      <c r="D3539" t="s">
        <v>121</v>
      </c>
      <c r="E3539">
        <v>10</v>
      </c>
      <c r="F3539">
        <v>1010</v>
      </c>
      <c r="G3539" t="s">
        <v>114</v>
      </c>
      <c r="J3539" t="s">
        <v>123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si="1550"/>
        <v>06:22:10.508</v>
      </c>
      <c r="U3539" t="str">
        <f t="shared" si="1540"/>
        <v>A7E2E0</v>
      </c>
      <c r="V3539">
        <v>0</v>
      </c>
      <c r="W3539">
        <v>0</v>
      </c>
      <c r="X3539">
        <v>1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0</v>
      </c>
      <c r="AI3539" t="s">
        <v>1639</v>
      </c>
      <c r="AJ3539">
        <v>38.816735999999999</v>
      </c>
      <c r="AK3539" t="s">
        <v>1638</v>
      </c>
      <c r="AL3539">
        <v>-87.603156999999996</v>
      </c>
      <c r="AM3539">
        <v>100</v>
      </c>
      <c r="AN3539">
        <v>1700</v>
      </c>
      <c r="AO3539" t="s">
        <v>118</v>
      </c>
      <c r="AP3539">
        <v>0</v>
      </c>
      <c r="AQ3539">
        <v>-107</v>
      </c>
      <c r="AR3539">
        <v>-1216</v>
      </c>
      <c r="AZ3539">
        <v>4552</v>
      </c>
      <c r="BA3539">
        <v>1</v>
      </c>
      <c r="BB3539" t="str">
        <f t="shared" si="1541"/>
        <v xml:space="preserve">N607SR  </v>
      </c>
      <c r="BC3539">
        <v>1</v>
      </c>
      <c r="BE3539">
        <v>0</v>
      </c>
      <c r="BF3539">
        <v>0</v>
      </c>
      <c r="BG3539">
        <v>0</v>
      </c>
      <c r="BH3539">
        <v>1450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 t="shared" si="1551"/>
        <v>06:22:10.510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6</v>
      </c>
      <c r="CP3539" t="s">
        <v>119</v>
      </c>
      <c r="CQ3539">
        <v>465</v>
      </c>
      <c r="CR3539">
        <v>0</v>
      </c>
      <c r="CW3539">
        <v>4731470</v>
      </c>
      <c r="CY3539">
        <v>1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 t="shared" si="1549"/>
        <v>08/29/2020 06:22:07.289</v>
      </c>
      <c r="C3540" t="str">
        <f t="shared" si="1539"/>
        <v>FFDFD3C0</v>
      </c>
      <c r="D3540" t="s">
        <v>113</v>
      </c>
      <c r="E3540">
        <v>5</v>
      </c>
      <c r="H3540">
        <v>163</v>
      </c>
      <c r="I3540" t="s">
        <v>114</v>
      </c>
      <c r="J3540" t="s">
        <v>115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550"/>
        <v>06:22:10.508</v>
      </c>
      <c r="U3540" t="str">
        <f t="shared" si="1540"/>
        <v>A7E2E0</v>
      </c>
      <c r="V3540">
        <v>0</v>
      </c>
      <c r="W3540">
        <v>0</v>
      </c>
      <c r="X3540">
        <v>1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0</v>
      </c>
      <c r="AI3540" t="s">
        <v>1639</v>
      </c>
      <c r="AJ3540">
        <v>38.816735999999999</v>
      </c>
      <c r="AK3540" t="s">
        <v>1638</v>
      </c>
      <c r="AL3540">
        <v>-87.603156999999996</v>
      </c>
      <c r="AM3540">
        <v>100</v>
      </c>
      <c r="AN3540">
        <v>1700</v>
      </c>
      <c r="AO3540" t="s">
        <v>118</v>
      </c>
      <c r="AP3540">
        <v>0</v>
      </c>
      <c r="AQ3540">
        <v>-107</v>
      </c>
      <c r="AR3540">
        <v>-1216</v>
      </c>
      <c r="AZ3540">
        <v>4552</v>
      </c>
      <c r="BA3540">
        <v>1</v>
      </c>
      <c r="BB3540" t="str">
        <f t="shared" si="1541"/>
        <v xml:space="preserve">N607SR  </v>
      </c>
      <c r="BC3540">
        <v>1</v>
      </c>
      <c r="BE3540">
        <v>0</v>
      </c>
      <c r="BF3540">
        <v>0</v>
      </c>
      <c r="BG3540">
        <v>0</v>
      </c>
      <c r="BH3540">
        <v>1450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 t="shared" si="1551"/>
        <v>06:22:10.510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6</v>
      </c>
      <c r="CP3540" t="s">
        <v>119</v>
      </c>
      <c r="CQ3540">
        <v>465</v>
      </c>
      <c r="CR3540">
        <v>0</v>
      </c>
      <c r="CW3540">
        <v>4731470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 t="shared" si="1549"/>
        <v>08/29/2020 06:22:07.289</v>
      </c>
      <c r="C3541" t="str">
        <f t="shared" si="1539"/>
        <v>FFDFD3C0</v>
      </c>
      <c r="D3541" t="s">
        <v>128</v>
      </c>
      <c r="E3541">
        <v>5</v>
      </c>
      <c r="H3541">
        <v>241</v>
      </c>
      <c r="I3541" t="s">
        <v>129</v>
      </c>
      <c r="J3541" t="s">
        <v>130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si="1550"/>
        <v>06:22:10.508</v>
      </c>
      <c r="U3541" t="str">
        <f t="shared" si="1540"/>
        <v>A7E2E0</v>
      </c>
      <c r="V3541">
        <v>0</v>
      </c>
      <c r="W3541">
        <v>0</v>
      </c>
      <c r="X3541">
        <v>1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0</v>
      </c>
      <c r="AI3541" t="s">
        <v>1639</v>
      </c>
      <c r="AJ3541">
        <v>38.816735999999999</v>
      </c>
      <c r="AK3541" t="s">
        <v>1638</v>
      </c>
      <c r="AL3541">
        <v>-87.603156999999996</v>
      </c>
      <c r="AM3541">
        <v>100</v>
      </c>
      <c r="AN3541">
        <v>1700</v>
      </c>
      <c r="AO3541" t="s">
        <v>118</v>
      </c>
      <c r="AP3541">
        <v>0</v>
      </c>
      <c r="AQ3541">
        <v>-107</v>
      </c>
      <c r="AR3541">
        <v>-1216</v>
      </c>
      <c r="AZ3541">
        <v>4552</v>
      </c>
      <c r="BA3541">
        <v>1</v>
      </c>
      <c r="BB3541" t="str">
        <f t="shared" si="1541"/>
        <v xml:space="preserve">N607SR  </v>
      </c>
      <c r="BC3541">
        <v>1</v>
      </c>
      <c r="BE3541">
        <v>0</v>
      </c>
      <c r="BF3541">
        <v>0</v>
      </c>
      <c r="BG3541">
        <v>0</v>
      </c>
      <c r="BH3541">
        <v>1450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 t="shared" si="1551"/>
        <v>06:22:10.510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6</v>
      </c>
      <c r="CP3541" t="s">
        <v>119</v>
      </c>
      <c r="CQ3541">
        <v>465</v>
      </c>
      <c r="CR3541">
        <v>0</v>
      </c>
      <c r="CW3541">
        <v>4731470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 t="shared" si="1549"/>
        <v>08/29/2020 06:22:07.289</v>
      </c>
      <c r="C3542" t="str">
        <f t="shared" si="1539"/>
        <v>FFDFD3C0</v>
      </c>
      <c r="D3542" t="s">
        <v>121</v>
      </c>
      <c r="E3542">
        <v>11</v>
      </c>
      <c r="F3542">
        <v>1011</v>
      </c>
      <c r="G3542" t="s">
        <v>125</v>
      </c>
      <c r="J3542" t="s">
        <v>123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550"/>
        <v>06:22:10.508</v>
      </c>
      <c r="T3542" t="str">
        <f>"06:22:10.008"</f>
        <v>06:22:10.008</v>
      </c>
      <c r="U3542" t="str">
        <f t="shared" si="1540"/>
        <v>A7E2E0</v>
      </c>
      <c r="V3542">
        <v>0</v>
      </c>
      <c r="W3542">
        <v>0</v>
      </c>
      <c r="X3542">
        <v>1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0</v>
      </c>
      <c r="AI3542" t="s">
        <v>1639</v>
      </c>
      <c r="AJ3542">
        <v>38.816735999999999</v>
      </c>
      <c r="AK3542" t="s">
        <v>1638</v>
      </c>
      <c r="AL3542">
        <v>-87.603156999999996</v>
      </c>
      <c r="AM3542">
        <v>100</v>
      </c>
      <c r="AN3542">
        <v>1700</v>
      </c>
      <c r="AO3542" t="s">
        <v>118</v>
      </c>
      <c r="AP3542">
        <v>0</v>
      </c>
      <c r="AQ3542">
        <v>-108</v>
      </c>
      <c r="AR3542">
        <v>-1216</v>
      </c>
      <c r="AZ3542">
        <v>4552</v>
      </c>
      <c r="BA3542">
        <v>1</v>
      </c>
      <c r="BB3542" t="str">
        <f t="shared" si="1541"/>
        <v xml:space="preserve">N607SR  </v>
      </c>
      <c r="BC3542">
        <v>1</v>
      </c>
      <c r="BE3542">
        <v>0</v>
      </c>
      <c r="BF3542">
        <v>0</v>
      </c>
      <c r="BG3542">
        <v>0</v>
      </c>
      <c r="BH3542">
        <v>1450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 t="shared" si="1551"/>
        <v>06:22:10.510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6</v>
      </c>
      <c r="CP3542" t="s">
        <v>119</v>
      </c>
      <c r="CQ3542">
        <v>457</v>
      </c>
      <c r="CR3542">
        <v>0</v>
      </c>
      <c r="CW3542">
        <v>15526711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 t="shared" si="1549"/>
        <v>08/29/2020 06:22:07.289</v>
      </c>
      <c r="C3543" t="str">
        <f t="shared" si="1539"/>
        <v>FFDFD3C0</v>
      </c>
      <c r="D3543" t="s">
        <v>121</v>
      </c>
      <c r="E3543">
        <v>13</v>
      </c>
      <c r="F3543">
        <v>1013</v>
      </c>
      <c r="G3543" t="s">
        <v>122</v>
      </c>
      <c r="J3543" t="s">
        <v>123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si="1550"/>
        <v>06:22:10.508</v>
      </c>
      <c r="U3543" t="str">
        <f t="shared" si="1540"/>
        <v>A7E2E0</v>
      </c>
      <c r="V3543">
        <v>0</v>
      </c>
      <c r="W3543">
        <v>0</v>
      </c>
      <c r="X3543">
        <v>1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0</v>
      </c>
      <c r="AI3543" t="s">
        <v>1639</v>
      </c>
      <c r="AJ3543">
        <v>38.816735999999999</v>
      </c>
      <c r="AK3543" t="s">
        <v>1638</v>
      </c>
      <c r="AL3543">
        <v>-87.603156999999996</v>
      </c>
      <c r="AM3543">
        <v>100</v>
      </c>
      <c r="AN3543">
        <v>1700</v>
      </c>
      <c r="AO3543" t="s">
        <v>118</v>
      </c>
      <c r="AP3543">
        <v>0</v>
      </c>
      <c r="AQ3543">
        <v>-107</v>
      </c>
      <c r="AR3543">
        <v>-1216</v>
      </c>
      <c r="AZ3543">
        <v>4552</v>
      </c>
      <c r="BA3543">
        <v>1</v>
      </c>
      <c r="BB3543" t="str">
        <f t="shared" si="1541"/>
        <v xml:space="preserve">N607SR  </v>
      </c>
      <c r="BC3543">
        <v>1</v>
      </c>
      <c r="BE3543">
        <v>0</v>
      </c>
      <c r="BF3543">
        <v>0</v>
      </c>
      <c r="BG3543">
        <v>0</v>
      </c>
      <c r="BH3543">
        <v>1450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 t="shared" si="1551"/>
        <v>06:22:10.510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6</v>
      </c>
      <c r="CP3543" t="s">
        <v>119</v>
      </c>
      <c r="CQ3543">
        <v>465</v>
      </c>
      <c r="CR3543">
        <v>0</v>
      </c>
      <c r="CW3543">
        <v>4731470</v>
      </c>
      <c r="CY3543">
        <v>1</v>
      </c>
      <c r="CZ3543">
        <v>0</v>
      </c>
      <c r="DA3543">
        <v>1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 t="shared" ref="A3544:A3549" si="1552">"08/29/2020 06:22:08.301"</f>
        <v>08/29/2020 06:22:08.301</v>
      </c>
      <c r="C3544" t="str">
        <f t="shared" si="1539"/>
        <v>FFDFD3C0</v>
      </c>
      <c r="D3544" t="s">
        <v>121</v>
      </c>
      <c r="E3544">
        <v>10</v>
      </c>
      <c r="F3544">
        <v>1010</v>
      </c>
      <c r="G3544" t="s">
        <v>114</v>
      </c>
      <c r="J3544" t="s">
        <v>123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ref="S3544:S3549" si="1553">"06:22:11.523"</f>
        <v>06:22:11.523</v>
      </c>
      <c r="T3544" t="str">
        <f t="shared" ref="T3544:T3549" si="1554">"06:22:11.023"</f>
        <v>06:22:11.023</v>
      </c>
      <c r="U3544" t="str">
        <f t="shared" si="1540"/>
        <v>A7E2E0</v>
      </c>
      <c r="V3544">
        <v>0</v>
      </c>
      <c r="W3544">
        <v>0</v>
      </c>
      <c r="X3544">
        <v>1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0</v>
      </c>
      <c r="AI3544" t="s">
        <v>1640</v>
      </c>
      <c r="AJ3544">
        <v>38.816198999999997</v>
      </c>
      <c r="AK3544" t="s">
        <v>1635</v>
      </c>
      <c r="AL3544">
        <v>-87.603199000000004</v>
      </c>
      <c r="AM3544">
        <v>100</v>
      </c>
      <c r="AN3544">
        <v>1600</v>
      </c>
      <c r="AO3544" t="s">
        <v>118</v>
      </c>
      <c r="AP3544">
        <v>0</v>
      </c>
      <c r="AQ3544">
        <v>-107</v>
      </c>
      <c r="AR3544">
        <v>-1216</v>
      </c>
      <c r="AZ3544">
        <v>4552</v>
      </c>
      <c r="BA3544">
        <v>1</v>
      </c>
      <c r="BB3544" t="str">
        <f t="shared" si="1541"/>
        <v xml:space="preserve">N607SR  </v>
      </c>
      <c r="BC3544">
        <v>1</v>
      </c>
      <c r="BE3544">
        <v>0</v>
      </c>
      <c r="BF3544">
        <v>0</v>
      </c>
      <c r="BG3544">
        <v>0</v>
      </c>
      <c r="BH3544">
        <v>1325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 t="shared" ref="BW3544:BW3549" si="1555">"06:22:11.524"</f>
        <v>06:22:11.524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6</v>
      </c>
      <c r="CP3544" t="s">
        <v>119</v>
      </c>
      <c r="CQ3544">
        <v>465</v>
      </c>
      <c r="CR3544">
        <v>0</v>
      </c>
      <c r="CW3544">
        <v>4731499</v>
      </c>
      <c r="CY3544">
        <v>1</v>
      </c>
      <c r="CZ3544">
        <v>0</v>
      </c>
      <c r="DA3544">
        <v>0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 t="shared" si="1552"/>
        <v>08/29/2020 06:22:08.301</v>
      </c>
      <c r="C3545" t="str">
        <f t="shared" si="1539"/>
        <v>FFDFD3C0</v>
      </c>
      <c r="D3545" t="s">
        <v>113</v>
      </c>
      <c r="E3545">
        <v>5</v>
      </c>
      <c r="H3545">
        <v>163</v>
      </c>
      <c r="I3545" t="s">
        <v>114</v>
      </c>
      <c r="J3545" t="s">
        <v>115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553"/>
        <v>06:22:11.523</v>
      </c>
      <c r="T3545" t="str">
        <f t="shared" si="1554"/>
        <v>06:22:11.023</v>
      </c>
      <c r="U3545" t="str">
        <f t="shared" si="1540"/>
        <v>A7E2E0</v>
      </c>
      <c r="V3545">
        <v>0</v>
      </c>
      <c r="W3545">
        <v>0</v>
      </c>
      <c r="X3545">
        <v>1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0</v>
      </c>
      <c r="AI3545" t="s">
        <v>1640</v>
      </c>
      <c r="AJ3545">
        <v>38.816198999999997</v>
      </c>
      <c r="AK3545" t="s">
        <v>1635</v>
      </c>
      <c r="AL3545">
        <v>-87.603199000000004</v>
      </c>
      <c r="AM3545">
        <v>100</v>
      </c>
      <c r="AN3545">
        <v>1600</v>
      </c>
      <c r="AO3545" t="s">
        <v>118</v>
      </c>
      <c r="AP3545">
        <v>0</v>
      </c>
      <c r="AQ3545">
        <v>-107</v>
      </c>
      <c r="AR3545">
        <v>-1216</v>
      </c>
      <c r="AZ3545">
        <v>4552</v>
      </c>
      <c r="BA3545">
        <v>1</v>
      </c>
      <c r="BB3545" t="str">
        <f t="shared" si="1541"/>
        <v xml:space="preserve">N607SR  </v>
      </c>
      <c r="BC3545">
        <v>1</v>
      </c>
      <c r="BE3545">
        <v>0</v>
      </c>
      <c r="BF3545">
        <v>0</v>
      </c>
      <c r="BG3545">
        <v>0</v>
      </c>
      <c r="BH3545">
        <v>1325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 t="shared" si="1555"/>
        <v>06:22:11.524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6</v>
      </c>
      <c r="CP3545" t="s">
        <v>119</v>
      </c>
      <c r="CQ3545">
        <v>465</v>
      </c>
      <c r="CR3545">
        <v>0</v>
      </c>
      <c r="CW3545">
        <v>4731499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 t="shared" si="1552"/>
        <v>08/29/2020 06:22:08.301</v>
      </c>
      <c r="C3546" t="str">
        <f t="shared" si="1539"/>
        <v>FFDFD3C0</v>
      </c>
      <c r="D3546" t="s">
        <v>121</v>
      </c>
      <c r="E3546">
        <v>11</v>
      </c>
      <c r="F3546">
        <v>1011</v>
      </c>
      <c r="G3546" t="s">
        <v>125</v>
      </c>
      <c r="J3546" t="s">
        <v>123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1553"/>
        <v>06:22:11.523</v>
      </c>
      <c r="T3546" t="str">
        <f t="shared" si="1554"/>
        <v>06:22:11.023</v>
      </c>
      <c r="U3546" t="str">
        <f t="shared" si="1540"/>
        <v>A7E2E0</v>
      </c>
      <c r="V3546">
        <v>0</v>
      </c>
      <c r="W3546">
        <v>0</v>
      </c>
      <c r="X3546">
        <v>1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0</v>
      </c>
      <c r="AI3546" t="s">
        <v>1640</v>
      </c>
      <c r="AJ3546">
        <v>38.816198999999997</v>
      </c>
      <c r="AK3546" t="s">
        <v>1635</v>
      </c>
      <c r="AL3546">
        <v>-87.603199000000004</v>
      </c>
      <c r="AM3546">
        <v>100</v>
      </c>
      <c r="AN3546">
        <v>1600</v>
      </c>
      <c r="AO3546" t="s">
        <v>118</v>
      </c>
      <c r="AP3546">
        <v>0</v>
      </c>
      <c r="AQ3546">
        <v>-107</v>
      </c>
      <c r="AR3546">
        <v>-1216</v>
      </c>
      <c r="AZ3546">
        <v>4552</v>
      </c>
      <c r="BA3546">
        <v>1</v>
      </c>
      <c r="BB3546" t="str">
        <f t="shared" si="1541"/>
        <v xml:space="preserve">N607SR  </v>
      </c>
      <c r="BC3546">
        <v>1</v>
      </c>
      <c r="BE3546">
        <v>0</v>
      </c>
      <c r="BF3546">
        <v>0</v>
      </c>
      <c r="BG3546">
        <v>0</v>
      </c>
      <c r="BH3546">
        <v>1325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 t="shared" si="1555"/>
        <v>06:22:11.524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6</v>
      </c>
      <c r="CP3546" t="s">
        <v>119</v>
      </c>
      <c r="CQ3546">
        <v>457</v>
      </c>
      <c r="CR3546">
        <v>0</v>
      </c>
      <c r="CW3546">
        <v>15526741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 t="shared" si="1552"/>
        <v>08/29/2020 06:22:08.301</v>
      </c>
      <c r="C3547" t="str">
        <f t="shared" si="1539"/>
        <v>FFDFD3C0</v>
      </c>
      <c r="D3547" t="s">
        <v>128</v>
      </c>
      <c r="E3547">
        <v>5</v>
      </c>
      <c r="H3547">
        <v>241</v>
      </c>
      <c r="I3547" t="s">
        <v>129</v>
      </c>
      <c r="J3547" t="s">
        <v>130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553"/>
        <v>06:22:11.523</v>
      </c>
      <c r="T3547" t="str">
        <f t="shared" si="1554"/>
        <v>06:22:11.023</v>
      </c>
      <c r="U3547" t="str">
        <f t="shared" si="1540"/>
        <v>A7E2E0</v>
      </c>
      <c r="V3547">
        <v>0</v>
      </c>
      <c r="W3547">
        <v>0</v>
      </c>
      <c r="X3547">
        <v>1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0</v>
      </c>
      <c r="AI3547" t="s">
        <v>1640</v>
      </c>
      <c r="AJ3547">
        <v>38.816198999999997</v>
      </c>
      <c r="AK3547" t="s">
        <v>1635</v>
      </c>
      <c r="AL3547">
        <v>-87.603199000000004</v>
      </c>
      <c r="AM3547">
        <v>100</v>
      </c>
      <c r="AN3547">
        <v>1600</v>
      </c>
      <c r="AO3547" t="s">
        <v>118</v>
      </c>
      <c r="AP3547">
        <v>0</v>
      </c>
      <c r="AQ3547">
        <v>-107</v>
      </c>
      <c r="AR3547">
        <v>-1216</v>
      </c>
      <c r="AZ3547">
        <v>4552</v>
      </c>
      <c r="BA3547">
        <v>1</v>
      </c>
      <c r="BB3547" t="str">
        <f t="shared" si="1541"/>
        <v xml:space="preserve">N607SR  </v>
      </c>
      <c r="BC3547">
        <v>1</v>
      </c>
      <c r="BE3547">
        <v>0</v>
      </c>
      <c r="BF3547">
        <v>0</v>
      </c>
      <c r="BG3547">
        <v>0</v>
      </c>
      <c r="BH3547">
        <v>1325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 t="shared" si="1555"/>
        <v>06:22:11.524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6</v>
      </c>
      <c r="CP3547" t="s">
        <v>119</v>
      </c>
      <c r="CQ3547">
        <v>465</v>
      </c>
      <c r="CR3547">
        <v>0</v>
      </c>
      <c r="CW3547">
        <v>4731499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 t="shared" si="1552"/>
        <v>08/29/2020 06:22:08.301</v>
      </c>
      <c r="C3548" t="str">
        <f t="shared" si="1539"/>
        <v>FFDFD3C0</v>
      </c>
      <c r="D3548" t="s">
        <v>939</v>
      </c>
      <c r="E3548">
        <v>10</v>
      </c>
      <c r="H3548">
        <v>79</v>
      </c>
      <c r="I3548" t="s">
        <v>940</v>
      </c>
      <c r="J3548" t="s">
        <v>130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si="1553"/>
        <v>06:22:11.523</v>
      </c>
      <c r="T3548" t="str">
        <f t="shared" si="1554"/>
        <v>06:22:11.023</v>
      </c>
      <c r="U3548" t="str">
        <f t="shared" si="1540"/>
        <v>A7E2E0</v>
      </c>
      <c r="V3548">
        <v>0</v>
      </c>
      <c r="W3548">
        <v>0</v>
      </c>
      <c r="X3548">
        <v>1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0</v>
      </c>
      <c r="AI3548" t="s">
        <v>1640</v>
      </c>
      <c r="AJ3548">
        <v>38.816198999999997</v>
      </c>
      <c r="AK3548" t="s">
        <v>1635</v>
      </c>
      <c r="AL3548">
        <v>-87.603199000000004</v>
      </c>
      <c r="AM3548">
        <v>100</v>
      </c>
      <c r="AN3548">
        <v>1600</v>
      </c>
      <c r="AO3548" t="s">
        <v>118</v>
      </c>
      <c r="AP3548">
        <v>0</v>
      </c>
      <c r="AQ3548">
        <v>-107</v>
      </c>
      <c r="AR3548">
        <v>-1216</v>
      </c>
      <c r="AZ3548">
        <v>4552</v>
      </c>
      <c r="BA3548">
        <v>1</v>
      </c>
      <c r="BB3548" t="str">
        <f t="shared" si="1541"/>
        <v xml:space="preserve">N607SR  </v>
      </c>
      <c r="BC3548">
        <v>1</v>
      </c>
      <c r="BE3548">
        <v>0</v>
      </c>
      <c r="BF3548">
        <v>0</v>
      </c>
      <c r="BG3548">
        <v>0</v>
      </c>
      <c r="BH3548">
        <v>1325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 t="shared" si="1555"/>
        <v>06:22:11.524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6</v>
      </c>
      <c r="CP3548" t="s">
        <v>119</v>
      </c>
      <c r="CQ3548">
        <v>465</v>
      </c>
      <c r="CR3548">
        <v>0</v>
      </c>
      <c r="CW3548">
        <v>4731499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 t="shared" si="1552"/>
        <v>08/29/2020 06:22:08.301</v>
      </c>
      <c r="C3549" t="str">
        <f t="shared" si="1539"/>
        <v>FFDFD3C0</v>
      </c>
      <c r="D3549" t="s">
        <v>121</v>
      </c>
      <c r="E3549">
        <v>13</v>
      </c>
      <c r="F3549">
        <v>1013</v>
      </c>
      <c r="G3549" t="s">
        <v>122</v>
      </c>
      <c r="J3549" t="s">
        <v>123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1553"/>
        <v>06:22:11.523</v>
      </c>
      <c r="T3549" t="str">
        <f t="shared" si="1554"/>
        <v>06:22:11.023</v>
      </c>
      <c r="U3549" t="str">
        <f t="shared" si="1540"/>
        <v>A7E2E0</v>
      </c>
      <c r="V3549">
        <v>0</v>
      </c>
      <c r="W3549">
        <v>0</v>
      </c>
      <c r="X3549">
        <v>1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0</v>
      </c>
      <c r="AI3549" t="s">
        <v>1640</v>
      </c>
      <c r="AJ3549">
        <v>38.816198999999997</v>
      </c>
      <c r="AK3549" t="s">
        <v>1635</v>
      </c>
      <c r="AL3549">
        <v>-87.603199000000004</v>
      </c>
      <c r="AM3549">
        <v>100</v>
      </c>
      <c r="AN3549">
        <v>1600</v>
      </c>
      <c r="AO3549" t="s">
        <v>118</v>
      </c>
      <c r="AP3549">
        <v>0</v>
      </c>
      <c r="AQ3549">
        <v>-107</v>
      </c>
      <c r="AR3549">
        <v>-1216</v>
      </c>
      <c r="AZ3549">
        <v>4552</v>
      </c>
      <c r="BA3549">
        <v>1</v>
      </c>
      <c r="BB3549" t="str">
        <f t="shared" si="1541"/>
        <v xml:space="preserve">N607SR  </v>
      </c>
      <c r="BC3549">
        <v>1</v>
      </c>
      <c r="BE3549">
        <v>0</v>
      </c>
      <c r="BF3549">
        <v>0</v>
      </c>
      <c r="BG3549">
        <v>0</v>
      </c>
      <c r="BH3549">
        <v>1325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 t="shared" si="1555"/>
        <v>06:22:11.524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6</v>
      </c>
      <c r="CP3549" t="s">
        <v>119</v>
      </c>
      <c r="CQ3549">
        <v>465</v>
      </c>
      <c r="CR3549">
        <v>0</v>
      </c>
      <c r="CW3549">
        <v>4731499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 t="shared" ref="A3550:A3555" si="1556">"08/29/2020 06:22:09.287"</f>
        <v>08/29/2020 06:22:09.287</v>
      </c>
      <c r="C3550" t="str">
        <f t="shared" si="1539"/>
        <v>FFDFD3C0</v>
      </c>
      <c r="D3550" t="s">
        <v>113</v>
      </c>
      <c r="E3550">
        <v>5</v>
      </c>
      <c r="H3550">
        <v>163</v>
      </c>
      <c r="I3550" t="s">
        <v>114</v>
      </c>
      <c r="J3550" t="s">
        <v>115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ref="S3550:S3555" si="1557">"06:22:12.500"</f>
        <v>06:22:12.500</v>
      </c>
      <c r="T3550" t="str">
        <f t="shared" ref="T3550:T3555" si="1558">"06:22:12.000"</f>
        <v>06:22:12.000</v>
      </c>
      <c r="U3550" t="str">
        <f t="shared" si="1540"/>
        <v>A7E2E0</v>
      </c>
      <c r="V3550">
        <v>0</v>
      </c>
      <c r="W3550">
        <v>0</v>
      </c>
      <c r="X3550">
        <v>1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0</v>
      </c>
      <c r="AI3550" t="s">
        <v>1641</v>
      </c>
      <c r="AJ3550">
        <v>38.815727000000003</v>
      </c>
      <c r="AK3550" t="s">
        <v>1638</v>
      </c>
      <c r="AL3550">
        <v>-87.603156999999996</v>
      </c>
      <c r="AM3550">
        <v>100</v>
      </c>
      <c r="AN3550">
        <v>1600</v>
      </c>
      <c r="AO3550" t="s">
        <v>118</v>
      </c>
      <c r="AP3550">
        <v>-1</v>
      </c>
      <c r="AQ3550">
        <v>-107</v>
      </c>
      <c r="AR3550">
        <v>-1280</v>
      </c>
      <c r="AZ3550">
        <v>4552</v>
      </c>
      <c r="BA3550">
        <v>1</v>
      </c>
      <c r="BB3550" t="str">
        <f t="shared" si="1541"/>
        <v xml:space="preserve">N607SR  </v>
      </c>
      <c r="BC3550">
        <v>1</v>
      </c>
      <c r="BE3550">
        <v>0</v>
      </c>
      <c r="BF3550">
        <v>0</v>
      </c>
      <c r="BG3550">
        <v>0</v>
      </c>
      <c r="BH3550">
        <v>1425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 t="shared" ref="BW3550:BW3555" si="1559">"06:22:12.507"</f>
        <v>06:22:12.507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6</v>
      </c>
      <c r="CP3550" t="s">
        <v>119</v>
      </c>
      <c r="CQ3550">
        <v>457</v>
      </c>
      <c r="CR3550">
        <v>0</v>
      </c>
      <c r="CW3550">
        <v>15526773</v>
      </c>
      <c r="CY3550">
        <v>1</v>
      </c>
      <c r="CZ3550">
        <v>0</v>
      </c>
      <c r="DA3550">
        <v>0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 t="shared" si="1556"/>
        <v>08/29/2020 06:22:09.287</v>
      </c>
      <c r="C3551" t="str">
        <f t="shared" si="1539"/>
        <v>FFDFD3C0</v>
      </c>
      <c r="D3551" t="s">
        <v>128</v>
      </c>
      <c r="E3551">
        <v>5</v>
      </c>
      <c r="H3551">
        <v>241</v>
      </c>
      <c r="I3551" t="s">
        <v>129</v>
      </c>
      <c r="J3551" t="s">
        <v>130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557"/>
        <v>06:22:12.500</v>
      </c>
      <c r="T3551" t="str">
        <f t="shared" si="1558"/>
        <v>06:22:12.000</v>
      </c>
      <c r="U3551" t="str">
        <f t="shared" si="1540"/>
        <v>A7E2E0</v>
      </c>
      <c r="V3551">
        <v>0</v>
      </c>
      <c r="W3551">
        <v>0</v>
      </c>
      <c r="X3551">
        <v>1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0</v>
      </c>
      <c r="AI3551" t="s">
        <v>1641</v>
      </c>
      <c r="AJ3551">
        <v>38.815727000000003</v>
      </c>
      <c r="AK3551" t="s">
        <v>1638</v>
      </c>
      <c r="AL3551">
        <v>-87.603156999999996</v>
      </c>
      <c r="AM3551">
        <v>100</v>
      </c>
      <c r="AN3551">
        <v>1600</v>
      </c>
      <c r="AO3551" t="s">
        <v>118</v>
      </c>
      <c r="AP3551">
        <v>-1</v>
      </c>
      <c r="AQ3551">
        <v>-107</v>
      </c>
      <c r="AR3551">
        <v>-1280</v>
      </c>
      <c r="AZ3551">
        <v>4552</v>
      </c>
      <c r="BA3551">
        <v>1</v>
      </c>
      <c r="BB3551" t="str">
        <f t="shared" si="1541"/>
        <v xml:space="preserve">N607SR  </v>
      </c>
      <c r="BC3551">
        <v>1</v>
      </c>
      <c r="BE3551">
        <v>0</v>
      </c>
      <c r="BF3551">
        <v>0</v>
      </c>
      <c r="BG3551">
        <v>0</v>
      </c>
      <c r="BH3551">
        <v>1425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 t="shared" si="1559"/>
        <v>06:22:12.507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457</v>
      </c>
      <c r="CR3551">
        <v>0</v>
      </c>
      <c r="CW3551">
        <v>15526773</v>
      </c>
      <c r="CY3551">
        <v>1</v>
      </c>
      <c r="CZ3551">
        <v>0</v>
      </c>
      <c r="DA3551">
        <v>1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 t="shared" si="1556"/>
        <v>08/29/2020 06:22:09.287</v>
      </c>
      <c r="C3552" t="str">
        <f t="shared" si="1539"/>
        <v>FFDFD3C0</v>
      </c>
      <c r="D3552" t="s">
        <v>121</v>
      </c>
      <c r="E3552">
        <v>11</v>
      </c>
      <c r="F3552">
        <v>1011</v>
      </c>
      <c r="G3552" t="s">
        <v>125</v>
      </c>
      <c r="J3552" t="s">
        <v>123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1557"/>
        <v>06:22:12.500</v>
      </c>
      <c r="T3552" t="str">
        <f t="shared" si="1558"/>
        <v>06:22:12.000</v>
      </c>
      <c r="U3552" t="str">
        <f t="shared" si="1540"/>
        <v>A7E2E0</v>
      </c>
      <c r="V3552">
        <v>0</v>
      </c>
      <c r="W3552">
        <v>0</v>
      </c>
      <c r="X3552">
        <v>1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0</v>
      </c>
      <c r="AI3552" t="s">
        <v>1641</v>
      </c>
      <c r="AJ3552">
        <v>38.815727000000003</v>
      </c>
      <c r="AK3552" t="s">
        <v>1638</v>
      </c>
      <c r="AL3552">
        <v>-87.603156999999996</v>
      </c>
      <c r="AM3552">
        <v>100</v>
      </c>
      <c r="AN3552">
        <v>1600</v>
      </c>
      <c r="AO3552" t="s">
        <v>118</v>
      </c>
      <c r="AP3552">
        <v>-1</v>
      </c>
      <c r="AQ3552">
        <v>-107</v>
      </c>
      <c r="AR3552">
        <v>-1280</v>
      </c>
      <c r="AZ3552">
        <v>4552</v>
      </c>
      <c r="BA3552">
        <v>1</v>
      </c>
      <c r="BB3552" t="str">
        <f t="shared" si="1541"/>
        <v xml:space="preserve">N607SR  </v>
      </c>
      <c r="BC3552">
        <v>1</v>
      </c>
      <c r="BE3552">
        <v>0</v>
      </c>
      <c r="BF3552">
        <v>0</v>
      </c>
      <c r="BG3552">
        <v>0</v>
      </c>
      <c r="BH3552">
        <v>1425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 t="shared" si="1559"/>
        <v>06:22:12.507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6</v>
      </c>
      <c r="CP3552" t="s">
        <v>119</v>
      </c>
      <c r="CQ3552">
        <v>457</v>
      </c>
      <c r="CR3552">
        <v>0</v>
      </c>
      <c r="CW3552">
        <v>15526773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 t="shared" si="1556"/>
        <v>08/29/2020 06:22:09.287</v>
      </c>
      <c r="C3553" t="str">
        <f t="shared" si="1539"/>
        <v>FFDFD3C0</v>
      </c>
      <c r="D3553" t="s">
        <v>939</v>
      </c>
      <c r="E3553">
        <v>10</v>
      </c>
      <c r="H3553">
        <v>79</v>
      </c>
      <c r="I3553" t="s">
        <v>940</v>
      </c>
      <c r="J3553" t="s">
        <v>130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1557"/>
        <v>06:22:12.500</v>
      </c>
      <c r="T3553" t="str">
        <f t="shared" si="1558"/>
        <v>06:22:12.000</v>
      </c>
      <c r="U3553" t="str">
        <f t="shared" si="1540"/>
        <v>A7E2E0</v>
      </c>
      <c r="V3553">
        <v>0</v>
      </c>
      <c r="W3553">
        <v>0</v>
      </c>
      <c r="X3553">
        <v>1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0</v>
      </c>
      <c r="AI3553" t="s">
        <v>1641</v>
      </c>
      <c r="AJ3553">
        <v>38.815727000000003</v>
      </c>
      <c r="AK3553" t="s">
        <v>1638</v>
      </c>
      <c r="AL3553">
        <v>-87.603156999999996</v>
      </c>
      <c r="AM3553">
        <v>100</v>
      </c>
      <c r="AN3553">
        <v>1600</v>
      </c>
      <c r="AO3553" t="s">
        <v>118</v>
      </c>
      <c r="AP3553">
        <v>-1</v>
      </c>
      <c r="AQ3553">
        <v>-107</v>
      </c>
      <c r="AR3553">
        <v>-1280</v>
      </c>
      <c r="AZ3553">
        <v>4552</v>
      </c>
      <c r="BA3553">
        <v>1</v>
      </c>
      <c r="BB3553" t="str">
        <f t="shared" si="1541"/>
        <v xml:space="preserve">N607SR  </v>
      </c>
      <c r="BC3553">
        <v>1</v>
      </c>
      <c r="BE3553">
        <v>0</v>
      </c>
      <c r="BF3553">
        <v>0</v>
      </c>
      <c r="BG3553">
        <v>0</v>
      </c>
      <c r="BH3553">
        <v>1425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 t="shared" si="1559"/>
        <v>06:22:12.507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6</v>
      </c>
      <c r="CP3553" t="s">
        <v>119</v>
      </c>
      <c r="CQ3553">
        <v>465</v>
      </c>
      <c r="CR3553">
        <v>0</v>
      </c>
      <c r="CW3553">
        <v>4731529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 t="shared" si="1556"/>
        <v>08/29/2020 06:22:09.287</v>
      </c>
      <c r="C3554" t="str">
        <f t="shared" si="1539"/>
        <v>FFDFD3C0</v>
      </c>
      <c r="D3554" t="s">
        <v>121</v>
      </c>
      <c r="E3554">
        <v>13</v>
      </c>
      <c r="F3554">
        <v>1013</v>
      </c>
      <c r="G3554" t="s">
        <v>122</v>
      </c>
      <c r="J3554" t="s">
        <v>123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557"/>
        <v>06:22:12.500</v>
      </c>
      <c r="T3554" t="str">
        <f t="shared" si="1558"/>
        <v>06:22:12.000</v>
      </c>
      <c r="U3554" t="str">
        <f t="shared" si="1540"/>
        <v>A7E2E0</v>
      </c>
      <c r="V3554">
        <v>0</v>
      </c>
      <c r="W3554">
        <v>0</v>
      </c>
      <c r="X3554">
        <v>1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0</v>
      </c>
      <c r="AI3554" t="s">
        <v>1641</v>
      </c>
      <c r="AJ3554">
        <v>38.815727000000003</v>
      </c>
      <c r="AK3554" t="s">
        <v>1638</v>
      </c>
      <c r="AL3554">
        <v>-87.603156999999996</v>
      </c>
      <c r="AM3554">
        <v>100</v>
      </c>
      <c r="AN3554">
        <v>1600</v>
      </c>
      <c r="AO3554" t="s">
        <v>118</v>
      </c>
      <c r="AP3554">
        <v>-1</v>
      </c>
      <c r="AQ3554">
        <v>-107</v>
      </c>
      <c r="AR3554">
        <v>-1280</v>
      </c>
      <c r="AZ3554">
        <v>4552</v>
      </c>
      <c r="BA3554">
        <v>1</v>
      </c>
      <c r="BB3554" t="str">
        <f t="shared" si="1541"/>
        <v xml:space="preserve">N607SR  </v>
      </c>
      <c r="BC3554">
        <v>1</v>
      </c>
      <c r="BE3554">
        <v>0</v>
      </c>
      <c r="BF3554">
        <v>0</v>
      </c>
      <c r="BG3554">
        <v>0</v>
      </c>
      <c r="BH3554">
        <v>1425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 t="shared" si="1559"/>
        <v>06:22:12.507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6</v>
      </c>
      <c r="CP3554" t="s">
        <v>119</v>
      </c>
      <c r="CQ3554">
        <v>457</v>
      </c>
      <c r="CR3554">
        <v>0</v>
      </c>
      <c r="CW3554">
        <v>15526773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 t="shared" si="1556"/>
        <v>08/29/2020 06:22:09.287</v>
      </c>
      <c r="C3555" t="str">
        <f t="shared" si="1539"/>
        <v>FFDFD3C0</v>
      </c>
      <c r="D3555" t="s">
        <v>121</v>
      </c>
      <c r="E3555">
        <v>10</v>
      </c>
      <c r="F3555">
        <v>1010</v>
      </c>
      <c r="G3555" t="s">
        <v>114</v>
      </c>
      <c r="J3555" t="s">
        <v>123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557"/>
        <v>06:22:12.500</v>
      </c>
      <c r="T3555" t="str">
        <f t="shared" si="1558"/>
        <v>06:22:12.000</v>
      </c>
      <c r="U3555" t="str">
        <f t="shared" si="1540"/>
        <v>A7E2E0</v>
      </c>
      <c r="V3555">
        <v>0</v>
      </c>
      <c r="W3555">
        <v>0</v>
      </c>
      <c r="X3555">
        <v>1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0</v>
      </c>
      <c r="AI3555" t="s">
        <v>1641</v>
      </c>
      <c r="AJ3555">
        <v>38.815727000000003</v>
      </c>
      <c r="AK3555" t="s">
        <v>1638</v>
      </c>
      <c r="AL3555">
        <v>-87.603156999999996</v>
      </c>
      <c r="AM3555">
        <v>100</v>
      </c>
      <c r="AN3555">
        <v>1600</v>
      </c>
      <c r="AO3555" t="s">
        <v>118</v>
      </c>
      <c r="AP3555">
        <v>-1</v>
      </c>
      <c r="AQ3555">
        <v>-107</v>
      </c>
      <c r="AR3555">
        <v>-1280</v>
      </c>
      <c r="AZ3555">
        <v>4552</v>
      </c>
      <c r="BA3555">
        <v>1</v>
      </c>
      <c r="BB3555" t="str">
        <f t="shared" si="1541"/>
        <v xml:space="preserve">N607SR  </v>
      </c>
      <c r="BC3555">
        <v>1</v>
      </c>
      <c r="BE3555">
        <v>0</v>
      </c>
      <c r="BF3555">
        <v>0</v>
      </c>
      <c r="BG3555">
        <v>0</v>
      </c>
      <c r="BH3555">
        <v>1425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 t="shared" si="1559"/>
        <v>06:22:12.507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6</v>
      </c>
      <c r="CP3555" t="s">
        <v>119</v>
      </c>
      <c r="CQ3555">
        <v>457</v>
      </c>
      <c r="CR3555">
        <v>0</v>
      </c>
      <c r="CW3555">
        <v>15526773</v>
      </c>
      <c r="CY3555">
        <v>1</v>
      </c>
      <c r="CZ3555">
        <v>0</v>
      </c>
      <c r="DA3555">
        <v>1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 t="shared" ref="A3556:A3561" si="1560">"08/29/2020 06:22:10.373"</f>
        <v>08/29/2020 06:22:10.373</v>
      </c>
      <c r="C3556" t="str">
        <f t="shared" si="1539"/>
        <v>FFDFD3C0</v>
      </c>
      <c r="D3556" t="s">
        <v>121</v>
      </c>
      <c r="E3556">
        <v>10</v>
      </c>
      <c r="F3556">
        <v>1010</v>
      </c>
      <c r="G3556" t="s">
        <v>114</v>
      </c>
      <c r="J3556" t="s">
        <v>123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ref="S3556:S3561" si="1561">"06:22:13.633"</f>
        <v>06:22:13.633</v>
      </c>
      <c r="T3556" t="str">
        <f t="shared" ref="T3556:T3561" si="1562">"06:22:13.133"</f>
        <v>06:22:13.133</v>
      </c>
      <c r="U3556" t="str">
        <f t="shared" si="1540"/>
        <v>A7E2E0</v>
      </c>
      <c r="V3556">
        <v>0</v>
      </c>
      <c r="W3556">
        <v>0</v>
      </c>
      <c r="X3556">
        <v>1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0</v>
      </c>
      <c r="AI3556" t="s">
        <v>1642</v>
      </c>
      <c r="AJ3556">
        <v>38.815168999999997</v>
      </c>
      <c r="AK3556" t="s">
        <v>1632</v>
      </c>
      <c r="AL3556">
        <v>-87.603221000000005</v>
      </c>
      <c r="AM3556">
        <v>100</v>
      </c>
      <c r="AN3556">
        <v>1600</v>
      </c>
      <c r="AO3556" t="s">
        <v>118</v>
      </c>
      <c r="AP3556">
        <v>-2</v>
      </c>
      <c r="AQ3556">
        <v>-107</v>
      </c>
      <c r="AR3556">
        <v>-1280</v>
      </c>
      <c r="AZ3556">
        <v>4552</v>
      </c>
      <c r="BA3556">
        <v>1</v>
      </c>
      <c r="BB3556" t="str">
        <f t="shared" si="1541"/>
        <v xml:space="preserve">N607SR  </v>
      </c>
      <c r="BC3556">
        <v>1</v>
      </c>
      <c r="BE3556">
        <v>0</v>
      </c>
      <c r="BF3556">
        <v>0</v>
      </c>
      <c r="BG3556">
        <v>0</v>
      </c>
      <c r="BH3556">
        <v>1400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 t="shared" ref="BW3556:BW3561" si="1563">"06:22:13.636"</f>
        <v>06:22:13.636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6</v>
      </c>
      <c r="CP3556" t="s">
        <v>119</v>
      </c>
      <c r="CQ3556">
        <v>457</v>
      </c>
      <c r="CR3556">
        <v>0</v>
      </c>
      <c r="CW3556">
        <v>15526809</v>
      </c>
      <c r="CY3556">
        <v>1</v>
      </c>
      <c r="CZ3556">
        <v>0</v>
      </c>
      <c r="DA3556">
        <v>0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 t="shared" si="1560"/>
        <v>08/29/2020 06:22:10.373</v>
      </c>
      <c r="C3557" t="str">
        <f t="shared" si="1539"/>
        <v>FFDFD3C0</v>
      </c>
      <c r="D3557" t="s">
        <v>121</v>
      </c>
      <c r="E3557">
        <v>13</v>
      </c>
      <c r="F3557">
        <v>1013</v>
      </c>
      <c r="G3557" t="s">
        <v>122</v>
      </c>
      <c r="J3557" t="s">
        <v>123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561"/>
        <v>06:22:13.633</v>
      </c>
      <c r="T3557" t="str">
        <f t="shared" si="1562"/>
        <v>06:22:13.133</v>
      </c>
      <c r="U3557" t="str">
        <f t="shared" si="1540"/>
        <v>A7E2E0</v>
      </c>
      <c r="V3557">
        <v>0</v>
      </c>
      <c r="W3557">
        <v>0</v>
      </c>
      <c r="X3557">
        <v>1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0</v>
      </c>
      <c r="AI3557" t="s">
        <v>1642</v>
      </c>
      <c r="AJ3557">
        <v>38.815168999999997</v>
      </c>
      <c r="AK3557" t="s">
        <v>1632</v>
      </c>
      <c r="AL3557">
        <v>-87.603221000000005</v>
      </c>
      <c r="AM3557">
        <v>100</v>
      </c>
      <c r="AN3557">
        <v>1600</v>
      </c>
      <c r="AO3557" t="s">
        <v>118</v>
      </c>
      <c r="AP3557">
        <v>-2</v>
      </c>
      <c r="AQ3557">
        <v>-107</v>
      </c>
      <c r="AR3557">
        <v>-1280</v>
      </c>
      <c r="AZ3557">
        <v>4552</v>
      </c>
      <c r="BA3557">
        <v>1</v>
      </c>
      <c r="BB3557" t="str">
        <f t="shared" si="1541"/>
        <v xml:space="preserve">N607SR  </v>
      </c>
      <c r="BC3557">
        <v>1</v>
      </c>
      <c r="BE3557">
        <v>0</v>
      </c>
      <c r="BF3557">
        <v>0</v>
      </c>
      <c r="BG3557">
        <v>0</v>
      </c>
      <c r="BH3557">
        <v>1400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 t="shared" si="1563"/>
        <v>06:22:13.636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6</v>
      </c>
      <c r="CP3557" t="s">
        <v>119</v>
      </c>
      <c r="CQ3557">
        <v>457</v>
      </c>
      <c r="CR3557">
        <v>0</v>
      </c>
      <c r="CW3557">
        <v>15526809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 t="shared" si="1560"/>
        <v>08/29/2020 06:22:10.373</v>
      </c>
      <c r="C3558" t="str">
        <f t="shared" si="1539"/>
        <v>FFDFD3C0</v>
      </c>
      <c r="D3558" t="s">
        <v>113</v>
      </c>
      <c r="E3558">
        <v>5</v>
      </c>
      <c r="H3558">
        <v>163</v>
      </c>
      <c r="I3558" t="s">
        <v>114</v>
      </c>
      <c r="J3558" t="s">
        <v>115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561"/>
        <v>06:22:13.633</v>
      </c>
      <c r="T3558" t="str">
        <f t="shared" si="1562"/>
        <v>06:22:13.133</v>
      </c>
      <c r="U3558" t="str">
        <f t="shared" si="1540"/>
        <v>A7E2E0</v>
      </c>
      <c r="V3558">
        <v>0</v>
      </c>
      <c r="W3558">
        <v>0</v>
      </c>
      <c r="X3558">
        <v>1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0</v>
      </c>
      <c r="AI3558" t="s">
        <v>1642</v>
      </c>
      <c r="AJ3558">
        <v>38.815168999999997</v>
      </c>
      <c r="AK3558" t="s">
        <v>1632</v>
      </c>
      <c r="AL3558">
        <v>-87.603221000000005</v>
      </c>
      <c r="AM3558">
        <v>100</v>
      </c>
      <c r="AN3558">
        <v>1600</v>
      </c>
      <c r="AO3558" t="s">
        <v>118</v>
      </c>
      <c r="AP3558">
        <v>-2</v>
      </c>
      <c r="AQ3558">
        <v>-107</v>
      </c>
      <c r="AR3558">
        <v>-1280</v>
      </c>
      <c r="AZ3558">
        <v>4552</v>
      </c>
      <c r="BA3558">
        <v>1</v>
      </c>
      <c r="BB3558" t="str">
        <f t="shared" si="1541"/>
        <v xml:space="preserve">N607SR  </v>
      </c>
      <c r="BC3558">
        <v>1</v>
      </c>
      <c r="BE3558">
        <v>0</v>
      </c>
      <c r="BF3558">
        <v>0</v>
      </c>
      <c r="BG3558">
        <v>0</v>
      </c>
      <c r="BH3558">
        <v>1400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 t="shared" si="1563"/>
        <v>06:22:13.636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6</v>
      </c>
      <c r="CP3558" t="s">
        <v>119</v>
      </c>
      <c r="CQ3558">
        <v>457</v>
      </c>
      <c r="CR3558">
        <v>0</v>
      </c>
      <c r="CW3558">
        <v>15526809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 t="shared" si="1560"/>
        <v>08/29/2020 06:22:10.373</v>
      </c>
      <c r="C3559" t="str">
        <f t="shared" si="1539"/>
        <v>FFDFD3C0</v>
      </c>
      <c r="D3559" t="s">
        <v>939</v>
      </c>
      <c r="E3559">
        <v>10</v>
      </c>
      <c r="H3559">
        <v>79</v>
      </c>
      <c r="I3559" t="s">
        <v>940</v>
      </c>
      <c r="J3559" t="s">
        <v>130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561"/>
        <v>06:22:13.633</v>
      </c>
      <c r="T3559" t="str">
        <f t="shared" si="1562"/>
        <v>06:22:13.133</v>
      </c>
      <c r="U3559" t="str">
        <f t="shared" si="1540"/>
        <v>A7E2E0</v>
      </c>
      <c r="V3559">
        <v>0</v>
      </c>
      <c r="W3559">
        <v>0</v>
      </c>
      <c r="X3559">
        <v>1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0</v>
      </c>
      <c r="AI3559" t="s">
        <v>1642</v>
      </c>
      <c r="AJ3559">
        <v>38.815168999999997</v>
      </c>
      <c r="AK3559" t="s">
        <v>1632</v>
      </c>
      <c r="AL3559">
        <v>-87.603221000000005</v>
      </c>
      <c r="AM3559">
        <v>100</v>
      </c>
      <c r="AN3559">
        <v>1600</v>
      </c>
      <c r="AO3559" t="s">
        <v>118</v>
      </c>
      <c r="AP3559">
        <v>-2</v>
      </c>
      <c r="AQ3559">
        <v>-107</v>
      </c>
      <c r="AR3559">
        <v>-1280</v>
      </c>
      <c r="AZ3559">
        <v>4552</v>
      </c>
      <c r="BA3559">
        <v>1</v>
      </c>
      <c r="BB3559" t="str">
        <f t="shared" si="1541"/>
        <v xml:space="preserve">N607SR  </v>
      </c>
      <c r="BC3559">
        <v>1</v>
      </c>
      <c r="BE3559">
        <v>0</v>
      </c>
      <c r="BF3559">
        <v>0</v>
      </c>
      <c r="BG3559">
        <v>0</v>
      </c>
      <c r="BH3559">
        <v>1400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 t="shared" si="1563"/>
        <v>06:22:13.636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5</v>
      </c>
      <c r="CP3559" t="s">
        <v>119</v>
      </c>
      <c r="CQ3559">
        <v>465</v>
      </c>
      <c r="CR3559">
        <v>0</v>
      </c>
      <c r="CW3559">
        <v>4731564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 t="shared" si="1560"/>
        <v>08/29/2020 06:22:10.373</v>
      </c>
      <c r="C3560" t="str">
        <f t="shared" si="1539"/>
        <v>FFDFD3C0</v>
      </c>
      <c r="D3560" t="s">
        <v>128</v>
      </c>
      <c r="E3560">
        <v>5</v>
      </c>
      <c r="H3560">
        <v>241</v>
      </c>
      <c r="I3560" t="s">
        <v>129</v>
      </c>
      <c r="J3560" t="s">
        <v>130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si="1561"/>
        <v>06:22:13.633</v>
      </c>
      <c r="T3560" t="str">
        <f t="shared" si="1562"/>
        <v>06:22:13.133</v>
      </c>
      <c r="U3560" t="str">
        <f t="shared" si="1540"/>
        <v>A7E2E0</v>
      </c>
      <c r="V3560">
        <v>0</v>
      </c>
      <c r="W3560">
        <v>0</v>
      </c>
      <c r="X3560">
        <v>1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0</v>
      </c>
      <c r="AI3560" t="s">
        <v>1642</v>
      </c>
      <c r="AJ3560">
        <v>38.815168999999997</v>
      </c>
      <c r="AK3560" t="s">
        <v>1632</v>
      </c>
      <c r="AL3560">
        <v>-87.603221000000005</v>
      </c>
      <c r="AM3560">
        <v>100</v>
      </c>
      <c r="AN3560">
        <v>1600</v>
      </c>
      <c r="AO3560" t="s">
        <v>118</v>
      </c>
      <c r="AP3560">
        <v>-2</v>
      </c>
      <c r="AQ3560">
        <v>-107</v>
      </c>
      <c r="AR3560">
        <v>-1280</v>
      </c>
      <c r="AZ3560">
        <v>4552</v>
      </c>
      <c r="BA3560">
        <v>1</v>
      </c>
      <c r="BB3560" t="str">
        <f t="shared" si="1541"/>
        <v xml:space="preserve">N607SR  </v>
      </c>
      <c r="BC3560">
        <v>1</v>
      </c>
      <c r="BE3560">
        <v>0</v>
      </c>
      <c r="BF3560">
        <v>0</v>
      </c>
      <c r="BG3560">
        <v>0</v>
      </c>
      <c r="BH3560">
        <v>1400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 t="shared" si="1563"/>
        <v>06:22:13.636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6</v>
      </c>
      <c r="CP3560" t="s">
        <v>119</v>
      </c>
      <c r="CQ3560">
        <v>457</v>
      </c>
      <c r="CR3560">
        <v>0</v>
      </c>
      <c r="CW3560">
        <v>15526809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 t="shared" si="1560"/>
        <v>08/29/2020 06:22:10.373</v>
      </c>
      <c r="C3561" t="str">
        <f t="shared" si="1539"/>
        <v>FFDFD3C0</v>
      </c>
      <c r="D3561" t="s">
        <v>121</v>
      </c>
      <c r="E3561">
        <v>11</v>
      </c>
      <c r="F3561">
        <v>1011</v>
      </c>
      <c r="G3561" t="s">
        <v>125</v>
      </c>
      <c r="J3561" t="s">
        <v>123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si="1561"/>
        <v>06:22:13.633</v>
      </c>
      <c r="T3561" t="str">
        <f t="shared" si="1562"/>
        <v>06:22:13.133</v>
      </c>
      <c r="U3561" t="str">
        <f t="shared" si="1540"/>
        <v>A7E2E0</v>
      </c>
      <c r="V3561">
        <v>0</v>
      </c>
      <c r="W3561">
        <v>0</v>
      </c>
      <c r="X3561">
        <v>1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0</v>
      </c>
      <c r="AI3561" t="s">
        <v>1642</v>
      </c>
      <c r="AJ3561">
        <v>38.815168999999997</v>
      </c>
      <c r="AK3561" t="s">
        <v>1632</v>
      </c>
      <c r="AL3561">
        <v>-87.603221000000005</v>
      </c>
      <c r="AM3561">
        <v>100</v>
      </c>
      <c r="AN3561">
        <v>1600</v>
      </c>
      <c r="AO3561" t="s">
        <v>118</v>
      </c>
      <c r="AP3561">
        <v>-2</v>
      </c>
      <c r="AQ3561">
        <v>-107</v>
      </c>
      <c r="AR3561">
        <v>-1280</v>
      </c>
      <c r="AZ3561">
        <v>4552</v>
      </c>
      <c r="BA3561">
        <v>1</v>
      </c>
      <c r="BB3561" t="str">
        <f t="shared" si="1541"/>
        <v xml:space="preserve">N607SR  </v>
      </c>
      <c r="BC3561">
        <v>1</v>
      </c>
      <c r="BE3561">
        <v>0</v>
      </c>
      <c r="BF3561">
        <v>0</v>
      </c>
      <c r="BG3561">
        <v>0</v>
      </c>
      <c r="BH3561">
        <v>1400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 t="shared" si="1563"/>
        <v>06:22:13.636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6</v>
      </c>
      <c r="CP3561" t="s">
        <v>119</v>
      </c>
      <c r="CQ3561">
        <v>457</v>
      </c>
      <c r="CR3561">
        <v>0</v>
      </c>
      <c r="CW3561">
        <v>15526809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 t="shared" ref="A3562:A3567" si="1564">"08/29/2020 06:22:11.278"</f>
        <v>08/29/2020 06:22:11.278</v>
      </c>
      <c r="C3562" t="str">
        <f t="shared" si="1539"/>
        <v>FFDFD3C0</v>
      </c>
      <c r="D3562" t="s">
        <v>121</v>
      </c>
      <c r="E3562">
        <v>11</v>
      </c>
      <c r="F3562">
        <v>1011</v>
      </c>
      <c r="G3562" t="s">
        <v>125</v>
      </c>
      <c r="J3562" t="s">
        <v>123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ref="S3562:S3567" si="1565">"06:22:14.477"</f>
        <v>06:22:14.477</v>
      </c>
      <c r="T3562" t="str">
        <f>"06:22:14.177"</f>
        <v>06:22:14.177</v>
      </c>
      <c r="U3562" t="str">
        <f t="shared" si="1540"/>
        <v>A7E2E0</v>
      </c>
      <c r="V3562">
        <v>0</v>
      </c>
      <c r="W3562">
        <v>0</v>
      </c>
      <c r="X3562">
        <v>1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0</v>
      </c>
      <c r="AI3562" t="s">
        <v>1643</v>
      </c>
      <c r="AJ3562">
        <v>38.81474</v>
      </c>
      <c r="AK3562" t="s">
        <v>1632</v>
      </c>
      <c r="AL3562">
        <v>-87.603221000000005</v>
      </c>
      <c r="AM3562">
        <v>100</v>
      </c>
      <c r="AN3562">
        <v>1600</v>
      </c>
      <c r="AO3562" t="s">
        <v>118</v>
      </c>
      <c r="AP3562">
        <v>-3</v>
      </c>
      <c r="AQ3562">
        <v>-107</v>
      </c>
      <c r="AR3562">
        <v>-1344</v>
      </c>
      <c r="AZ3562">
        <v>4552</v>
      </c>
      <c r="BA3562">
        <v>1</v>
      </c>
      <c r="BB3562" t="str">
        <f t="shared" si="1541"/>
        <v xml:space="preserve">N607SR  </v>
      </c>
      <c r="BC3562">
        <v>1</v>
      </c>
      <c r="BE3562">
        <v>0</v>
      </c>
      <c r="BF3562">
        <v>0</v>
      </c>
      <c r="BG3562">
        <v>0</v>
      </c>
      <c r="BH3562">
        <v>1375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 t="shared" ref="BW3562:BW3567" si="1566">"06:22:14.483"</f>
        <v>06:22:14.483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6</v>
      </c>
      <c r="CP3562" t="s">
        <v>119</v>
      </c>
      <c r="CQ3562">
        <v>457</v>
      </c>
      <c r="CR3562">
        <v>0</v>
      </c>
      <c r="CW3562">
        <v>15526835</v>
      </c>
      <c r="CY3562">
        <v>1</v>
      </c>
      <c r="CZ3562">
        <v>0</v>
      </c>
      <c r="DA3562">
        <v>0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 t="shared" si="1564"/>
        <v>08/29/2020 06:22:11.278</v>
      </c>
      <c r="C3563" t="str">
        <f t="shared" si="1539"/>
        <v>FFDFD3C0</v>
      </c>
      <c r="D3563" t="s">
        <v>939</v>
      </c>
      <c r="E3563">
        <v>10</v>
      </c>
      <c r="H3563">
        <v>79</v>
      </c>
      <c r="I3563" t="s">
        <v>940</v>
      </c>
      <c r="J3563" t="s">
        <v>130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565"/>
        <v>06:22:14.477</v>
      </c>
      <c r="U3563" t="str">
        <f t="shared" si="1540"/>
        <v>A7E2E0</v>
      </c>
      <c r="V3563">
        <v>0</v>
      </c>
      <c r="W3563">
        <v>0</v>
      </c>
      <c r="X3563">
        <v>1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0</v>
      </c>
      <c r="AI3563" t="s">
        <v>1643</v>
      </c>
      <c r="AJ3563">
        <v>38.81474</v>
      </c>
      <c r="AK3563" t="s">
        <v>1632</v>
      </c>
      <c r="AL3563">
        <v>-87.603221000000005</v>
      </c>
      <c r="AM3563">
        <v>100</v>
      </c>
      <c r="AN3563">
        <v>1600</v>
      </c>
      <c r="AO3563" t="s">
        <v>118</v>
      </c>
      <c r="AP3563">
        <v>-3</v>
      </c>
      <c r="AQ3563">
        <v>-107</v>
      </c>
      <c r="AR3563">
        <v>-1344</v>
      </c>
      <c r="AZ3563">
        <v>4552</v>
      </c>
      <c r="BA3563">
        <v>1</v>
      </c>
      <c r="BB3563" t="str">
        <f t="shared" si="1541"/>
        <v xml:space="preserve">N607SR  </v>
      </c>
      <c r="BC3563">
        <v>1</v>
      </c>
      <c r="BE3563">
        <v>0</v>
      </c>
      <c r="BF3563">
        <v>0</v>
      </c>
      <c r="BG3563">
        <v>0</v>
      </c>
      <c r="BH3563">
        <v>1350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 t="shared" si="1566"/>
        <v>06:22:14.483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5</v>
      </c>
      <c r="CP3563" t="s">
        <v>119</v>
      </c>
      <c r="CQ3563">
        <v>465</v>
      </c>
      <c r="CR3563">
        <v>0</v>
      </c>
      <c r="CW3563">
        <v>4731591</v>
      </c>
      <c r="CY3563">
        <v>1</v>
      </c>
      <c r="CZ3563">
        <v>0</v>
      </c>
      <c r="DA3563">
        <v>1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 t="shared" si="1564"/>
        <v>08/29/2020 06:22:11.278</v>
      </c>
      <c r="C3564" t="str">
        <f t="shared" si="1539"/>
        <v>FFDFD3C0</v>
      </c>
      <c r="D3564" t="s">
        <v>113</v>
      </c>
      <c r="E3564">
        <v>5</v>
      </c>
      <c r="H3564">
        <v>163</v>
      </c>
      <c r="I3564" t="s">
        <v>114</v>
      </c>
      <c r="J3564" t="s">
        <v>115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si="1565"/>
        <v>06:22:14.477</v>
      </c>
      <c r="U3564" t="str">
        <f t="shared" si="1540"/>
        <v>A7E2E0</v>
      </c>
      <c r="V3564">
        <v>0</v>
      </c>
      <c r="W3564">
        <v>0</v>
      </c>
      <c r="X3564">
        <v>1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0</v>
      </c>
      <c r="AI3564" t="s">
        <v>1643</v>
      </c>
      <c r="AJ3564">
        <v>38.81474</v>
      </c>
      <c r="AK3564" t="s">
        <v>1632</v>
      </c>
      <c r="AL3564">
        <v>-87.603221000000005</v>
      </c>
      <c r="AM3564">
        <v>100</v>
      </c>
      <c r="AN3564">
        <v>1600</v>
      </c>
      <c r="AO3564" t="s">
        <v>118</v>
      </c>
      <c r="AP3564">
        <v>-3</v>
      </c>
      <c r="AQ3564">
        <v>-107</v>
      </c>
      <c r="AR3564">
        <v>-1344</v>
      </c>
      <c r="AZ3564">
        <v>4552</v>
      </c>
      <c r="BA3564">
        <v>1</v>
      </c>
      <c r="BB3564" t="str">
        <f t="shared" si="1541"/>
        <v xml:space="preserve">N607SR  </v>
      </c>
      <c r="BC3564">
        <v>1</v>
      </c>
      <c r="BE3564">
        <v>0</v>
      </c>
      <c r="BF3564">
        <v>0</v>
      </c>
      <c r="BG3564">
        <v>0</v>
      </c>
      <c r="BH3564">
        <v>1350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 t="shared" si="1566"/>
        <v>06:22:14.483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5</v>
      </c>
      <c r="CP3564" t="s">
        <v>119</v>
      </c>
      <c r="CQ3564">
        <v>465</v>
      </c>
      <c r="CR3564">
        <v>0</v>
      </c>
      <c r="CW3564">
        <v>4731591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 t="shared" si="1564"/>
        <v>08/29/2020 06:22:11.278</v>
      </c>
      <c r="C3565" t="str">
        <f t="shared" si="1539"/>
        <v>FFDFD3C0</v>
      </c>
      <c r="D3565" t="s">
        <v>128</v>
      </c>
      <c r="E3565">
        <v>5</v>
      </c>
      <c r="H3565">
        <v>241</v>
      </c>
      <c r="I3565" t="s">
        <v>129</v>
      </c>
      <c r="J3565" t="s">
        <v>130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565"/>
        <v>06:22:14.477</v>
      </c>
      <c r="U3565" t="str">
        <f t="shared" si="1540"/>
        <v>A7E2E0</v>
      </c>
      <c r="V3565">
        <v>0</v>
      </c>
      <c r="W3565">
        <v>0</v>
      </c>
      <c r="X3565">
        <v>1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0</v>
      </c>
      <c r="AI3565" t="s">
        <v>1643</v>
      </c>
      <c r="AJ3565">
        <v>38.81474</v>
      </c>
      <c r="AK3565" t="s">
        <v>1632</v>
      </c>
      <c r="AL3565">
        <v>-87.603221000000005</v>
      </c>
      <c r="AM3565">
        <v>100</v>
      </c>
      <c r="AN3565">
        <v>1600</v>
      </c>
      <c r="AO3565" t="s">
        <v>118</v>
      </c>
      <c r="AP3565">
        <v>-3</v>
      </c>
      <c r="AQ3565">
        <v>-107</v>
      </c>
      <c r="AR3565">
        <v>-1344</v>
      </c>
      <c r="AZ3565">
        <v>4552</v>
      </c>
      <c r="BA3565">
        <v>1</v>
      </c>
      <c r="BB3565" t="str">
        <f t="shared" si="1541"/>
        <v xml:space="preserve">N607SR  </v>
      </c>
      <c r="BC3565">
        <v>1</v>
      </c>
      <c r="BE3565">
        <v>0</v>
      </c>
      <c r="BF3565">
        <v>0</v>
      </c>
      <c r="BG3565">
        <v>0</v>
      </c>
      <c r="BH3565">
        <v>1350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 t="shared" si="1566"/>
        <v>06:22:14.483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5</v>
      </c>
      <c r="CP3565" t="s">
        <v>119</v>
      </c>
      <c r="CQ3565">
        <v>465</v>
      </c>
      <c r="CR3565">
        <v>0</v>
      </c>
      <c r="CW3565">
        <v>4731591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 t="shared" si="1564"/>
        <v>08/29/2020 06:22:11.278</v>
      </c>
      <c r="C3566" t="str">
        <f t="shared" si="1539"/>
        <v>FFDFD3C0</v>
      </c>
      <c r="D3566" t="s">
        <v>121</v>
      </c>
      <c r="E3566">
        <v>13</v>
      </c>
      <c r="F3566">
        <v>1013</v>
      </c>
      <c r="G3566" t="s">
        <v>122</v>
      </c>
      <c r="J3566" t="s">
        <v>123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565"/>
        <v>06:22:14.477</v>
      </c>
      <c r="U3566" t="str">
        <f t="shared" si="1540"/>
        <v>A7E2E0</v>
      </c>
      <c r="V3566">
        <v>0</v>
      </c>
      <c r="W3566">
        <v>0</v>
      </c>
      <c r="X3566">
        <v>1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0</v>
      </c>
      <c r="AI3566" t="s">
        <v>1643</v>
      </c>
      <c r="AJ3566">
        <v>38.81474</v>
      </c>
      <c r="AK3566" t="s">
        <v>1632</v>
      </c>
      <c r="AL3566">
        <v>-87.603221000000005</v>
      </c>
      <c r="AM3566">
        <v>100</v>
      </c>
      <c r="AN3566">
        <v>1600</v>
      </c>
      <c r="AO3566" t="s">
        <v>118</v>
      </c>
      <c r="AP3566">
        <v>-3</v>
      </c>
      <c r="AQ3566">
        <v>-107</v>
      </c>
      <c r="AR3566">
        <v>-1344</v>
      </c>
      <c r="AZ3566">
        <v>4552</v>
      </c>
      <c r="BA3566">
        <v>1</v>
      </c>
      <c r="BB3566" t="str">
        <f t="shared" si="1541"/>
        <v xml:space="preserve">N607SR  </v>
      </c>
      <c r="BC3566">
        <v>1</v>
      </c>
      <c r="BE3566">
        <v>0</v>
      </c>
      <c r="BF3566">
        <v>0</v>
      </c>
      <c r="BG3566">
        <v>0</v>
      </c>
      <c r="BH3566">
        <v>1350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 t="shared" si="1566"/>
        <v>06:22:14.483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5</v>
      </c>
      <c r="CP3566" t="s">
        <v>119</v>
      </c>
      <c r="CQ3566">
        <v>465</v>
      </c>
      <c r="CR3566">
        <v>0</v>
      </c>
      <c r="CW3566">
        <v>4731591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 t="shared" si="1564"/>
        <v>08/29/2020 06:22:11.278</v>
      </c>
      <c r="C3567" t="str">
        <f t="shared" si="1539"/>
        <v>FFDFD3C0</v>
      </c>
      <c r="D3567" t="s">
        <v>121</v>
      </c>
      <c r="E3567">
        <v>10</v>
      </c>
      <c r="F3567">
        <v>1010</v>
      </c>
      <c r="G3567" t="s">
        <v>114</v>
      </c>
      <c r="J3567" t="s">
        <v>123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565"/>
        <v>06:22:14.477</v>
      </c>
      <c r="U3567" t="str">
        <f t="shared" si="1540"/>
        <v>A7E2E0</v>
      </c>
      <c r="V3567">
        <v>0</v>
      </c>
      <c r="W3567">
        <v>0</v>
      </c>
      <c r="X3567">
        <v>1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0</v>
      </c>
      <c r="AI3567" t="s">
        <v>1643</v>
      </c>
      <c r="AJ3567">
        <v>38.81474</v>
      </c>
      <c r="AK3567" t="s">
        <v>1632</v>
      </c>
      <c r="AL3567">
        <v>-87.603221000000005</v>
      </c>
      <c r="AM3567">
        <v>100</v>
      </c>
      <c r="AN3567">
        <v>1600</v>
      </c>
      <c r="AO3567" t="s">
        <v>118</v>
      </c>
      <c r="AP3567">
        <v>-3</v>
      </c>
      <c r="AQ3567">
        <v>-107</v>
      </c>
      <c r="AR3567">
        <v>-1344</v>
      </c>
      <c r="AZ3567">
        <v>4552</v>
      </c>
      <c r="BA3567">
        <v>1</v>
      </c>
      <c r="BB3567" t="str">
        <f t="shared" si="1541"/>
        <v xml:space="preserve">N607SR  </v>
      </c>
      <c r="BC3567">
        <v>1</v>
      </c>
      <c r="BE3567">
        <v>0</v>
      </c>
      <c r="BF3567">
        <v>0</v>
      </c>
      <c r="BG3567">
        <v>0</v>
      </c>
      <c r="BH3567">
        <v>1350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 t="shared" si="1566"/>
        <v>06:22:14.483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5</v>
      </c>
      <c r="CP3567" t="s">
        <v>119</v>
      </c>
      <c r="CQ3567">
        <v>465</v>
      </c>
      <c r="CR3567">
        <v>0</v>
      </c>
      <c r="CW3567">
        <v>4731591</v>
      </c>
      <c r="CY3567">
        <v>1</v>
      </c>
      <c r="CZ3567">
        <v>0</v>
      </c>
      <c r="DA3567">
        <v>1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 t="shared" ref="A3568:A3573" si="1567">"08/29/2020 06:22:12.327"</f>
        <v>08/29/2020 06:22:12.327</v>
      </c>
      <c r="C3568" t="str">
        <f t="shared" si="1539"/>
        <v>FFDFD3C0</v>
      </c>
      <c r="D3568" t="s">
        <v>113</v>
      </c>
      <c r="E3568">
        <v>5</v>
      </c>
      <c r="H3568">
        <v>163</v>
      </c>
      <c r="I3568" t="s">
        <v>114</v>
      </c>
      <c r="J3568" t="s">
        <v>115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ref="S3568:S3573" si="1568">"06:22:15.578"</f>
        <v>06:22:15.578</v>
      </c>
      <c r="T3568" t="str">
        <f t="shared" ref="T3568:T3573" si="1569">"06:22:15.078"</f>
        <v>06:22:15.078</v>
      </c>
      <c r="U3568" t="str">
        <f t="shared" si="1540"/>
        <v>A7E2E0</v>
      </c>
      <c r="V3568">
        <v>0</v>
      </c>
      <c r="W3568">
        <v>0</v>
      </c>
      <c r="X3568">
        <v>1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0</v>
      </c>
      <c r="AI3568" t="s">
        <v>1644</v>
      </c>
      <c r="AJ3568">
        <v>38.814203999999997</v>
      </c>
      <c r="AK3568" t="s">
        <v>1629</v>
      </c>
      <c r="AL3568">
        <v>-87.603241999999995</v>
      </c>
      <c r="AM3568">
        <v>100</v>
      </c>
      <c r="AN3568">
        <v>1600</v>
      </c>
      <c r="AO3568" t="s">
        <v>118</v>
      </c>
      <c r="AP3568">
        <v>-4</v>
      </c>
      <c r="AQ3568">
        <v>-107</v>
      </c>
      <c r="AR3568">
        <v>-1344</v>
      </c>
      <c r="AZ3568">
        <v>4552</v>
      </c>
      <c r="BA3568">
        <v>1</v>
      </c>
      <c r="BB3568" t="str">
        <f t="shared" si="1541"/>
        <v xml:space="preserve">N607SR  </v>
      </c>
      <c r="BC3568">
        <v>1</v>
      </c>
      <c r="BE3568">
        <v>0</v>
      </c>
      <c r="BF3568">
        <v>0</v>
      </c>
      <c r="BG3568">
        <v>0</v>
      </c>
      <c r="BH3568">
        <v>1350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 t="shared" ref="BW3568:BW3573" si="1570">"06:22:15.579"</f>
        <v>06:22:15.579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6</v>
      </c>
      <c r="CP3568" t="s">
        <v>119</v>
      </c>
      <c r="CQ3568">
        <v>457</v>
      </c>
      <c r="CR3568">
        <v>0</v>
      </c>
      <c r="CW3568">
        <v>15526870</v>
      </c>
      <c r="CY3568">
        <v>1</v>
      </c>
      <c r="CZ3568">
        <v>0</v>
      </c>
      <c r="DA3568">
        <v>0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 t="shared" si="1567"/>
        <v>08/29/2020 06:22:12.327</v>
      </c>
      <c r="C3569" t="str">
        <f t="shared" si="1539"/>
        <v>FFDFD3C0</v>
      </c>
      <c r="D3569" t="s">
        <v>128</v>
      </c>
      <c r="E3569">
        <v>5</v>
      </c>
      <c r="H3569">
        <v>241</v>
      </c>
      <c r="I3569" t="s">
        <v>129</v>
      </c>
      <c r="J3569" t="s">
        <v>130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568"/>
        <v>06:22:15.578</v>
      </c>
      <c r="T3569" t="str">
        <f t="shared" si="1569"/>
        <v>06:22:15.078</v>
      </c>
      <c r="U3569" t="str">
        <f t="shared" si="1540"/>
        <v>A7E2E0</v>
      </c>
      <c r="V3569">
        <v>0</v>
      </c>
      <c r="W3569">
        <v>0</v>
      </c>
      <c r="X3569">
        <v>1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0</v>
      </c>
      <c r="AI3569" t="s">
        <v>1644</v>
      </c>
      <c r="AJ3569">
        <v>38.814203999999997</v>
      </c>
      <c r="AK3569" t="s">
        <v>1629</v>
      </c>
      <c r="AL3569">
        <v>-87.603241999999995</v>
      </c>
      <c r="AM3569">
        <v>100</v>
      </c>
      <c r="AN3569">
        <v>1600</v>
      </c>
      <c r="AO3569" t="s">
        <v>118</v>
      </c>
      <c r="AP3569">
        <v>-4</v>
      </c>
      <c r="AQ3569">
        <v>-107</v>
      </c>
      <c r="AR3569">
        <v>-1344</v>
      </c>
      <c r="AZ3569">
        <v>4552</v>
      </c>
      <c r="BA3569">
        <v>1</v>
      </c>
      <c r="BB3569" t="str">
        <f t="shared" si="1541"/>
        <v xml:space="preserve">N607SR  </v>
      </c>
      <c r="BC3569">
        <v>1</v>
      </c>
      <c r="BE3569">
        <v>0</v>
      </c>
      <c r="BF3569">
        <v>0</v>
      </c>
      <c r="BG3569">
        <v>0</v>
      </c>
      <c r="BH3569">
        <v>1350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 t="shared" si="1570"/>
        <v>06:22:15.579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6</v>
      </c>
      <c r="CP3569" t="s">
        <v>119</v>
      </c>
      <c r="CQ3569">
        <v>457</v>
      </c>
      <c r="CR3569">
        <v>0</v>
      </c>
      <c r="CW3569">
        <v>15526870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 t="shared" si="1567"/>
        <v>08/29/2020 06:22:12.327</v>
      </c>
      <c r="C3570" t="str">
        <f t="shared" si="1539"/>
        <v>FFDFD3C0</v>
      </c>
      <c r="D3570" t="s">
        <v>121</v>
      </c>
      <c r="E3570">
        <v>11</v>
      </c>
      <c r="F3570">
        <v>1011</v>
      </c>
      <c r="G3570" t="s">
        <v>125</v>
      </c>
      <c r="J3570" t="s">
        <v>123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 t="shared" si="1568"/>
        <v>06:22:15.578</v>
      </c>
      <c r="T3570" t="str">
        <f t="shared" si="1569"/>
        <v>06:22:15.078</v>
      </c>
      <c r="U3570" t="str">
        <f t="shared" si="1540"/>
        <v>A7E2E0</v>
      </c>
      <c r="V3570">
        <v>0</v>
      </c>
      <c r="W3570">
        <v>0</v>
      </c>
      <c r="X3570">
        <v>1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0</v>
      </c>
      <c r="AI3570" t="s">
        <v>1644</v>
      </c>
      <c r="AJ3570">
        <v>38.814203999999997</v>
      </c>
      <c r="AK3570" t="s">
        <v>1629</v>
      </c>
      <c r="AL3570">
        <v>-87.603241999999995</v>
      </c>
      <c r="AM3570">
        <v>100</v>
      </c>
      <c r="AN3570">
        <v>1600</v>
      </c>
      <c r="AO3570" t="s">
        <v>118</v>
      </c>
      <c r="AP3570">
        <v>-4</v>
      </c>
      <c r="AQ3570">
        <v>-107</v>
      </c>
      <c r="AR3570">
        <v>-1344</v>
      </c>
      <c r="AZ3570">
        <v>4552</v>
      </c>
      <c r="BA3570">
        <v>1</v>
      </c>
      <c r="BB3570" t="str">
        <f t="shared" si="1541"/>
        <v xml:space="preserve">N607SR  </v>
      </c>
      <c r="BC3570">
        <v>1</v>
      </c>
      <c r="BE3570">
        <v>0</v>
      </c>
      <c r="BF3570">
        <v>0</v>
      </c>
      <c r="BG3570">
        <v>0</v>
      </c>
      <c r="BH3570">
        <v>1350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 t="shared" si="1570"/>
        <v>06:22:15.579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6</v>
      </c>
      <c r="CP3570" t="s">
        <v>119</v>
      </c>
      <c r="CQ3570">
        <v>457</v>
      </c>
      <c r="CR3570">
        <v>0</v>
      </c>
      <c r="CW3570">
        <v>15526870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 t="shared" si="1567"/>
        <v>08/29/2020 06:22:12.327</v>
      </c>
      <c r="C3571" t="str">
        <f t="shared" si="1539"/>
        <v>FFDFD3C0</v>
      </c>
      <c r="D3571" t="s">
        <v>121</v>
      </c>
      <c r="E3571">
        <v>10</v>
      </c>
      <c r="F3571">
        <v>1010</v>
      </c>
      <c r="G3571" t="s">
        <v>114</v>
      </c>
      <c r="J3571" t="s">
        <v>123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si="1568"/>
        <v>06:22:15.578</v>
      </c>
      <c r="T3571" t="str">
        <f t="shared" si="1569"/>
        <v>06:22:15.078</v>
      </c>
      <c r="U3571" t="str">
        <f t="shared" si="1540"/>
        <v>A7E2E0</v>
      </c>
      <c r="V3571">
        <v>0</v>
      </c>
      <c r="W3571">
        <v>0</v>
      </c>
      <c r="X3571">
        <v>1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0</v>
      </c>
      <c r="AI3571" t="s">
        <v>1644</v>
      </c>
      <c r="AJ3571">
        <v>38.814203999999997</v>
      </c>
      <c r="AK3571" t="s">
        <v>1629</v>
      </c>
      <c r="AL3571">
        <v>-87.603241999999995</v>
      </c>
      <c r="AM3571">
        <v>100</v>
      </c>
      <c r="AN3571">
        <v>1600</v>
      </c>
      <c r="AO3571" t="s">
        <v>118</v>
      </c>
      <c r="AP3571">
        <v>-4</v>
      </c>
      <c r="AQ3571">
        <v>-107</v>
      </c>
      <c r="AR3571">
        <v>-1344</v>
      </c>
      <c r="AZ3571">
        <v>4552</v>
      </c>
      <c r="BA3571">
        <v>1</v>
      </c>
      <c r="BB3571" t="str">
        <f t="shared" si="1541"/>
        <v xml:space="preserve">N607SR  </v>
      </c>
      <c r="BC3571">
        <v>1</v>
      </c>
      <c r="BE3571">
        <v>0</v>
      </c>
      <c r="BF3571">
        <v>0</v>
      </c>
      <c r="BG3571">
        <v>0</v>
      </c>
      <c r="BH3571">
        <v>1350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 t="shared" si="1570"/>
        <v>06:22:15.579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6</v>
      </c>
      <c r="CP3571" t="s">
        <v>119</v>
      </c>
      <c r="CQ3571">
        <v>457</v>
      </c>
      <c r="CR3571">
        <v>0</v>
      </c>
      <c r="CW3571">
        <v>15526870</v>
      </c>
      <c r="CY3571">
        <v>1</v>
      </c>
      <c r="CZ3571">
        <v>0</v>
      </c>
      <c r="DA3571">
        <v>1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 t="shared" si="1567"/>
        <v>08/29/2020 06:22:12.327</v>
      </c>
      <c r="C3572" t="str">
        <f t="shared" si="1539"/>
        <v>FFDFD3C0</v>
      </c>
      <c r="D3572" t="s">
        <v>121</v>
      </c>
      <c r="E3572">
        <v>13</v>
      </c>
      <c r="F3572">
        <v>1013</v>
      </c>
      <c r="G3572" t="s">
        <v>122</v>
      </c>
      <c r="J3572" t="s">
        <v>123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 t="shared" si="1568"/>
        <v>06:22:15.578</v>
      </c>
      <c r="T3572" t="str">
        <f t="shared" si="1569"/>
        <v>06:22:15.078</v>
      </c>
      <c r="U3572" t="str">
        <f t="shared" si="1540"/>
        <v>A7E2E0</v>
      </c>
      <c r="V3572">
        <v>0</v>
      </c>
      <c r="W3572">
        <v>0</v>
      </c>
      <c r="X3572">
        <v>1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0</v>
      </c>
      <c r="AI3572" t="s">
        <v>1644</v>
      </c>
      <c r="AJ3572">
        <v>38.814203999999997</v>
      </c>
      <c r="AK3572" t="s">
        <v>1629</v>
      </c>
      <c r="AL3572">
        <v>-87.603241999999995</v>
      </c>
      <c r="AM3572">
        <v>100</v>
      </c>
      <c r="AN3572">
        <v>1600</v>
      </c>
      <c r="AO3572" t="s">
        <v>118</v>
      </c>
      <c r="AP3572">
        <v>-4</v>
      </c>
      <c r="AQ3572">
        <v>-107</v>
      </c>
      <c r="AR3572">
        <v>-1344</v>
      </c>
      <c r="AZ3572">
        <v>4552</v>
      </c>
      <c r="BA3572">
        <v>1</v>
      </c>
      <c r="BB3572" t="str">
        <f t="shared" si="1541"/>
        <v xml:space="preserve">N607SR  </v>
      </c>
      <c r="BC3572">
        <v>1</v>
      </c>
      <c r="BE3572">
        <v>0</v>
      </c>
      <c r="BF3572">
        <v>0</v>
      </c>
      <c r="BG3572">
        <v>0</v>
      </c>
      <c r="BH3572">
        <v>1350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 t="shared" si="1570"/>
        <v>06:22:15.579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6</v>
      </c>
      <c r="CP3572" t="s">
        <v>119</v>
      </c>
      <c r="CQ3572">
        <v>457</v>
      </c>
      <c r="CR3572">
        <v>0</v>
      </c>
      <c r="CW3572">
        <v>15526870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 t="shared" si="1567"/>
        <v>08/29/2020 06:22:12.327</v>
      </c>
      <c r="C3573" t="str">
        <f t="shared" si="1539"/>
        <v>FFDFD3C0</v>
      </c>
      <c r="D3573" t="s">
        <v>939</v>
      </c>
      <c r="E3573">
        <v>10</v>
      </c>
      <c r="H3573">
        <v>79</v>
      </c>
      <c r="I3573" t="s">
        <v>940</v>
      </c>
      <c r="J3573" t="s">
        <v>130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 t="shared" si="1568"/>
        <v>06:22:15.578</v>
      </c>
      <c r="T3573" t="str">
        <f t="shared" si="1569"/>
        <v>06:22:15.078</v>
      </c>
      <c r="U3573" t="str">
        <f t="shared" si="1540"/>
        <v>A7E2E0</v>
      </c>
      <c r="V3573">
        <v>0</v>
      </c>
      <c r="W3573">
        <v>0</v>
      </c>
      <c r="X3573">
        <v>1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0</v>
      </c>
      <c r="AI3573" t="s">
        <v>1644</v>
      </c>
      <c r="AJ3573">
        <v>38.814203999999997</v>
      </c>
      <c r="AK3573" t="s">
        <v>1629</v>
      </c>
      <c r="AL3573">
        <v>-87.603241999999995</v>
      </c>
      <c r="AM3573">
        <v>100</v>
      </c>
      <c r="AN3573">
        <v>1600</v>
      </c>
      <c r="AO3573" t="s">
        <v>118</v>
      </c>
      <c r="AP3573">
        <v>-4</v>
      </c>
      <c r="AQ3573">
        <v>-107</v>
      </c>
      <c r="AR3573">
        <v>-1344</v>
      </c>
      <c r="AZ3573">
        <v>4552</v>
      </c>
      <c r="BA3573">
        <v>1</v>
      </c>
      <c r="BB3573" t="str">
        <f t="shared" si="1541"/>
        <v xml:space="preserve">N607SR  </v>
      </c>
      <c r="BC3573">
        <v>1</v>
      </c>
      <c r="BE3573">
        <v>0</v>
      </c>
      <c r="BF3573">
        <v>0</v>
      </c>
      <c r="BG3573">
        <v>0</v>
      </c>
      <c r="BH3573">
        <v>1350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 t="shared" si="1570"/>
        <v>06:22:15.579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4</v>
      </c>
      <c r="CP3573" t="s">
        <v>119</v>
      </c>
      <c r="CQ3573">
        <v>465</v>
      </c>
      <c r="CR3573">
        <v>0</v>
      </c>
      <c r="CW3573">
        <v>4731623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 t="shared" ref="A3574:A3579" si="1571">"08/29/2020 06:22:13.442"</f>
        <v>08/29/2020 06:22:13.442</v>
      </c>
      <c r="C3574" t="str">
        <f t="shared" si="1539"/>
        <v>FFDFD3C0</v>
      </c>
      <c r="D3574" t="s">
        <v>113</v>
      </c>
      <c r="E3574">
        <v>5</v>
      </c>
      <c r="H3574">
        <v>163</v>
      </c>
      <c r="I3574" t="s">
        <v>114</v>
      </c>
      <c r="J3574" t="s">
        <v>115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 t="shared" ref="S3574:S3579" si="1572">"06:22:16.648"</f>
        <v>06:22:16.648</v>
      </c>
      <c r="T3574" t="str">
        <f t="shared" ref="T3574:T3579" si="1573">"06:22:16.148"</f>
        <v>06:22:16.148</v>
      </c>
      <c r="U3574" t="str">
        <f t="shared" si="1540"/>
        <v>A7E2E0</v>
      </c>
      <c r="V3574">
        <v>0</v>
      </c>
      <c r="W3574">
        <v>0</v>
      </c>
      <c r="X3574">
        <v>1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0</v>
      </c>
      <c r="AI3574" t="s">
        <v>1645</v>
      </c>
      <c r="AJ3574">
        <v>38.813667000000002</v>
      </c>
      <c r="AK3574" t="s">
        <v>1646</v>
      </c>
      <c r="AL3574">
        <v>-87.603263999999996</v>
      </c>
      <c r="AM3574">
        <v>100</v>
      </c>
      <c r="AN3574">
        <v>1500</v>
      </c>
      <c r="AO3574" t="s">
        <v>118</v>
      </c>
      <c r="AP3574">
        <v>-4</v>
      </c>
      <c r="AQ3574">
        <v>-107</v>
      </c>
      <c r="AR3574">
        <v>-1344</v>
      </c>
      <c r="AZ3574">
        <v>4552</v>
      </c>
      <c r="BA3574">
        <v>1</v>
      </c>
      <c r="BB3574" t="str">
        <f t="shared" si="1541"/>
        <v xml:space="preserve">N607SR  </v>
      </c>
      <c r="BC3574">
        <v>1</v>
      </c>
      <c r="BE3574">
        <v>0</v>
      </c>
      <c r="BF3574">
        <v>0</v>
      </c>
      <c r="BG3574">
        <v>0</v>
      </c>
      <c r="BH3574">
        <v>1325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 t="shared" ref="BW3574:BW3579" si="1574">"06:22:16.654"</f>
        <v>06:22:16.654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6</v>
      </c>
      <c r="CP3574" t="s">
        <v>119</v>
      </c>
      <c r="CQ3574">
        <v>457</v>
      </c>
      <c r="CR3574">
        <v>0</v>
      </c>
      <c r="CW3574">
        <v>15526903</v>
      </c>
      <c r="CY3574">
        <v>1</v>
      </c>
      <c r="CZ3574">
        <v>0</v>
      </c>
      <c r="DA3574">
        <v>0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 t="shared" si="1571"/>
        <v>08/29/2020 06:22:13.442</v>
      </c>
      <c r="C3575" t="str">
        <f t="shared" si="1539"/>
        <v>FFDFD3C0</v>
      </c>
      <c r="D3575" t="s">
        <v>939</v>
      </c>
      <c r="E3575">
        <v>10</v>
      </c>
      <c r="H3575">
        <v>79</v>
      </c>
      <c r="I3575" t="s">
        <v>940</v>
      </c>
      <c r="J3575" t="s">
        <v>130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 t="shared" si="1572"/>
        <v>06:22:16.648</v>
      </c>
      <c r="T3575" t="str">
        <f t="shared" si="1573"/>
        <v>06:22:16.148</v>
      </c>
      <c r="U3575" t="str">
        <f t="shared" si="1540"/>
        <v>A7E2E0</v>
      </c>
      <c r="V3575">
        <v>0</v>
      </c>
      <c r="W3575">
        <v>0</v>
      </c>
      <c r="X3575">
        <v>1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0</v>
      </c>
      <c r="AI3575" t="s">
        <v>1645</v>
      </c>
      <c r="AJ3575">
        <v>38.813667000000002</v>
      </c>
      <c r="AK3575" t="s">
        <v>1646</v>
      </c>
      <c r="AL3575">
        <v>-87.603263999999996</v>
      </c>
      <c r="AM3575">
        <v>100</v>
      </c>
      <c r="AN3575">
        <v>1500</v>
      </c>
      <c r="AO3575" t="s">
        <v>118</v>
      </c>
      <c r="AP3575">
        <v>-4</v>
      </c>
      <c r="AQ3575">
        <v>-107</v>
      </c>
      <c r="AR3575">
        <v>-1344</v>
      </c>
      <c r="AZ3575">
        <v>4552</v>
      </c>
      <c r="BA3575">
        <v>1</v>
      </c>
      <c r="BB3575" t="str">
        <f t="shared" si="1541"/>
        <v xml:space="preserve">N607SR  </v>
      </c>
      <c r="BC3575">
        <v>1</v>
      </c>
      <c r="BE3575">
        <v>0</v>
      </c>
      <c r="BF3575">
        <v>0</v>
      </c>
      <c r="BG3575">
        <v>0</v>
      </c>
      <c r="BH3575">
        <v>1325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 t="shared" si="1574"/>
        <v>06:22:16.654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5</v>
      </c>
      <c r="CP3575" t="s">
        <v>119</v>
      </c>
      <c r="CQ3575">
        <v>465</v>
      </c>
      <c r="CR3575">
        <v>0</v>
      </c>
      <c r="CW3575">
        <v>4731654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 t="shared" si="1571"/>
        <v>08/29/2020 06:22:13.442</v>
      </c>
      <c r="C3576" t="str">
        <f t="shared" si="1539"/>
        <v>FFDFD3C0</v>
      </c>
      <c r="D3576" t="s">
        <v>128</v>
      </c>
      <c r="E3576">
        <v>5</v>
      </c>
      <c r="H3576">
        <v>241</v>
      </c>
      <c r="I3576" t="s">
        <v>129</v>
      </c>
      <c r="J3576" t="s">
        <v>130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 t="shared" si="1572"/>
        <v>06:22:16.648</v>
      </c>
      <c r="T3576" t="str">
        <f t="shared" si="1573"/>
        <v>06:22:16.148</v>
      </c>
      <c r="U3576" t="str">
        <f t="shared" si="1540"/>
        <v>A7E2E0</v>
      </c>
      <c r="V3576">
        <v>0</v>
      </c>
      <c r="W3576">
        <v>0</v>
      </c>
      <c r="X3576">
        <v>1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0</v>
      </c>
      <c r="AI3576" t="s">
        <v>1645</v>
      </c>
      <c r="AJ3576">
        <v>38.813667000000002</v>
      </c>
      <c r="AK3576" t="s">
        <v>1646</v>
      </c>
      <c r="AL3576">
        <v>-87.603263999999996</v>
      </c>
      <c r="AM3576">
        <v>100</v>
      </c>
      <c r="AN3576">
        <v>1500</v>
      </c>
      <c r="AO3576" t="s">
        <v>118</v>
      </c>
      <c r="AP3576">
        <v>-4</v>
      </c>
      <c r="AQ3576">
        <v>-107</v>
      </c>
      <c r="AR3576">
        <v>-1344</v>
      </c>
      <c r="AZ3576">
        <v>4552</v>
      </c>
      <c r="BA3576">
        <v>1</v>
      </c>
      <c r="BB3576" t="str">
        <f t="shared" si="1541"/>
        <v xml:space="preserve">N607SR  </v>
      </c>
      <c r="BC3576">
        <v>1</v>
      </c>
      <c r="BE3576">
        <v>0</v>
      </c>
      <c r="BF3576">
        <v>0</v>
      </c>
      <c r="BG3576">
        <v>0</v>
      </c>
      <c r="BH3576">
        <v>1325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 t="shared" si="1574"/>
        <v>06:22:16.654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6</v>
      </c>
      <c r="CP3576" t="s">
        <v>119</v>
      </c>
      <c r="CQ3576">
        <v>457</v>
      </c>
      <c r="CR3576">
        <v>0</v>
      </c>
      <c r="CW3576">
        <v>15526903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 t="shared" si="1571"/>
        <v>08/29/2020 06:22:13.442</v>
      </c>
      <c r="C3577" t="str">
        <f t="shared" si="1539"/>
        <v>FFDFD3C0</v>
      </c>
      <c r="D3577" t="s">
        <v>121</v>
      </c>
      <c r="E3577">
        <v>11</v>
      </c>
      <c r="F3577">
        <v>1011</v>
      </c>
      <c r="G3577" t="s">
        <v>125</v>
      </c>
      <c r="J3577" t="s">
        <v>123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si="1572"/>
        <v>06:22:16.648</v>
      </c>
      <c r="T3577" t="str">
        <f t="shared" si="1573"/>
        <v>06:22:16.148</v>
      </c>
      <c r="U3577" t="str">
        <f t="shared" si="1540"/>
        <v>A7E2E0</v>
      </c>
      <c r="V3577">
        <v>0</v>
      </c>
      <c r="W3577">
        <v>0</v>
      </c>
      <c r="X3577">
        <v>1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0</v>
      </c>
      <c r="AI3577" t="s">
        <v>1645</v>
      </c>
      <c r="AJ3577">
        <v>38.813667000000002</v>
      </c>
      <c r="AK3577" t="s">
        <v>1646</v>
      </c>
      <c r="AL3577">
        <v>-87.603263999999996</v>
      </c>
      <c r="AM3577">
        <v>100</v>
      </c>
      <c r="AN3577">
        <v>1500</v>
      </c>
      <c r="AO3577" t="s">
        <v>118</v>
      </c>
      <c r="AP3577">
        <v>-4</v>
      </c>
      <c r="AQ3577">
        <v>-107</v>
      </c>
      <c r="AR3577">
        <v>-1344</v>
      </c>
      <c r="AZ3577">
        <v>4552</v>
      </c>
      <c r="BA3577">
        <v>1</v>
      </c>
      <c r="BB3577" t="str">
        <f t="shared" si="1541"/>
        <v xml:space="preserve">N607SR  </v>
      </c>
      <c r="BC3577">
        <v>1</v>
      </c>
      <c r="BE3577">
        <v>0</v>
      </c>
      <c r="BF3577">
        <v>0</v>
      </c>
      <c r="BG3577">
        <v>0</v>
      </c>
      <c r="BH3577">
        <v>1325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 t="shared" si="1574"/>
        <v>06:22:16.654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6</v>
      </c>
      <c r="CP3577" t="s">
        <v>119</v>
      </c>
      <c r="CQ3577">
        <v>457</v>
      </c>
      <c r="CR3577">
        <v>0</v>
      </c>
      <c r="CW3577">
        <v>15526903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 t="shared" si="1571"/>
        <v>08/29/2020 06:22:13.442</v>
      </c>
      <c r="C3578" t="str">
        <f t="shared" si="1539"/>
        <v>FFDFD3C0</v>
      </c>
      <c r="D3578" t="s">
        <v>121</v>
      </c>
      <c r="E3578">
        <v>10</v>
      </c>
      <c r="F3578">
        <v>1010</v>
      </c>
      <c r="G3578" t="s">
        <v>114</v>
      </c>
      <c r="J3578" t="s">
        <v>123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si="1572"/>
        <v>06:22:16.648</v>
      </c>
      <c r="T3578" t="str">
        <f t="shared" si="1573"/>
        <v>06:22:16.148</v>
      </c>
      <c r="U3578" t="str">
        <f t="shared" si="1540"/>
        <v>A7E2E0</v>
      </c>
      <c r="V3578">
        <v>0</v>
      </c>
      <c r="W3578">
        <v>0</v>
      </c>
      <c r="X3578">
        <v>1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0</v>
      </c>
      <c r="AI3578" t="s">
        <v>1645</v>
      </c>
      <c r="AJ3578">
        <v>38.813667000000002</v>
      </c>
      <c r="AK3578" t="s">
        <v>1646</v>
      </c>
      <c r="AL3578">
        <v>-87.603263999999996</v>
      </c>
      <c r="AM3578">
        <v>100</v>
      </c>
      <c r="AN3578">
        <v>1500</v>
      </c>
      <c r="AO3578" t="s">
        <v>118</v>
      </c>
      <c r="AP3578">
        <v>-4</v>
      </c>
      <c r="AQ3578">
        <v>-107</v>
      </c>
      <c r="AR3578">
        <v>-1344</v>
      </c>
      <c r="AZ3578">
        <v>4552</v>
      </c>
      <c r="BA3578">
        <v>1</v>
      </c>
      <c r="BB3578" t="str">
        <f t="shared" si="1541"/>
        <v xml:space="preserve">N607SR  </v>
      </c>
      <c r="BC3578">
        <v>1</v>
      </c>
      <c r="BE3578">
        <v>0</v>
      </c>
      <c r="BF3578">
        <v>0</v>
      </c>
      <c r="BG3578">
        <v>0</v>
      </c>
      <c r="BH3578">
        <v>1325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 t="shared" si="1574"/>
        <v>06:22:16.654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6</v>
      </c>
      <c r="CP3578" t="s">
        <v>119</v>
      </c>
      <c r="CQ3578">
        <v>457</v>
      </c>
      <c r="CR3578">
        <v>0</v>
      </c>
      <c r="CW3578">
        <v>15526903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 t="shared" si="1571"/>
        <v>08/29/2020 06:22:13.442</v>
      </c>
      <c r="C3579" t="str">
        <f t="shared" si="1539"/>
        <v>FFDFD3C0</v>
      </c>
      <c r="D3579" t="s">
        <v>121</v>
      </c>
      <c r="E3579">
        <v>13</v>
      </c>
      <c r="F3579">
        <v>1013</v>
      </c>
      <c r="G3579" t="s">
        <v>122</v>
      </c>
      <c r="J3579" t="s">
        <v>123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 t="shared" si="1572"/>
        <v>06:22:16.648</v>
      </c>
      <c r="T3579" t="str">
        <f t="shared" si="1573"/>
        <v>06:22:16.148</v>
      </c>
      <c r="U3579" t="str">
        <f t="shared" si="1540"/>
        <v>A7E2E0</v>
      </c>
      <c r="V3579">
        <v>0</v>
      </c>
      <c r="W3579">
        <v>0</v>
      </c>
      <c r="X3579">
        <v>1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0</v>
      </c>
      <c r="AI3579" t="s">
        <v>1645</v>
      </c>
      <c r="AJ3579">
        <v>38.813667000000002</v>
      </c>
      <c r="AK3579" t="s">
        <v>1646</v>
      </c>
      <c r="AL3579">
        <v>-87.603263999999996</v>
      </c>
      <c r="AM3579">
        <v>100</v>
      </c>
      <c r="AN3579">
        <v>1500</v>
      </c>
      <c r="AO3579" t="s">
        <v>118</v>
      </c>
      <c r="AP3579">
        <v>-4</v>
      </c>
      <c r="AQ3579">
        <v>-107</v>
      </c>
      <c r="AR3579">
        <v>-1344</v>
      </c>
      <c r="AZ3579">
        <v>4552</v>
      </c>
      <c r="BA3579">
        <v>1</v>
      </c>
      <c r="BB3579" t="str">
        <f t="shared" si="1541"/>
        <v xml:space="preserve">N607SR  </v>
      </c>
      <c r="BC3579">
        <v>1</v>
      </c>
      <c r="BE3579">
        <v>0</v>
      </c>
      <c r="BF3579">
        <v>0</v>
      </c>
      <c r="BG3579">
        <v>0</v>
      </c>
      <c r="BH3579">
        <v>1325</v>
      </c>
      <c r="BI3579">
        <v>1</v>
      </c>
      <c r="BJ3579">
        <v>1</v>
      </c>
      <c r="BK3579">
        <v>1</v>
      </c>
      <c r="BL3579">
        <v>0</v>
      </c>
      <c r="BO3579">
        <v>0</v>
      </c>
      <c r="BP3579">
        <v>0</v>
      </c>
      <c r="BW3579" t="str">
        <f t="shared" si="1574"/>
        <v>06:22:16.654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6</v>
      </c>
      <c r="CP3579" t="s">
        <v>119</v>
      </c>
      <c r="CQ3579">
        <v>457</v>
      </c>
      <c r="CR3579">
        <v>0</v>
      </c>
      <c r="CW3579">
        <v>15526903</v>
      </c>
      <c r="CY3579">
        <v>1</v>
      </c>
      <c r="CZ3579">
        <v>0</v>
      </c>
      <c r="DA3579">
        <v>1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 t="shared" ref="A3580:A3585" si="1575">"08/29/2020 06:22:14.468"</f>
        <v>08/29/2020 06:22:14.468</v>
      </c>
      <c r="C3580" t="str">
        <f t="shared" si="1539"/>
        <v>FFDFD3C0</v>
      </c>
      <c r="D3580" t="s">
        <v>121</v>
      </c>
      <c r="E3580">
        <v>11</v>
      </c>
      <c r="F3580">
        <v>1011</v>
      </c>
      <c r="G3580" t="s">
        <v>125</v>
      </c>
      <c r="J3580" t="s">
        <v>123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ref="S3580:S3585" si="1576">"06:22:17.695"</f>
        <v>06:22:17.695</v>
      </c>
      <c r="T3580" t="str">
        <f>"06:22:16.695"</f>
        <v>06:22:16.695</v>
      </c>
      <c r="U3580" t="str">
        <f t="shared" si="1540"/>
        <v>A7E2E0</v>
      </c>
      <c r="V3580">
        <v>0</v>
      </c>
      <c r="W3580">
        <v>0</v>
      </c>
      <c r="X3580">
        <v>1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0</v>
      </c>
      <c r="AI3580" t="s">
        <v>1647</v>
      </c>
      <c r="AJ3580">
        <v>38.813152000000002</v>
      </c>
      <c r="AK3580" t="s">
        <v>1646</v>
      </c>
      <c r="AL3580">
        <v>-87.603263999999996</v>
      </c>
      <c r="AM3580">
        <v>100</v>
      </c>
      <c r="AN3580">
        <v>1500</v>
      </c>
      <c r="AO3580" t="s">
        <v>118</v>
      </c>
      <c r="AP3580">
        <v>-5</v>
      </c>
      <c r="AQ3580">
        <v>-107</v>
      </c>
      <c r="AR3580">
        <v>-1344</v>
      </c>
      <c r="AZ3580">
        <v>4552</v>
      </c>
      <c r="BA3580">
        <v>1</v>
      </c>
      <c r="BB3580" t="str">
        <f t="shared" si="1541"/>
        <v xml:space="preserve">N607SR  </v>
      </c>
      <c r="BC3580">
        <v>1</v>
      </c>
      <c r="BE3580">
        <v>0</v>
      </c>
      <c r="BF3580">
        <v>0</v>
      </c>
      <c r="BG3580">
        <v>0</v>
      </c>
      <c r="BH3580">
        <v>1300</v>
      </c>
      <c r="BI3580">
        <v>1</v>
      </c>
      <c r="BJ3580">
        <v>1</v>
      </c>
      <c r="BK3580">
        <v>1</v>
      </c>
      <c r="BL3580">
        <v>0</v>
      </c>
      <c r="BO3580">
        <v>0</v>
      </c>
      <c r="BP3580">
        <v>0</v>
      </c>
      <c r="BW3580" t="str">
        <f t="shared" ref="BW3580:BW3585" si="1577">"06:22:17.698"</f>
        <v>06:22:17.698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6</v>
      </c>
      <c r="CP3580" t="s">
        <v>119</v>
      </c>
      <c r="CQ3580">
        <v>457</v>
      </c>
      <c r="CR3580">
        <v>0</v>
      </c>
      <c r="CW3580">
        <v>15526936</v>
      </c>
      <c r="CY3580">
        <v>1</v>
      </c>
      <c r="CZ3580">
        <v>0</v>
      </c>
      <c r="DA3580">
        <v>0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 t="shared" si="1575"/>
        <v>08/29/2020 06:22:14.468</v>
      </c>
      <c r="C3581" t="str">
        <f t="shared" si="1539"/>
        <v>FFDFD3C0</v>
      </c>
      <c r="D3581" t="s">
        <v>128</v>
      </c>
      <c r="E3581">
        <v>5</v>
      </c>
      <c r="H3581">
        <v>241</v>
      </c>
      <c r="I3581" t="s">
        <v>129</v>
      </c>
      <c r="J3581" t="s">
        <v>130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si="1576"/>
        <v>06:22:17.695</v>
      </c>
      <c r="U3581" t="str">
        <f t="shared" si="1540"/>
        <v>A7E2E0</v>
      </c>
      <c r="V3581">
        <v>0</v>
      </c>
      <c r="W3581">
        <v>0</v>
      </c>
      <c r="X3581">
        <v>1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0</v>
      </c>
      <c r="AI3581" t="s">
        <v>1647</v>
      </c>
      <c r="AJ3581">
        <v>38.813152000000002</v>
      </c>
      <c r="AK3581" t="s">
        <v>1646</v>
      </c>
      <c r="AL3581">
        <v>-87.603263999999996</v>
      </c>
      <c r="AM3581">
        <v>100</v>
      </c>
      <c r="AN3581">
        <v>1500</v>
      </c>
      <c r="AO3581" t="s">
        <v>118</v>
      </c>
      <c r="AP3581">
        <v>-5</v>
      </c>
      <c r="AQ3581">
        <v>-107</v>
      </c>
      <c r="AR3581">
        <v>-1344</v>
      </c>
      <c r="AZ3581">
        <v>4552</v>
      </c>
      <c r="BA3581">
        <v>1</v>
      </c>
      <c r="BB3581" t="str">
        <f t="shared" si="1541"/>
        <v xml:space="preserve">N607SR  </v>
      </c>
      <c r="BC3581">
        <v>1</v>
      </c>
      <c r="BE3581">
        <v>0</v>
      </c>
      <c r="BF3581">
        <v>0</v>
      </c>
      <c r="BG3581">
        <v>0</v>
      </c>
      <c r="BH3581">
        <v>1300</v>
      </c>
      <c r="BI3581">
        <v>1</v>
      </c>
      <c r="BJ3581">
        <v>1</v>
      </c>
      <c r="BK3581">
        <v>1</v>
      </c>
      <c r="BL3581">
        <v>0</v>
      </c>
      <c r="BO3581">
        <v>0</v>
      </c>
      <c r="BP3581">
        <v>0</v>
      </c>
      <c r="BW3581" t="str">
        <f t="shared" si="1577"/>
        <v>06:22:17.698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5</v>
      </c>
      <c r="CP3581" t="s">
        <v>119</v>
      </c>
      <c r="CQ3581">
        <v>465</v>
      </c>
      <c r="CR3581">
        <v>0</v>
      </c>
      <c r="CW3581">
        <v>4731685</v>
      </c>
      <c r="CY3581">
        <v>1</v>
      </c>
      <c r="CZ3581">
        <v>0</v>
      </c>
      <c r="DA3581">
        <v>1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 t="shared" si="1575"/>
        <v>08/29/2020 06:22:14.468</v>
      </c>
      <c r="C3582" t="str">
        <f t="shared" si="1539"/>
        <v>FFDFD3C0</v>
      </c>
      <c r="D3582" t="s">
        <v>113</v>
      </c>
      <c r="E3582">
        <v>5</v>
      </c>
      <c r="H3582">
        <v>163</v>
      </c>
      <c r="I3582" t="s">
        <v>114</v>
      </c>
      <c r="J3582" t="s">
        <v>115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1576"/>
        <v>06:22:17.695</v>
      </c>
      <c r="U3582" t="str">
        <f t="shared" si="1540"/>
        <v>A7E2E0</v>
      </c>
      <c r="V3582">
        <v>0</v>
      </c>
      <c r="W3582">
        <v>0</v>
      </c>
      <c r="X3582">
        <v>1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0</v>
      </c>
      <c r="AI3582" t="s">
        <v>1647</v>
      </c>
      <c r="AJ3582">
        <v>38.813152000000002</v>
      </c>
      <c r="AK3582" t="s">
        <v>1646</v>
      </c>
      <c r="AL3582">
        <v>-87.603263999999996</v>
      </c>
      <c r="AM3582">
        <v>100</v>
      </c>
      <c r="AN3582">
        <v>1500</v>
      </c>
      <c r="AO3582" t="s">
        <v>118</v>
      </c>
      <c r="AP3582">
        <v>-5</v>
      </c>
      <c r="AQ3582">
        <v>-107</v>
      </c>
      <c r="AR3582">
        <v>-1344</v>
      </c>
      <c r="AZ3582">
        <v>4552</v>
      </c>
      <c r="BA3582">
        <v>1</v>
      </c>
      <c r="BB3582" t="str">
        <f t="shared" si="1541"/>
        <v xml:space="preserve">N607SR  </v>
      </c>
      <c r="BC3582">
        <v>1</v>
      </c>
      <c r="BE3582">
        <v>0</v>
      </c>
      <c r="BF3582">
        <v>0</v>
      </c>
      <c r="BG3582">
        <v>0</v>
      </c>
      <c r="BH3582">
        <v>1300</v>
      </c>
      <c r="BI3582">
        <v>1</v>
      </c>
      <c r="BJ3582">
        <v>1</v>
      </c>
      <c r="BK3582">
        <v>1</v>
      </c>
      <c r="BL3582">
        <v>0</v>
      </c>
      <c r="BO3582">
        <v>0</v>
      </c>
      <c r="BP3582">
        <v>0</v>
      </c>
      <c r="BW3582" t="str">
        <f t="shared" si="1577"/>
        <v>06:22:17.698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5</v>
      </c>
      <c r="CP3582" t="s">
        <v>119</v>
      </c>
      <c r="CQ3582">
        <v>465</v>
      </c>
      <c r="CR3582">
        <v>0</v>
      </c>
      <c r="CW3582">
        <v>4731685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 t="shared" si="1575"/>
        <v>08/29/2020 06:22:14.468</v>
      </c>
      <c r="C3583" t="str">
        <f t="shared" si="1539"/>
        <v>FFDFD3C0</v>
      </c>
      <c r="D3583" t="s">
        <v>121</v>
      </c>
      <c r="E3583">
        <v>10</v>
      </c>
      <c r="F3583">
        <v>1010</v>
      </c>
      <c r="G3583" t="s">
        <v>114</v>
      </c>
      <c r="J3583" t="s">
        <v>123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si="1576"/>
        <v>06:22:17.695</v>
      </c>
      <c r="U3583" t="str">
        <f t="shared" si="1540"/>
        <v>A7E2E0</v>
      </c>
      <c r="V3583">
        <v>0</v>
      </c>
      <c r="W3583">
        <v>0</v>
      </c>
      <c r="X3583">
        <v>1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0</v>
      </c>
      <c r="AI3583" t="s">
        <v>1647</v>
      </c>
      <c r="AJ3583">
        <v>38.813152000000002</v>
      </c>
      <c r="AK3583" t="s">
        <v>1646</v>
      </c>
      <c r="AL3583">
        <v>-87.603263999999996</v>
      </c>
      <c r="AM3583">
        <v>100</v>
      </c>
      <c r="AN3583">
        <v>1500</v>
      </c>
      <c r="AO3583" t="s">
        <v>118</v>
      </c>
      <c r="AP3583">
        <v>-5</v>
      </c>
      <c r="AQ3583">
        <v>-107</v>
      </c>
      <c r="AR3583">
        <v>-1344</v>
      </c>
      <c r="AZ3583">
        <v>4552</v>
      </c>
      <c r="BA3583">
        <v>1</v>
      </c>
      <c r="BB3583" t="str">
        <f t="shared" si="1541"/>
        <v xml:space="preserve">N607SR  </v>
      </c>
      <c r="BC3583">
        <v>1</v>
      </c>
      <c r="BE3583">
        <v>0</v>
      </c>
      <c r="BF3583">
        <v>0</v>
      </c>
      <c r="BG3583">
        <v>0</v>
      </c>
      <c r="BH3583">
        <v>1300</v>
      </c>
      <c r="BI3583">
        <v>1</v>
      </c>
      <c r="BJ3583">
        <v>1</v>
      </c>
      <c r="BK3583">
        <v>1</v>
      </c>
      <c r="BL3583">
        <v>0</v>
      </c>
      <c r="BO3583">
        <v>0</v>
      </c>
      <c r="BP3583">
        <v>0</v>
      </c>
      <c r="BW3583" t="str">
        <f t="shared" si="1577"/>
        <v>06:22:17.698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5</v>
      </c>
      <c r="CP3583" t="s">
        <v>119</v>
      </c>
      <c r="CQ3583">
        <v>465</v>
      </c>
      <c r="CR3583">
        <v>0</v>
      </c>
      <c r="CW3583">
        <v>4731685</v>
      </c>
      <c r="CY3583">
        <v>1</v>
      </c>
      <c r="CZ3583">
        <v>0</v>
      </c>
      <c r="DA3583">
        <v>1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 t="shared" si="1575"/>
        <v>08/29/2020 06:22:14.468</v>
      </c>
      <c r="C3584" t="str">
        <f t="shared" si="1539"/>
        <v>FFDFD3C0</v>
      </c>
      <c r="D3584" t="s">
        <v>939</v>
      </c>
      <c r="E3584">
        <v>10</v>
      </c>
      <c r="H3584">
        <v>79</v>
      </c>
      <c r="I3584" t="s">
        <v>940</v>
      </c>
      <c r="J3584" t="s">
        <v>130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1576"/>
        <v>06:22:17.695</v>
      </c>
      <c r="U3584" t="str">
        <f t="shared" si="1540"/>
        <v>A7E2E0</v>
      </c>
      <c r="V3584">
        <v>0</v>
      </c>
      <c r="W3584">
        <v>0</v>
      </c>
      <c r="X3584">
        <v>1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0</v>
      </c>
      <c r="AI3584" t="s">
        <v>1647</v>
      </c>
      <c r="AJ3584">
        <v>38.813152000000002</v>
      </c>
      <c r="AK3584" t="s">
        <v>1646</v>
      </c>
      <c r="AL3584">
        <v>-87.603263999999996</v>
      </c>
      <c r="AM3584">
        <v>100</v>
      </c>
      <c r="AN3584">
        <v>1500</v>
      </c>
      <c r="AO3584" t="s">
        <v>118</v>
      </c>
      <c r="AP3584">
        <v>-5</v>
      </c>
      <c r="AQ3584">
        <v>-107</v>
      </c>
      <c r="AR3584">
        <v>-1344</v>
      </c>
      <c r="AZ3584">
        <v>4552</v>
      </c>
      <c r="BA3584">
        <v>1</v>
      </c>
      <c r="BB3584" t="str">
        <f t="shared" si="1541"/>
        <v xml:space="preserve">N607SR  </v>
      </c>
      <c r="BC3584">
        <v>1</v>
      </c>
      <c r="BE3584">
        <v>0</v>
      </c>
      <c r="BF3584">
        <v>0</v>
      </c>
      <c r="BG3584">
        <v>0</v>
      </c>
      <c r="BH3584">
        <v>1300</v>
      </c>
      <c r="BI3584">
        <v>1</v>
      </c>
      <c r="BJ3584">
        <v>1</v>
      </c>
      <c r="BK3584">
        <v>1</v>
      </c>
      <c r="BL3584">
        <v>0</v>
      </c>
      <c r="BO3584">
        <v>0</v>
      </c>
      <c r="BP3584">
        <v>0</v>
      </c>
      <c r="BW3584" t="str">
        <f t="shared" si="1577"/>
        <v>06:22:17.698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5</v>
      </c>
      <c r="CP3584" t="s">
        <v>119</v>
      </c>
      <c r="CQ3584">
        <v>465</v>
      </c>
      <c r="CR3584">
        <v>0</v>
      </c>
      <c r="CW3584">
        <v>4731685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 t="shared" si="1575"/>
        <v>08/29/2020 06:22:14.468</v>
      </c>
      <c r="C3585" t="str">
        <f t="shared" si="1539"/>
        <v>FFDFD3C0</v>
      </c>
      <c r="D3585" t="s">
        <v>121</v>
      </c>
      <c r="E3585">
        <v>13</v>
      </c>
      <c r="F3585">
        <v>1013</v>
      </c>
      <c r="G3585" t="s">
        <v>122</v>
      </c>
      <c r="J3585" t="s">
        <v>123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 t="shared" si="1576"/>
        <v>06:22:17.695</v>
      </c>
      <c r="U3585" t="str">
        <f t="shared" si="1540"/>
        <v>A7E2E0</v>
      </c>
      <c r="V3585">
        <v>0</v>
      </c>
      <c r="W3585">
        <v>0</v>
      </c>
      <c r="X3585">
        <v>1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0</v>
      </c>
      <c r="AI3585" t="s">
        <v>1647</v>
      </c>
      <c r="AJ3585">
        <v>38.813152000000002</v>
      </c>
      <c r="AK3585" t="s">
        <v>1646</v>
      </c>
      <c r="AL3585">
        <v>-87.603263999999996</v>
      </c>
      <c r="AM3585">
        <v>100</v>
      </c>
      <c r="AN3585">
        <v>1500</v>
      </c>
      <c r="AO3585" t="s">
        <v>118</v>
      </c>
      <c r="AP3585">
        <v>-5</v>
      </c>
      <c r="AQ3585">
        <v>-107</v>
      </c>
      <c r="AR3585">
        <v>-1344</v>
      </c>
      <c r="AZ3585">
        <v>4552</v>
      </c>
      <c r="BA3585">
        <v>1</v>
      </c>
      <c r="BB3585" t="str">
        <f t="shared" si="1541"/>
        <v xml:space="preserve">N607SR  </v>
      </c>
      <c r="BC3585">
        <v>1</v>
      </c>
      <c r="BE3585">
        <v>0</v>
      </c>
      <c r="BF3585">
        <v>0</v>
      </c>
      <c r="BG3585">
        <v>0</v>
      </c>
      <c r="BH3585">
        <v>1300</v>
      </c>
      <c r="BI3585">
        <v>1</v>
      </c>
      <c r="BJ3585">
        <v>1</v>
      </c>
      <c r="BK3585">
        <v>1</v>
      </c>
      <c r="BL3585">
        <v>0</v>
      </c>
      <c r="BO3585">
        <v>0</v>
      </c>
      <c r="BP3585">
        <v>0</v>
      </c>
      <c r="BW3585" t="str">
        <f t="shared" si="1577"/>
        <v>06:22:17.698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5</v>
      </c>
      <c r="CP3585" t="s">
        <v>119</v>
      </c>
      <c r="CQ3585">
        <v>465</v>
      </c>
      <c r="CR3585">
        <v>0</v>
      </c>
      <c r="CW3585">
        <v>4731685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 t="shared" ref="A3586:A3591" si="1578">"08/29/2020 06:22:15.570"</f>
        <v>08/29/2020 06:22:15.570</v>
      </c>
      <c r="C3586" t="str">
        <f t="shared" ref="C3586:C3649" si="1579">"FFDFD3C0"</f>
        <v>FFDFD3C0</v>
      </c>
      <c r="D3586" t="s">
        <v>113</v>
      </c>
      <c r="E3586">
        <v>5</v>
      </c>
      <c r="H3586">
        <v>163</v>
      </c>
      <c r="I3586" t="s">
        <v>114</v>
      </c>
      <c r="J3586" t="s">
        <v>115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ref="S3586:S3591" si="1580">"06:22:18.789"</f>
        <v>06:22:18.789</v>
      </c>
      <c r="T3586" t="str">
        <f>"06:22:18.289"</f>
        <v>06:22:18.289</v>
      </c>
      <c r="U3586" t="str">
        <f t="shared" ref="U3586:U3649" si="1581">"A7E2E0"</f>
        <v>A7E2E0</v>
      </c>
      <c r="V3586">
        <v>0</v>
      </c>
      <c r="W3586">
        <v>0</v>
      </c>
      <c r="X3586">
        <v>1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0</v>
      </c>
      <c r="AI3586" t="s">
        <v>1648</v>
      </c>
      <c r="AJ3586">
        <v>38.812637000000002</v>
      </c>
      <c r="AK3586" t="s">
        <v>1627</v>
      </c>
      <c r="AL3586">
        <v>-87.603307000000001</v>
      </c>
      <c r="AM3586">
        <v>100</v>
      </c>
      <c r="AN3586">
        <v>1500</v>
      </c>
      <c r="AO3586" t="s">
        <v>118</v>
      </c>
      <c r="AP3586">
        <v>-6</v>
      </c>
      <c r="AQ3586">
        <v>-107</v>
      </c>
      <c r="AR3586">
        <v>-1344</v>
      </c>
      <c r="AZ3586">
        <v>4552</v>
      </c>
      <c r="BA3586">
        <v>1</v>
      </c>
      <c r="BB3586" t="str">
        <f t="shared" ref="BB3586:BB3649" si="1582">"N607SR  "</f>
        <v xml:space="preserve">N607SR  </v>
      </c>
      <c r="BC3586">
        <v>1</v>
      </c>
      <c r="BE3586">
        <v>0</v>
      </c>
      <c r="BF3586">
        <v>0</v>
      </c>
      <c r="BG3586">
        <v>0</v>
      </c>
      <c r="BH3586">
        <v>1275</v>
      </c>
      <c r="BI3586">
        <v>1</v>
      </c>
      <c r="BJ3586">
        <v>1</v>
      </c>
      <c r="BK3586">
        <v>1</v>
      </c>
      <c r="BL3586">
        <v>0</v>
      </c>
      <c r="BO3586">
        <v>0</v>
      </c>
      <c r="BP3586">
        <v>0</v>
      </c>
      <c r="BW3586" t="str">
        <f>"06:22:18.790"</f>
        <v>06:22:18.790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6</v>
      </c>
      <c r="CP3586" t="s">
        <v>119</v>
      </c>
      <c r="CQ3586">
        <v>457</v>
      </c>
      <c r="CR3586">
        <v>0</v>
      </c>
      <c r="CW3586">
        <v>15526970</v>
      </c>
      <c r="CY3586">
        <v>1</v>
      </c>
      <c r="CZ3586">
        <v>0</v>
      </c>
      <c r="DA3586">
        <v>0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 t="shared" si="1578"/>
        <v>08/29/2020 06:22:15.570</v>
      </c>
      <c r="C3587" t="str">
        <f t="shared" si="1579"/>
        <v>FFDFD3C0</v>
      </c>
      <c r="D3587" t="s">
        <v>121</v>
      </c>
      <c r="E3587">
        <v>10</v>
      </c>
      <c r="F3587">
        <v>1010</v>
      </c>
      <c r="G3587" t="s">
        <v>114</v>
      </c>
      <c r="J3587" t="s">
        <v>123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580"/>
        <v>06:22:18.789</v>
      </c>
      <c r="T3587" t="str">
        <f>"06:22:18.289"</f>
        <v>06:22:18.289</v>
      </c>
      <c r="U3587" t="str">
        <f t="shared" si="1581"/>
        <v>A7E2E0</v>
      </c>
      <c r="V3587">
        <v>0</v>
      </c>
      <c r="W3587">
        <v>0</v>
      </c>
      <c r="X3587">
        <v>1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3</v>
      </c>
      <c r="AG3587">
        <v>2</v>
      </c>
      <c r="AH3587">
        <v>0</v>
      </c>
      <c r="AI3587" t="s">
        <v>1648</v>
      </c>
      <c r="AJ3587">
        <v>38.812637000000002</v>
      </c>
      <c r="AK3587" t="s">
        <v>1627</v>
      </c>
      <c r="AL3587">
        <v>-87.603307000000001</v>
      </c>
      <c r="AM3587">
        <v>100</v>
      </c>
      <c r="AN3587">
        <v>1500</v>
      </c>
      <c r="AO3587" t="s">
        <v>118</v>
      </c>
      <c r="AP3587">
        <v>-6</v>
      </c>
      <c r="AQ3587">
        <v>-107</v>
      </c>
      <c r="AR3587">
        <v>-1344</v>
      </c>
      <c r="AZ3587">
        <v>4552</v>
      </c>
      <c r="BA3587">
        <v>1</v>
      </c>
      <c r="BB3587" t="str">
        <f t="shared" si="1582"/>
        <v xml:space="preserve">N607SR  </v>
      </c>
      <c r="BC3587">
        <v>1</v>
      </c>
      <c r="BE3587">
        <v>0</v>
      </c>
      <c r="BF3587">
        <v>0</v>
      </c>
      <c r="BG3587">
        <v>0</v>
      </c>
      <c r="BH3587">
        <v>1275</v>
      </c>
      <c r="BI3587">
        <v>1</v>
      </c>
      <c r="BJ3587">
        <v>1</v>
      </c>
      <c r="BK3587">
        <v>1</v>
      </c>
      <c r="BL3587">
        <v>0</v>
      </c>
      <c r="BO3587">
        <v>0</v>
      </c>
      <c r="BP3587">
        <v>0</v>
      </c>
      <c r="BW3587" t="str">
        <f>"06:22:18.790"</f>
        <v>06:22:18.790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6</v>
      </c>
      <c r="CP3587" t="s">
        <v>119</v>
      </c>
      <c r="CQ3587">
        <v>457</v>
      </c>
      <c r="CR3587">
        <v>0</v>
      </c>
      <c r="CW3587">
        <v>15526970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 t="shared" si="1578"/>
        <v>08/29/2020 06:22:15.570</v>
      </c>
      <c r="C3588" t="str">
        <f t="shared" si="1579"/>
        <v>FFDFD3C0</v>
      </c>
      <c r="D3588" t="s">
        <v>128</v>
      </c>
      <c r="E3588">
        <v>5</v>
      </c>
      <c r="H3588">
        <v>241</v>
      </c>
      <c r="I3588" t="s">
        <v>129</v>
      </c>
      <c r="J3588" t="s">
        <v>130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si="1580"/>
        <v>06:22:18.789</v>
      </c>
      <c r="T3588" t="str">
        <f>"06:22:18.289"</f>
        <v>06:22:18.289</v>
      </c>
      <c r="U3588" t="str">
        <f t="shared" si="1581"/>
        <v>A7E2E0</v>
      </c>
      <c r="V3588">
        <v>0</v>
      </c>
      <c r="W3588">
        <v>0</v>
      </c>
      <c r="X3588">
        <v>1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0</v>
      </c>
      <c r="AI3588" t="s">
        <v>1648</v>
      </c>
      <c r="AJ3588">
        <v>38.812637000000002</v>
      </c>
      <c r="AK3588" t="s">
        <v>1627</v>
      </c>
      <c r="AL3588">
        <v>-87.603307000000001</v>
      </c>
      <c r="AM3588">
        <v>100</v>
      </c>
      <c r="AN3588">
        <v>1500</v>
      </c>
      <c r="AO3588" t="s">
        <v>118</v>
      </c>
      <c r="AP3588">
        <v>-6</v>
      </c>
      <c r="AQ3588">
        <v>-107</v>
      </c>
      <c r="AR3588">
        <v>-1344</v>
      </c>
      <c r="AZ3588">
        <v>4552</v>
      </c>
      <c r="BA3588">
        <v>1</v>
      </c>
      <c r="BB3588" t="str">
        <f t="shared" si="1582"/>
        <v xml:space="preserve">N607SR  </v>
      </c>
      <c r="BC3588">
        <v>1</v>
      </c>
      <c r="BE3588">
        <v>0</v>
      </c>
      <c r="BF3588">
        <v>0</v>
      </c>
      <c r="BG3588">
        <v>0</v>
      </c>
      <c r="BH3588">
        <v>1275</v>
      </c>
      <c r="BI3588">
        <v>1</v>
      </c>
      <c r="BJ3588">
        <v>1</v>
      </c>
      <c r="BK3588">
        <v>1</v>
      </c>
      <c r="BL3588">
        <v>0</v>
      </c>
      <c r="BO3588">
        <v>0</v>
      </c>
      <c r="BP3588">
        <v>0</v>
      </c>
      <c r="BW3588" t="str">
        <f>"06:22:18.790"</f>
        <v>06:22:18.790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6</v>
      </c>
      <c r="CP3588" t="s">
        <v>119</v>
      </c>
      <c r="CQ3588">
        <v>457</v>
      </c>
      <c r="CR3588">
        <v>0</v>
      </c>
      <c r="CW3588">
        <v>15526970</v>
      </c>
      <c r="CY3588">
        <v>1</v>
      </c>
      <c r="CZ3588">
        <v>0</v>
      </c>
      <c r="DA3588">
        <v>1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 t="shared" si="1578"/>
        <v>08/29/2020 06:22:15.570</v>
      </c>
      <c r="C3589" t="str">
        <f t="shared" si="1579"/>
        <v>FFDFD3C0</v>
      </c>
      <c r="D3589" t="s">
        <v>121</v>
      </c>
      <c r="E3589">
        <v>11</v>
      </c>
      <c r="F3589">
        <v>1011</v>
      </c>
      <c r="G3589" t="s">
        <v>125</v>
      </c>
      <c r="J3589" t="s">
        <v>123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si="1580"/>
        <v>06:22:18.789</v>
      </c>
      <c r="T3589" t="str">
        <f>"06:22:18.289"</f>
        <v>06:22:18.289</v>
      </c>
      <c r="U3589" t="str">
        <f t="shared" si="1581"/>
        <v>A7E2E0</v>
      </c>
      <c r="V3589">
        <v>0</v>
      </c>
      <c r="W3589">
        <v>0</v>
      </c>
      <c r="X3589">
        <v>1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3</v>
      </c>
      <c r="AG3589">
        <v>2</v>
      </c>
      <c r="AH3589">
        <v>0</v>
      </c>
      <c r="AI3589" t="s">
        <v>1648</v>
      </c>
      <c r="AJ3589">
        <v>38.812637000000002</v>
      </c>
      <c r="AK3589" t="s">
        <v>1627</v>
      </c>
      <c r="AL3589">
        <v>-87.603307000000001</v>
      </c>
      <c r="AM3589">
        <v>100</v>
      </c>
      <c r="AN3589">
        <v>1500</v>
      </c>
      <c r="AO3589" t="s">
        <v>118</v>
      </c>
      <c r="AP3589">
        <v>-6</v>
      </c>
      <c r="AQ3589">
        <v>-107</v>
      </c>
      <c r="AR3589">
        <v>-1344</v>
      </c>
      <c r="AZ3589">
        <v>4552</v>
      </c>
      <c r="BA3589">
        <v>1</v>
      </c>
      <c r="BB3589" t="str">
        <f t="shared" si="1582"/>
        <v xml:space="preserve">N607SR  </v>
      </c>
      <c r="BC3589">
        <v>1</v>
      </c>
      <c r="BE3589">
        <v>0</v>
      </c>
      <c r="BF3589">
        <v>0</v>
      </c>
      <c r="BG3589">
        <v>0</v>
      </c>
      <c r="BH3589">
        <v>1275</v>
      </c>
      <c r="BI3589">
        <v>1</v>
      </c>
      <c r="BJ3589">
        <v>1</v>
      </c>
      <c r="BK3589">
        <v>1</v>
      </c>
      <c r="BL3589">
        <v>0</v>
      </c>
      <c r="BO3589">
        <v>0</v>
      </c>
      <c r="BP3589">
        <v>0</v>
      </c>
      <c r="BW3589" t="str">
        <f>"06:22:18.790"</f>
        <v>06:22:18.790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6</v>
      </c>
      <c r="CP3589" t="s">
        <v>119</v>
      </c>
      <c r="CQ3589">
        <v>457</v>
      </c>
      <c r="CR3589">
        <v>0</v>
      </c>
      <c r="CW3589">
        <v>15526970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 t="shared" si="1578"/>
        <v>08/29/2020 06:22:15.570</v>
      </c>
      <c r="C3590" t="str">
        <f t="shared" si="1579"/>
        <v>FFDFD3C0</v>
      </c>
      <c r="D3590" t="s">
        <v>939</v>
      </c>
      <c r="E3590">
        <v>10</v>
      </c>
      <c r="H3590">
        <v>79</v>
      </c>
      <c r="I3590" t="s">
        <v>940</v>
      </c>
      <c r="J3590" t="s">
        <v>130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si="1580"/>
        <v>06:22:18.789</v>
      </c>
      <c r="T3590" t="str">
        <f>"06:22:18.289"</f>
        <v>06:22:18.289</v>
      </c>
      <c r="U3590" t="str">
        <f t="shared" si="1581"/>
        <v>A7E2E0</v>
      </c>
      <c r="V3590">
        <v>0</v>
      </c>
      <c r="W3590">
        <v>0</v>
      </c>
      <c r="X3590">
        <v>1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0</v>
      </c>
      <c r="AI3590" t="s">
        <v>1648</v>
      </c>
      <c r="AJ3590">
        <v>38.812637000000002</v>
      </c>
      <c r="AK3590" t="s">
        <v>1627</v>
      </c>
      <c r="AL3590">
        <v>-87.603307000000001</v>
      </c>
      <c r="AM3590">
        <v>100</v>
      </c>
      <c r="AN3590">
        <v>1500</v>
      </c>
      <c r="AO3590" t="s">
        <v>118</v>
      </c>
      <c r="AP3590">
        <v>-6</v>
      </c>
      <c r="AQ3590">
        <v>-107</v>
      </c>
      <c r="AR3590">
        <v>-1344</v>
      </c>
      <c r="AZ3590">
        <v>4552</v>
      </c>
      <c r="BA3590">
        <v>1</v>
      </c>
      <c r="BB3590" t="str">
        <f t="shared" si="1582"/>
        <v xml:space="preserve">N607SR  </v>
      </c>
      <c r="BC3590">
        <v>1</v>
      </c>
      <c r="BE3590">
        <v>0</v>
      </c>
      <c r="BF3590">
        <v>0</v>
      </c>
      <c r="BG3590">
        <v>0</v>
      </c>
      <c r="BH3590">
        <v>1275</v>
      </c>
      <c r="BI3590">
        <v>1</v>
      </c>
      <c r="BJ3590">
        <v>1</v>
      </c>
      <c r="BK3590">
        <v>1</v>
      </c>
      <c r="BL3590">
        <v>0</v>
      </c>
      <c r="BO3590">
        <v>0</v>
      </c>
      <c r="BP3590">
        <v>0</v>
      </c>
      <c r="BW3590" t="str">
        <f>"06:22:18.790"</f>
        <v>06:22:18.790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5</v>
      </c>
      <c r="CP3590" t="s">
        <v>119</v>
      </c>
      <c r="CQ3590">
        <v>465</v>
      </c>
      <c r="CR3590">
        <v>0</v>
      </c>
      <c r="CW3590">
        <v>4731715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 t="shared" si="1578"/>
        <v>08/29/2020 06:22:15.570</v>
      </c>
      <c r="C3591" t="str">
        <f t="shared" si="1579"/>
        <v>FFDFD3C0</v>
      </c>
      <c r="D3591" t="s">
        <v>121</v>
      </c>
      <c r="E3591">
        <v>13</v>
      </c>
      <c r="F3591">
        <v>1013</v>
      </c>
      <c r="G3591" t="s">
        <v>122</v>
      </c>
      <c r="J3591" t="s">
        <v>123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580"/>
        <v>06:22:18.789</v>
      </c>
      <c r="U3591" t="str">
        <f t="shared" si="1581"/>
        <v>A7E2E0</v>
      </c>
      <c r="V3591">
        <v>0</v>
      </c>
      <c r="W3591">
        <v>0</v>
      </c>
      <c r="X3591">
        <v>1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0</v>
      </c>
      <c r="AI3591" t="s">
        <v>1648</v>
      </c>
      <c r="AJ3591">
        <v>38.812637000000002</v>
      </c>
      <c r="AK3591" t="s">
        <v>1627</v>
      </c>
      <c r="AL3591">
        <v>-87.603307000000001</v>
      </c>
      <c r="AM3591">
        <v>100</v>
      </c>
      <c r="AN3591">
        <v>1500</v>
      </c>
      <c r="AO3591" t="s">
        <v>118</v>
      </c>
      <c r="AP3591">
        <v>-6</v>
      </c>
      <c r="AQ3591">
        <v>-107</v>
      </c>
      <c r="AR3591">
        <v>-1344</v>
      </c>
      <c r="AZ3591">
        <v>4552</v>
      </c>
      <c r="BA3591">
        <v>1</v>
      </c>
      <c r="BB3591" t="str">
        <f t="shared" si="1582"/>
        <v xml:space="preserve">N607SR  </v>
      </c>
      <c r="BC3591">
        <v>1</v>
      </c>
      <c r="BE3591">
        <v>0</v>
      </c>
      <c r="BF3591">
        <v>0</v>
      </c>
      <c r="BG3591">
        <v>0</v>
      </c>
      <c r="BH3591">
        <v>1275</v>
      </c>
      <c r="BI3591">
        <v>1</v>
      </c>
      <c r="BJ3591">
        <v>1</v>
      </c>
      <c r="BK3591">
        <v>1</v>
      </c>
      <c r="BL3591">
        <v>0</v>
      </c>
      <c r="BO3591">
        <v>0</v>
      </c>
      <c r="BP3591">
        <v>0</v>
      </c>
      <c r="BW3591" t="str">
        <f>"06:22:18.791"</f>
        <v>06:22:18.791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4</v>
      </c>
      <c r="CP3591" t="s">
        <v>119</v>
      </c>
      <c r="CQ3591">
        <v>533</v>
      </c>
      <c r="CR3591">
        <v>0</v>
      </c>
      <c r="CW3591">
        <v>12028946</v>
      </c>
      <c r="CY3591">
        <v>1</v>
      </c>
      <c r="CZ3591">
        <v>0</v>
      </c>
      <c r="DA3591">
        <v>1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 t="shared" ref="A3592:A3597" si="1583">"08/29/2020 06:22:16.580"</f>
        <v>08/29/2020 06:22:16.580</v>
      </c>
      <c r="C3592" t="str">
        <f t="shared" si="1579"/>
        <v>FFDFD3C0</v>
      </c>
      <c r="D3592" t="s">
        <v>113</v>
      </c>
      <c r="E3592">
        <v>5</v>
      </c>
      <c r="H3592">
        <v>163</v>
      </c>
      <c r="I3592" t="s">
        <v>114</v>
      </c>
      <c r="J3592" t="s">
        <v>115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ref="S3592:S3597" si="1584">"06:22:19.820"</f>
        <v>06:22:19.820</v>
      </c>
      <c r="T3592" t="str">
        <f t="shared" ref="T3592:T3597" si="1585">"06:22:19.420"</f>
        <v>06:22:19.420</v>
      </c>
      <c r="U3592" t="str">
        <f t="shared" si="1581"/>
        <v>A7E2E0</v>
      </c>
      <c r="V3592">
        <v>0</v>
      </c>
      <c r="W3592">
        <v>0</v>
      </c>
      <c r="X3592">
        <v>1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0</v>
      </c>
      <c r="AI3592" t="s">
        <v>1649</v>
      </c>
      <c r="AJ3592">
        <v>38.812100999999998</v>
      </c>
      <c r="AK3592" t="s">
        <v>1621</v>
      </c>
      <c r="AL3592">
        <v>-87.603392999999997</v>
      </c>
      <c r="AM3592">
        <v>100</v>
      </c>
      <c r="AN3592">
        <v>1500</v>
      </c>
      <c r="AO3592" t="s">
        <v>118</v>
      </c>
      <c r="AP3592">
        <v>-7</v>
      </c>
      <c r="AQ3592">
        <v>-107</v>
      </c>
      <c r="AR3592">
        <v>-1344</v>
      </c>
      <c r="AZ3592">
        <v>4552</v>
      </c>
      <c r="BA3592">
        <v>1</v>
      </c>
      <c r="BB3592" t="str">
        <f t="shared" si="1582"/>
        <v xml:space="preserve">N607SR  </v>
      </c>
      <c r="BC3592">
        <v>1</v>
      </c>
      <c r="BE3592">
        <v>0</v>
      </c>
      <c r="BF3592">
        <v>0</v>
      </c>
      <c r="BG3592">
        <v>0</v>
      </c>
      <c r="BH3592">
        <v>1250</v>
      </c>
      <c r="BI3592">
        <v>1</v>
      </c>
      <c r="BJ3592">
        <v>1</v>
      </c>
      <c r="BK3592">
        <v>1</v>
      </c>
      <c r="BL3592">
        <v>0</v>
      </c>
      <c r="BO3592">
        <v>0</v>
      </c>
      <c r="BP3592">
        <v>0</v>
      </c>
      <c r="BW3592" t="str">
        <f t="shared" ref="BW3592:BW3597" si="1586">"06:22:19.824"</f>
        <v>06:22:19.824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6</v>
      </c>
      <c r="CP3592" t="s">
        <v>119</v>
      </c>
      <c r="CQ3592">
        <v>457</v>
      </c>
      <c r="CR3592">
        <v>0</v>
      </c>
      <c r="CW3592">
        <v>15527005</v>
      </c>
      <c r="CY3592">
        <v>1</v>
      </c>
      <c r="CZ3592">
        <v>0</v>
      </c>
      <c r="DA3592">
        <v>0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 t="shared" si="1583"/>
        <v>08/29/2020 06:22:16.580</v>
      </c>
      <c r="C3593" t="str">
        <f t="shared" si="1579"/>
        <v>FFDFD3C0</v>
      </c>
      <c r="D3593" t="s">
        <v>128</v>
      </c>
      <c r="E3593">
        <v>5</v>
      </c>
      <c r="H3593">
        <v>241</v>
      </c>
      <c r="I3593" t="s">
        <v>129</v>
      </c>
      <c r="J3593" t="s">
        <v>130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si="1584"/>
        <v>06:22:19.820</v>
      </c>
      <c r="T3593" t="str">
        <f t="shared" si="1585"/>
        <v>06:22:19.420</v>
      </c>
      <c r="U3593" t="str">
        <f t="shared" si="1581"/>
        <v>A7E2E0</v>
      </c>
      <c r="V3593">
        <v>0</v>
      </c>
      <c r="W3593">
        <v>0</v>
      </c>
      <c r="X3593">
        <v>1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0</v>
      </c>
      <c r="AI3593" t="s">
        <v>1649</v>
      </c>
      <c r="AJ3593">
        <v>38.812100999999998</v>
      </c>
      <c r="AK3593" t="s">
        <v>1621</v>
      </c>
      <c r="AL3593">
        <v>-87.603392999999997</v>
      </c>
      <c r="AM3593">
        <v>100</v>
      </c>
      <c r="AN3593">
        <v>1500</v>
      </c>
      <c r="AO3593" t="s">
        <v>118</v>
      </c>
      <c r="AP3593">
        <v>-7</v>
      </c>
      <c r="AQ3593">
        <v>-107</v>
      </c>
      <c r="AR3593">
        <v>-1344</v>
      </c>
      <c r="AZ3593">
        <v>4552</v>
      </c>
      <c r="BA3593">
        <v>1</v>
      </c>
      <c r="BB3593" t="str">
        <f t="shared" si="1582"/>
        <v xml:space="preserve">N607SR  </v>
      </c>
      <c r="BC3593">
        <v>1</v>
      </c>
      <c r="BE3593">
        <v>0</v>
      </c>
      <c r="BF3593">
        <v>0</v>
      </c>
      <c r="BG3593">
        <v>0</v>
      </c>
      <c r="BH3593">
        <v>1250</v>
      </c>
      <c r="BI3593">
        <v>1</v>
      </c>
      <c r="BJ3593">
        <v>1</v>
      </c>
      <c r="BK3593">
        <v>1</v>
      </c>
      <c r="BL3593">
        <v>0</v>
      </c>
      <c r="BO3593">
        <v>0</v>
      </c>
      <c r="BP3593">
        <v>0</v>
      </c>
      <c r="BW3593" t="str">
        <f t="shared" si="1586"/>
        <v>06:22:19.824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6</v>
      </c>
      <c r="CP3593" t="s">
        <v>119</v>
      </c>
      <c r="CQ3593">
        <v>457</v>
      </c>
      <c r="CR3593">
        <v>0</v>
      </c>
      <c r="CW3593">
        <v>15527005</v>
      </c>
      <c r="CY3593">
        <v>1</v>
      </c>
      <c r="CZ3593">
        <v>0</v>
      </c>
      <c r="DA3593">
        <v>1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 t="shared" si="1583"/>
        <v>08/29/2020 06:22:16.580</v>
      </c>
      <c r="C3594" t="str">
        <f t="shared" si="1579"/>
        <v>FFDFD3C0</v>
      </c>
      <c r="D3594" t="s">
        <v>121</v>
      </c>
      <c r="E3594">
        <v>10</v>
      </c>
      <c r="F3594">
        <v>1010</v>
      </c>
      <c r="G3594" t="s">
        <v>114</v>
      </c>
      <c r="J3594" t="s">
        <v>123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584"/>
        <v>06:22:19.820</v>
      </c>
      <c r="T3594" t="str">
        <f t="shared" si="1585"/>
        <v>06:22:19.420</v>
      </c>
      <c r="U3594" t="str">
        <f t="shared" si="1581"/>
        <v>A7E2E0</v>
      </c>
      <c r="V3594">
        <v>0</v>
      </c>
      <c r="W3594">
        <v>0</v>
      </c>
      <c r="X3594">
        <v>1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0</v>
      </c>
      <c r="AI3594" t="s">
        <v>1649</v>
      </c>
      <c r="AJ3594">
        <v>38.812100999999998</v>
      </c>
      <c r="AK3594" t="s">
        <v>1621</v>
      </c>
      <c r="AL3594">
        <v>-87.603392999999997</v>
      </c>
      <c r="AM3594">
        <v>100</v>
      </c>
      <c r="AN3594">
        <v>1500</v>
      </c>
      <c r="AO3594" t="s">
        <v>118</v>
      </c>
      <c r="AP3594">
        <v>-7</v>
      </c>
      <c r="AQ3594">
        <v>-107</v>
      </c>
      <c r="AR3594">
        <v>-1344</v>
      </c>
      <c r="AZ3594">
        <v>4552</v>
      </c>
      <c r="BA3594">
        <v>1</v>
      </c>
      <c r="BB3594" t="str">
        <f t="shared" si="1582"/>
        <v xml:space="preserve">N607SR  </v>
      </c>
      <c r="BC3594">
        <v>1</v>
      </c>
      <c r="BE3594">
        <v>0</v>
      </c>
      <c r="BF3594">
        <v>0</v>
      </c>
      <c r="BG3594">
        <v>0</v>
      </c>
      <c r="BH3594">
        <v>1250</v>
      </c>
      <c r="BI3594">
        <v>1</v>
      </c>
      <c r="BJ3594">
        <v>1</v>
      </c>
      <c r="BK3594">
        <v>1</v>
      </c>
      <c r="BL3594">
        <v>0</v>
      </c>
      <c r="BO3594">
        <v>0</v>
      </c>
      <c r="BP3594">
        <v>0</v>
      </c>
      <c r="BW3594" t="str">
        <f t="shared" si="1586"/>
        <v>06:22:19.824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6</v>
      </c>
      <c r="CP3594" t="s">
        <v>119</v>
      </c>
      <c r="CQ3594">
        <v>457</v>
      </c>
      <c r="CR3594">
        <v>0</v>
      </c>
      <c r="CW3594">
        <v>15527005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 t="shared" si="1583"/>
        <v>08/29/2020 06:22:16.580</v>
      </c>
      <c r="C3595" t="str">
        <f t="shared" si="1579"/>
        <v>FFDFD3C0</v>
      </c>
      <c r="D3595" t="s">
        <v>939</v>
      </c>
      <c r="E3595">
        <v>10</v>
      </c>
      <c r="H3595">
        <v>79</v>
      </c>
      <c r="I3595" t="s">
        <v>940</v>
      </c>
      <c r="J3595" t="s">
        <v>130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si="1584"/>
        <v>06:22:19.820</v>
      </c>
      <c r="T3595" t="str">
        <f t="shared" si="1585"/>
        <v>06:22:19.420</v>
      </c>
      <c r="U3595" t="str">
        <f t="shared" si="1581"/>
        <v>A7E2E0</v>
      </c>
      <c r="V3595">
        <v>0</v>
      </c>
      <c r="W3595">
        <v>0</v>
      </c>
      <c r="X3595">
        <v>1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0</v>
      </c>
      <c r="AI3595" t="s">
        <v>1649</v>
      </c>
      <c r="AJ3595">
        <v>38.812100999999998</v>
      </c>
      <c r="AK3595" t="s">
        <v>1621</v>
      </c>
      <c r="AL3595">
        <v>-87.603392999999997</v>
      </c>
      <c r="AM3595">
        <v>100</v>
      </c>
      <c r="AN3595">
        <v>1500</v>
      </c>
      <c r="AO3595" t="s">
        <v>118</v>
      </c>
      <c r="AP3595">
        <v>-7</v>
      </c>
      <c r="AQ3595">
        <v>-107</v>
      </c>
      <c r="AR3595">
        <v>-1344</v>
      </c>
      <c r="AZ3595">
        <v>4552</v>
      </c>
      <c r="BA3595">
        <v>1</v>
      </c>
      <c r="BB3595" t="str">
        <f t="shared" si="1582"/>
        <v xml:space="preserve">N607SR  </v>
      </c>
      <c r="BC3595">
        <v>1</v>
      </c>
      <c r="BE3595">
        <v>0</v>
      </c>
      <c r="BF3595">
        <v>0</v>
      </c>
      <c r="BG3595">
        <v>0</v>
      </c>
      <c r="BH3595">
        <v>1250</v>
      </c>
      <c r="BI3595">
        <v>1</v>
      </c>
      <c r="BJ3595">
        <v>1</v>
      </c>
      <c r="BK3595">
        <v>1</v>
      </c>
      <c r="BL3595">
        <v>0</v>
      </c>
      <c r="BO3595">
        <v>0</v>
      </c>
      <c r="BP3595">
        <v>0</v>
      </c>
      <c r="BW3595" t="str">
        <f t="shared" si="1586"/>
        <v>06:22:19.824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4</v>
      </c>
      <c r="CP3595" t="s">
        <v>119</v>
      </c>
      <c r="CQ3595">
        <v>465</v>
      </c>
      <c r="CR3595">
        <v>0</v>
      </c>
      <c r="CW3595">
        <v>4731747</v>
      </c>
      <c r="CY3595">
        <v>1</v>
      </c>
      <c r="CZ3595">
        <v>0</v>
      </c>
      <c r="DA3595">
        <v>1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 t="shared" si="1583"/>
        <v>08/29/2020 06:22:16.580</v>
      </c>
      <c r="C3596" t="str">
        <f t="shared" si="1579"/>
        <v>FFDFD3C0</v>
      </c>
      <c r="D3596" t="s">
        <v>121</v>
      </c>
      <c r="E3596">
        <v>11</v>
      </c>
      <c r="F3596">
        <v>1011</v>
      </c>
      <c r="G3596" t="s">
        <v>125</v>
      </c>
      <c r="J3596" t="s">
        <v>123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584"/>
        <v>06:22:19.820</v>
      </c>
      <c r="T3596" t="str">
        <f t="shared" si="1585"/>
        <v>06:22:19.420</v>
      </c>
      <c r="U3596" t="str">
        <f t="shared" si="1581"/>
        <v>A7E2E0</v>
      </c>
      <c r="V3596">
        <v>0</v>
      </c>
      <c r="W3596">
        <v>0</v>
      </c>
      <c r="X3596">
        <v>1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3</v>
      </c>
      <c r="AG3596">
        <v>2</v>
      </c>
      <c r="AH3596">
        <v>0</v>
      </c>
      <c r="AI3596" t="s">
        <v>1649</v>
      </c>
      <c r="AJ3596">
        <v>38.812100999999998</v>
      </c>
      <c r="AK3596" t="s">
        <v>1621</v>
      </c>
      <c r="AL3596">
        <v>-87.603392999999997</v>
      </c>
      <c r="AM3596">
        <v>100</v>
      </c>
      <c r="AN3596">
        <v>1500</v>
      </c>
      <c r="AO3596" t="s">
        <v>118</v>
      </c>
      <c r="AP3596">
        <v>-7</v>
      </c>
      <c r="AQ3596">
        <v>-107</v>
      </c>
      <c r="AR3596">
        <v>-1344</v>
      </c>
      <c r="AZ3596">
        <v>4552</v>
      </c>
      <c r="BA3596">
        <v>1</v>
      </c>
      <c r="BB3596" t="str">
        <f t="shared" si="1582"/>
        <v xml:space="preserve">N607SR  </v>
      </c>
      <c r="BC3596">
        <v>1</v>
      </c>
      <c r="BE3596">
        <v>0</v>
      </c>
      <c r="BF3596">
        <v>0</v>
      </c>
      <c r="BG3596">
        <v>0</v>
      </c>
      <c r="BH3596">
        <v>1250</v>
      </c>
      <c r="BI3596">
        <v>1</v>
      </c>
      <c r="BJ3596">
        <v>1</v>
      </c>
      <c r="BK3596">
        <v>1</v>
      </c>
      <c r="BL3596">
        <v>0</v>
      </c>
      <c r="BO3596">
        <v>0</v>
      </c>
      <c r="BP3596">
        <v>0</v>
      </c>
      <c r="BW3596" t="str">
        <f t="shared" si="1586"/>
        <v>06:22:19.824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6</v>
      </c>
      <c r="CP3596" t="s">
        <v>119</v>
      </c>
      <c r="CQ3596">
        <v>457</v>
      </c>
      <c r="CR3596">
        <v>0</v>
      </c>
      <c r="CW3596">
        <v>15527005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 t="shared" si="1583"/>
        <v>08/29/2020 06:22:16.580</v>
      </c>
      <c r="C3597" t="str">
        <f t="shared" si="1579"/>
        <v>FFDFD3C0</v>
      </c>
      <c r="D3597" t="s">
        <v>121</v>
      </c>
      <c r="E3597">
        <v>13</v>
      </c>
      <c r="F3597">
        <v>1013</v>
      </c>
      <c r="G3597" t="s">
        <v>122</v>
      </c>
      <c r="J3597" t="s">
        <v>123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si="1584"/>
        <v>06:22:19.820</v>
      </c>
      <c r="T3597" t="str">
        <f t="shared" si="1585"/>
        <v>06:22:19.420</v>
      </c>
      <c r="U3597" t="str">
        <f t="shared" si="1581"/>
        <v>A7E2E0</v>
      </c>
      <c r="V3597">
        <v>0</v>
      </c>
      <c r="W3597">
        <v>0</v>
      </c>
      <c r="X3597">
        <v>1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0</v>
      </c>
      <c r="AI3597" t="s">
        <v>1649</v>
      </c>
      <c r="AJ3597">
        <v>38.812100999999998</v>
      </c>
      <c r="AK3597" t="s">
        <v>1621</v>
      </c>
      <c r="AL3597">
        <v>-87.603392999999997</v>
      </c>
      <c r="AM3597">
        <v>100</v>
      </c>
      <c r="AN3597">
        <v>1500</v>
      </c>
      <c r="AO3597" t="s">
        <v>118</v>
      </c>
      <c r="AP3597">
        <v>-7</v>
      </c>
      <c r="AQ3597">
        <v>-107</v>
      </c>
      <c r="AR3597">
        <v>-1344</v>
      </c>
      <c r="AZ3597">
        <v>4552</v>
      </c>
      <c r="BA3597">
        <v>1</v>
      </c>
      <c r="BB3597" t="str">
        <f t="shared" si="1582"/>
        <v xml:space="preserve">N607SR  </v>
      </c>
      <c r="BC3597">
        <v>1</v>
      </c>
      <c r="BE3597">
        <v>0</v>
      </c>
      <c r="BF3597">
        <v>0</v>
      </c>
      <c r="BG3597">
        <v>0</v>
      </c>
      <c r="BH3597">
        <v>1250</v>
      </c>
      <c r="BI3597">
        <v>1</v>
      </c>
      <c r="BJ3597">
        <v>1</v>
      </c>
      <c r="BK3597">
        <v>1</v>
      </c>
      <c r="BL3597">
        <v>0</v>
      </c>
      <c r="BO3597">
        <v>0</v>
      </c>
      <c r="BP3597">
        <v>0</v>
      </c>
      <c r="BW3597" t="str">
        <f t="shared" si="1586"/>
        <v>06:22:19.824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6</v>
      </c>
      <c r="CP3597" t="s">
        <v>119</v>
      </c>
      <c r="CQ3597">
        <v>457</v>
      </c>
      <c r="CR3597">
        <v>0</v>
      </c>
      <c r="CW3597">
        <v>15527005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 t="shared" ref="A3598:A3603" si="1587">"08/29/2020 06:22:17.450"</f>
        <v>08/29/2020 06:22:17.450</v>
      </c>
      <c r="C3598" t="str">
        <f t="shared" si="1579"/>
        <v>FFDFD3C0</v>
      </c>
      <c r="D3598" t="s">
        <v>121</v>
      </c>
      <c r="E3598">
        <v>10</v>
      </c>
      <c r="F3598">
        <v>1010</v>
      </c>
      <c r="G3598" t="s">
        <v>114</v>
      </c>
      <c r="J3598" t="s">
        <v>123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ref="S3598:S3603" si="1588">"06:22:20.711"</f>
        <v>06:22:20.711</v>
      </c>
      <c r="T3598" t="str">
        <f t="shared" ref="T3598:T3603" si="1589">"06:22:20.411"</f>
        <v>06:22:20.411</v>
      </c>
      <c r="U3598" t="str">
        <f t="shared" si="1581"/>
        <v>A7E2E0</v>
      </c>
      <c r="V3598">
        <v>0</v>
      </c>
      <c r="W3598">
        <v>0</v>
      </c>
      <c r="X3598">
        <v>1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0</v>
      </c>
      <c r="AI3598" t="s">
        <v>1650</v>
      </c>
      <c r="AJ3598">
        <v>38.811629000000003</v>
      </c>
      <c r="AK3598" t="s">
        <v>1218</v>
      </c>
      <c r="AL3598">
        <v>-87.603436000000002</v>
      </c>
      <c r="AM3598">
        <v>100</v>
      </c>
      <c r="AN3598">
        <v>1400</v>
      </c>
      <c r="AO3598" t="s">
        <v>118</v>
      </c>
      <c r="AP3598">
        <v>-7</v>
      </c>
      <c r="AQ3598">
        <v>-107</v>
      </c>
      <c r="AR3598">
        <v>-1344</v>
      </c>
      <c r="AZ3598">
        <v>4552</v>
      </c>
      <c r="BA3598">
        <v>1</v>
      </c>
      <c r="BB3598" t="str">
        <f t="shared" si="1582"/>
        <v xml:space="preserve">N607SR  </v>
      </c>
      <c r="BC3598">
        <v>1</v>
      </c>
      <c r="BE3598">
        <v>0</v>
      </c>
      <c r="BF3598">
        <v>0</v>
      </c>
      <c r="BG3598">
        <v>0</v>
      </c>
      <c r="BH3598">
        <v>1125</v>
      </c>
      <c r="BI3598">
        <v>1</v>
      </c>
      <c r="BJ3598">
        <v>1</v>
      </c>
      <c r="BK3598">
        <v>1</v>
      </c>
      <c r="BL3598">
        <v>0</v>
      </c>
      <c r="BO3598">
        <v>0</v>
      </c>
      <c r="BP3598">
        <v>0</v>
      </c>
      <c r="BW3598" t="str">
        <f t="shared" ref="BW3598:BW3603" si="1590">"06:22:20.717"</f>
        <v>06:22:20.717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6</v>
      </c>
      <c r="CP3598" t="s">
        <v>119</v>
      </c>
      <c r="CQ3598">
        <v>457</v>
      </c>
      <c r="CR3598">
        <v>0</v>
      </c>
      <c r="CW3598">
        <v>15527032</v>
      </c>
      <c r="CY3598">
        <v>1</v>
      </c>
      <c r="CZ3598">
        <v>0</v>
      </c>
      <c r="DA3598">
        <v>0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 t="shared" si="1587"/>
        <v>08/29/2020 06:22:17.450</v>
      </c>
      <c r="C3599" t="str">
        <f t="shared" si="1579"/>
        <v>FFDFD3C0</v>
      </c>
      <c r="D3599" t="s">
        <v>128</v>
      </c>
      <c r="E3599">
        <v>5</v>
      </c>
      <c r="H3599">
        <v>241</v>
      </c>
      <c r="I3599" t="s">
        <v>129</v>
      </c>
      <c r="J3599" t="s">
        <v>130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si="1588"/>
        <v>06:22:20.711</v>
      </c>
      <c r="T3599" t="str">
        <f t="shared" si="1589"/>
        <v>06:22:20.411</v>
      </c>
      <c r="U3599" t="str">
        <f t="shared" si="1581"/>
        <v>A7E2E0</v>
      </c>
      <c r="V3599">
        <v>0</v>
      </c>
      <c r="W3599">
        <v>0</v>
      </c>
      <c r="X3599">
        <v>1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0</v>
      </c>
      <c r="AI3599" t="s">
        <v>1650</v>
      </c>
      <c r="AJ3599">
        <v>38.811629000000003</v>
      </c>
      <c r="AK3599" t="s">
        <v>1218</v>
      </c>
      <c r="AL3599">
        <v>-87.603436000000002</v>
      </c>
      <c r="AM3599">
        <v>100</v>
      </c>
      <c r="AN3599">
        <v>1400</v>
      </c>
      <c r="AO3599" t="s">
        <v>118</v>
      </c>
      <c r="AP3599">
        <v>-7</v>
      </c>
      <c r="AQ3599">
        <v>-107</v>
      </c>
      <c r="AR3599">
        <v>-1344</v>
      </c>
      <c r="AZ3599">
        <v>4552</v>
      </c>
      <c r="BA3599">
        <v>1</v>
      </c>
      <c r="BB3599" t="str">
        <f t="shared" si="1582"/>
        <v xml:space="preserve">N607SR  </v>
      </c>
      <c r="BC3599">
        <v>1</v>
      </c>
      <c r="BE3599">
        <v>0</v>
      </c>
      <c r="BF3599">
        <v>0</v>
      </c>
      <c r="BG3599">
        <v>0</v>
      </c>
      <c r="BH3599">
        <v>1125</v>
      </c>
      <c r="BI3599">
        <v>1</v>
      </c>
      <c r="BJ3599">
        <v>1</v>
      </c>
      <c r="BK3599">
        <v>1</v>
      </c>
      <c r="BL3599">
        <v>0</v>
      </c>
      <c r="BO3599">
        <v>0</v>
      </c>
      <c r="BP3599">
        <v>0</v>
      </c>
      <c r="BW3599" t="str">
        <f t="shared" si="1590"/>
        <v>06:22:20.717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6</v>
      </c>
      <c r="CP3599" t="s">
        <v>119</v>
      </c>
      <c r="CQ3599">
        <v>457</v>
      </c>
      <c r="CR3599">
        <v>0</v>
      </c>
      <c r="CW3599">
        <v>15527032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 t="shared" si="1587"/>
        <v>08/29/2020 06:22:17.450</v>
      </c>
      <c r="C3600" t="str">
        <f t="shared" si="1579"/>
        <v>FFDFD3C0</v>
      </c>
      <c r="D3600" t="s">
        <v>121</v>
      </c>
      <c r="E3600">
        <v>11</v>
      </c>
      <c r="F3600">
        <v>1011</v>
      </c>
      <c r="G3600" t="s">
        <v>125</v>
      </c>
      <c r="J3600" t="s">
        <v>123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1588"/>
        <v>06:22:20.711</v>
      </c>
      <c r="T3600" t="str">
        <f t="shared" si="1589"/>
        <v>06:22:20.411</v>
      </c>
      <c r="U3600" t="str">
        <f t="shared" si="1581"/>
        <v>A7E2E0</v>
      </c>
      <c r="V3600">
        <v>0</v>
      </c>
      <c r="W3600">
        <v>0</v>
      </c>
      <c r="X3600">
        <v>1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0</v>
      </c>
      <c r="AI3600" t="s">
        <v>1650</v>
      </c>
      <c r="AJ3600">
        <v>38.811629000000003</v>
      </c>
      <c r="AK3600" t="s">
        <v>1218</v>
      </c>
      <c r="AL3600">
        <v>-87.603436000000002</v>
      </c>
      <c r="AM3600">
        <v>100</v>
      </c>
      <c r="AN3600">
        <v>1400</v>
      </c>
      <c r="AO3600" t="s">
        <v>118</v>
      </c>
      <c r="AP3600">
        <v>-7</v>
      </c>
      <c r="AQ3600">
        <v>-107</v>
      </c>
      <c r="AR3600">
        <v>-1344</v>
      </c>
      <c r="AZ3600">
        <v>4552</v>
      </c>
      <c r="BA3600">
        <v>1</v>
      </c>
      <c r="BB3600" t="str">
        <f t="shared" si="1582"/>
        <v xml:space="preserve">N607SR  </v>
      </c>
      <c r="BC3600">
        <v>1</v>
      </c>
      <c r="BE3600">
        <v>0</v>
      </c>
      <c r="BF3600">
        <v>0</v>
      </c>
      <c r="BG3600">
        <v>0</v>
      </c>
      <c r="BH3600">
        <v>1125</v>
      </c>
      <c r="BI3600">
        <v>1</v>
      </c>
      <c r="BJ3600">
        <v>1</v>
      </c>
      <c r="BK3600">
        <v>1</v>
      </c>
      <c r="BL3600">
        <v>0</v>
      </c>
      <c r="BO3600">
        <v>0</v>
      </c>
      <c r="BP3600">
        <v>0</v>
      </c>
      <c r="BW3600" t="str">
        <f t="shared" si="1590"/>
        <v>06:22:20.717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6</v>
      </c>
      <c r="CP3600" t="s">
        <v>119</v>
      </c>
      <c r="CQ3600">
        <v>457</v>
      </c>
      <c r="CR3600">
        <v>0</v>
      </c>
      <c r="CW3600">
        <v>15527032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 t="shared" si="1587"/>
        <v>08/29/2020 06:22:17.450</v>
      </c>
      <c r="C3601" t="str">
        <f t="shared" si="1579"/>
        <v>FFDFD3C0</v>
      </c>
      <c r="D3601" t="s">
        <v>121</v>
      </c>
      <c r="E3601">
        <v>13</v>
      </c>
      <c r="F3601">
        <v>1013</v>
      </c>
      <c r="G3601" t="s">
        <v>122</v>
      </c>
      <c r="J3601" t="s">
        <v>123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si="1588"/>
        <v>06:22:20.711</v>
      </c>
      <c r="T3601" t="str">
        <f t="shared" si="1589"/>
        <v>06:22:20.411</v>
      </c>
      <c r="U3601" t="str">
        <f t="shared" si="1581"/>
        <v>A7E2E0</v>
      </c>
      <c r="V3601">
        <v>0</v>
      </c>
      <c r="W3601">
        <v>0</v>
      </c>
      <c r="X3601">
        <v>1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0</v>
      </c>
      <c r="AI3601" t="s">
        <v>1650</v>
      </c>
      <c r="AJ3601">
        <v>38.811629000000003</v>
      </c>
      <c r="AK3601" t="s">
        <v>1218</v>
      </c>
      <c r="AL3601">
        <v>-87.603436000000002</v>
      </c>
      <c r="AM3601">
        <v>100</v>
      </c>
      <c r="AN3601">
        <v>1400</v>
      </c>
      <c r="AO3601" t="s">
        <v>118</v>
      </c>
      <c r="AP3601">
        <v>-7</v>
      </c>
      <c r="AQ3601">
        <v>-107</v>
      </c>
      <c r="AR3601">
        <v>-1344</v>
      </c>
      <c r="AZ3601">
        <v>4552</v>
      </c>
      <c r="BA3601">
        <v>1</v>
      </c>
      <c r="BB3601" t="str">
        <f t="shared" si="1582"/>
        <v xml:space="preserve">N607SR  </v>
      </c>
      <c r="BC3601">
        <v>1</v>
      </c>
      <c r="BE3601">
        <v>0</v>
      </c>
      <c r="BF3601">
        <v>0</v>
      </c>
      <c r="BG3601">
        <v>0</v>
      </c>
      <c r="BH3601">
        <v>1125</v>
      </c>
      <c r="BI3601">
        <v>1</v>
      </c>
      <c r="BJ3601">
        <v>1</v>
      </c>
      <c r="BK3601">
        <v>1</v>
      </c>
      <c r="BL3601">
        <v>0</v>
      </c>
      <c r="BO3601">
        <v>0</v>
      </c>
      <c r="BP3601">
        <v>0</v>
      </c>
      <c r="BW3601" t="str">
        <f t="shared" si="1590"/>
        <v>06:22:20.717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6</v>
      </c>
      <c r="CP3601" t="s">
        <v>119</v>
      </c>
      <c r="CQ3601">
        <v>457</v>
      </c>
      <c r="CR3601">
        <v>0</v>
      </c>
      <c r="CW3601">
        <v>15527032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 t="shared" si="1587"/>
        <v>08/29/2020 06:22:17.450</v>
      </c>
      <c r="C3602" t="str">
        <f t="shared" si="1579"/>
        <v>FFDFD3C0</v>
      </c>
      <c r="D3602" t="s">
        <v>113</v>
      </c>
      <c r="E3602">
        <v>5</v>
      </c>
      <c r="H3602">
        <v>163</v>
      </c>
      <c r="I3602" t="s">
        <v>114</v>
      </c>
      <c r="J3602" t="s">
        <v>115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si="1588"/>
        <v>06:22:20.711</v>
      </c>
      <c r="T3602" t="str">
        <f t="shared" si="1589"/>
        <v>06:22:20.411</v>
      </c>
      <c r="U3602" t="str">
        <f t="shared" si="1581"/>
        <v>A7E2E0</v>
      </c>
      <c r="V3602">
        <v>0</v>
      </c>
      <c r="W3602">
        <v>0</v>
      </c>
      <c r="X3602">
        <v>1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0</v>
      </c>
      <c r="AI3602" t="s">
        <v>1650</v>
      </c>
      <c r="AJ3602">
        <v>38.811629000000003</v>
      </c>
      <c r="AK3602" t="s">
        <v>1218</v>
      </c>
      <c r="AL3602">
        <v>-87.603436000000002</v>
      </c>
      <c r="AM3602">
        <v>100</v>
      </c>
      <c r="AN3602">
        <v>1400</v>
      </c>
      <c r="AO3602" t="s">
        <v>118</v>
      </c>
      <c r="AP3602">
        <v>-7</v>
      </c>
      <c r="AQ3602">
        <v>-107</v>
      </c>
      <c r="AR3602">
        <v>-1344</v>
      </c>
      <c r="AZ3602">
        <v>4552</v>
      </c>
      <c r="BA3602">
        <v>1</v>
      </c>
      <c r="BB3602" t="str">
        <f t="shared" si="1582"/>
        <v xml:space="preserve">N607SR  </v>
      </c>
      <c r="BC3602">
        <v>1</v>
      </c>
      <c r="BE3602">
        <v>0</v>
      </c>
      <c r="BF3602">
        <v>0</v>
      </c>
      <c r="BG3602">
        <v>0</v>
      </c>
      <c r="BH3602">
        <v>1125</v>
      </c>
      <c r="BI3602">
        <v>1</v>
      </c>
      <c r="BJ3602">
        <v>1</v>
      </c>
      <c r="BK3602">
        <v>1</v>
      </c>
      <c r="BL3602">
        <v>0</v>
      </c>
      <c r="BO3602">
        <v>0</v>
      </c>
      <c r="BP3602">
        <v>0</v>
      </c>
      <c r="BW3602" t="str">
        <f t="shared" si="1590"/>
        <v>06:22:20.717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6</v>
      </c>
      <c r="CP3602" t="s">
        <v>119</v>
      </c>
      <c r="CQ3602">
        <v>457</v>
      </c>
      <c r="CR3602">
        <v>0</v>
      </c>
      <c r="CW3602">
        <v>15527032</v>
      </c>
      <c r="CY3602">
        <v>1</v>
      </c>
      <c r="CZ3602">
        <v>0</v>
      </c>
      <c r="DA3602">
        <v>1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 t="shared" si="1587"/>
        <v>08/29/2020 06:22:17.450</v>
      </c>
      <c r="C3603" t="str">
        <f t="shared" si="1579"/>
        <v>FFDFD3C0</v>
      </c>
      <c r="D3603" t="s">
        <v>939</v>
      </c>
      <c r="E3603">
        <v>10</v>
      </c>
      <c r="H3603">
        <v>79</v>
      </c>
      <c r="I3603" t="s">
        <v>940</v>
      </c>
      <c r="J3603" t="s">
        <v>130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1588"/>
        <v>06:22:20.711</v>
      </c>
      <c r="T3603" t="str">
        <f t="shared" si="1589"/>
        <v>06:22:20.411</v>
      </c>
      <c r="U3603" t="str">
        <f t="shared" si="1581"/>
        <v>A7E2E0</v>
      </c>
      <c r="V3603">
        <v>0</v>
      </c>
      <c r="W3603">
        <v>0</v>
      </c>
      <c r="X3603">
        <v>1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0</v>
      </c>
      <c r="AI3603" t="s">
        <v>1650</v>
      </c>
      <c r="AJ3603">
        <v>38.811629000000003</v>
      </c>
      <c r="AK3603" t="s">
        <v>1218</v>
      </c>
      <c r="AL3603">
        <v>-87.603436000000002</v>
      </c>
      <c r="AM3603">
        <v>100</v>
      </c>
      <c r="AN3603">
        <v>1400</v>
      </c>
      <c r="AO3603" t="s">
        <v>118</v>
      </c>
      <c r="AP3603">
        <v>-7</v>
      </c>
      <c r="AQ3603">
        <v>-107</v>
      </c>
      <c r="AR3603">
        <v>-1344</v>
      </c>
      <c r="AZ3603">
        <v>4552</v>
      </c>
      <c r="BA3603">
        <v>1</v>
      </c>
      <c r="BB3603" t="str">
        <f t="shared" si="1582"/>
        <v xml:space="preserve">N607SR  </v>
      </c>
      <c r="BC3603">
        <v>1</v>
      </c>
      <c r="BE3603">
        <v>0</v>
      </c>
      <c r="BF3603">
        <v>0</v>
      </c>
      <c r="BG3603">
        <v>0</v>
      </c>
      <c r="BH3603">
        <v>1125</v>
      </c>
      <c r="BI3603">
        <v>1</v>
      </c>
      <c r="BJ3603">
        <v>1</v>
      </c>
      <c r="BK3603">
        <v>1</v>
      </c>
      <c r="BL3603">
        <v>0</v>
      </c>
      <c r="BO3603">
        <v>0</v>
      </c>
      <c r="BP3603">
        <v>0</v>
      </c>
      <c r="BW3603" t="str">
        <f t="shared" si="1590"/>
        <v>06:22:20.717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5</v>
      </c>
      <c r="CP3603" t="s">
        <v>119</v>
      </c>
      <c r="CQ3603">
        <v>465</v>
      </c>
      <c r="CR3603">
        <v>0</v>
      </c>
      <c r="CW3603">
        <v>4731776</v>
      </c>
      <c r="CY3603">
        <v>1</v>
      </c>
      <c r="CZ3603">
        <v>0</v>
      </c>
      <c r="DA3603">
        <v>1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 t="shared" ref="A3604:A3609" si="1591">"08/29/2020 06:22:18.526"</f>
        <v>08/29/2020 06:22:18.526</v>
      </c>
      <c r="C3604" t="str">
        <f t="shared" si="1579"/>
        <v>FFDFD3C0</v>
      </c>
      <c r="D3604" t="s">
        <v>121</v>
      </c>
      <c r="E3604">
        <v>11</v>
      </c>
      <c r="F3604">
        <v>1011</v>
      </c>
      <c r="G3604" t="s">
        <v>125</v>
      </c>
      <c r="J3604" t="s">
        <v>123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ref="S3604:S3609" si="1592">"06:22:21.719"</f>
        <v>06:22:21.719</v>
      </c>
      <c r="T3604" t="str">
        <f>"06:22:21.219"</f>
        <v>06:22:21.219</v>
      </c>
      <c r="U3604" t="str">
        <f t="shared" si="1581"/>
        <v>A7E2E0</v>
      </c>
      <c r="V3604">
        <v>0</v>
      </c>
      <c r="W3604">
        <v>0</v>
      </c>
      <c r="X3604">
        <v>1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3</v>
      </c>
      <c r="AG3604">
        <v>2</v>
      </c>
      <c r="AH3604">
        <v>0</v>
      </c>
      <c r="AI3604" t="s">
        <v>1651</v>
      </c>
      <c r="AJ3604">
        <v>38.811135</v>
      </c>
      <c r="AK3604" t="s">
        <v>1616</v>
      </c>
      <c r="AL3604">
        <v>-87.603477999999996</v>
      </c>
      <c r="AM3604">
        <v>100</v>
      </c>
      <c r="AN3604">
        <v>1400</v>
      </c>
      <c r="AO3604" t="s">
        <v>118</v>
      </c>
      <c r="AP3604">
        <v>-8</v>
      </c>
      <c r="AQ3604">
        <v>-107</v>
      </c>
      <c r="AR3604">
        <v>-1344</v>
      </c>
      <c r="AZ3604">
        <v>4552</v>
      </c>
      <c r="BA3604">
        <v>1</v>
      </c>
      <c r="BB3604" t="str">
        <f t="shared" si="1582"/>
        <v xml:space="preserve">N607SR  </v>
      </c>
      <c r="BC3604">
        <v>1</v>
      </c>
      <c r="BE3604">
        <v>0</v>
      </c>
      <c r="BF3604">
        <v>0</v>
      </c>
      <c r="BG3604">
        <v>0</v>
      </c>
      <c r="BH3604">
        <v>1200</v>
      </c>
      <c r="BI3604">
        <v>1</v>
      </c>
      <c r="BJ3604">
        <v>1</v>
      </c>
      <c r="BK3604">
        <v>1</v>
      </c>
      <c r="BL3604">
        <v>0</v>
      </c>
      <c r="BO3604">
        <v>0</v>
      </c>
      <c r="BP3604">
        <v>0</v>
      </c>
      <c r="BW3604" t="str">
        <f t="shared" ref="BW3604:BW3609" si="1593">"06:22:21.723"</f>
        <v>06:22:21.723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6</v>
      </c>
      <c r="CP3604" t="s">
        <v>119</v>
      </c>
      <c r="CQ3604">
        <v>457</v>
      </c>
      <c r="CR3604">
        <v>0</v>
      </c>
      <c r="CW3604">
        <v>15527062</v>
      </c>
      <c r="CY3604">
        <v>1</v>
      </c>
      <c r="CZ3604">
        <v>0</v>
      </c>
      <c r="DA3604">
        <v>0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 t="shared" si="1591"/>
        <v>08/29/2020 06:22:18.526</v>
      </c>
      <c r="C3605" t="str">
        <f t="shared" si="1579"/>
        <v>FFDFD3C0</v>
      </c>
      <c r="D3605" t="s">
        <v>128</v>
      </c>
      <c r="E3605">
        <v>5</v>
      </c>
      <c r="H3605">
        <v>241</v>
      </c>
      <c r="I3605" t="s">
        <v>129</v>
      </c>
      <c r="J3605" t="s">
        <v>130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1592"/>
        <v>06:22:21.719</v>
      </c>
      <c r="U3605" t="str">
        <f t="shared" si="1581"/>
        <v>A7E2E0</v>
      </c>
      <c r="V3605">
        <v>0</v>
      </c>
      <c r="W3605">
        <v>0</v>
      </c>
      <c r="X3605">
        <v>1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0</v>
      </c>
      <c r="AI3605" t="s">
        <v>1651</v>
      </c>
      <c r="AJ3605">
        <v>38.811135</v>
      </c>
      <c r="AK3605" t="s">
        <v>1616</v>
      </c>
      <c r="AL3605">
        <v>-87.603477999999996</v>
      </c>
      <c r="AM3605">
        <v>100</v>
      </c>
      <c r="AN3605">
        <v>1400</v>
      </c>
      <c r="AO3605" t="s">
        <v>118</v>
      </c>
      <c r="AP3605">
        <v>-8</v>
      </c>
      <c r="AQ3605">
        <v>-107</v>
      </c>
      <c r="AR3605">
        <v>-1344</v>
      </c>
      <c r="AZ3605">
        <v>4552</v>
      </c>
      <c r="BA3605">
        <v>1</v>
      </c>
      <c r="BB3605" t="str">
        <f t="shared" si="1582"/>
        <v xml:space="preserve">N607SR  </v>
      </c>
      <c r="BC3605">
        <v>1</v>
      </c>
      <c r="BE3605">
        <v>0</v>
      </c>
      <c r="BF3605">
        <v>0</v>
      </c>
      <c r="BG3605">
        <v>0</v>
      </c>
      <c r="BH3605">
        <v>1200</v>
      </c>
      <c r="BI3605">
        <v>1</v>
      </c>
      <c r="BJ3605">
        <v>1</v>
      </c>
      <c r="BK3605">
        <v>1</v>
      </c>
      <c r="BL3605">
        <v>0</v>
      </c>
      <c r="BO3605">
        <v>0</v>
      </c>
      <c r="BP3605">
        <v>0</v>
      </c>
      <c r="BW3605" t="str">
        <f t="shared" si="1593"/>
        <v>06:22:21.723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4</v>
      </c>
      <c r="CP3605" t="s">
        <v>119</v>
      </c>
      <c r="CQ3605">
        <v>465</v>
      </c>
      <c r="CR3605">
        <v>0</v>
      </c>
      <c r="CW3605">
        <v>4731804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3">
      <c r="A3606" t="str">
        <f t="shared" si="1591"/>
        <v>08/29/2020 06:22:18.526</v>
      </c>
      <c r="C3606" t="str">
        <f t="shared" si="1579"/>
        <v>FFDFD3C0</v>
      </c>
      <c r="D3606" t="s">
        <v>121</v>
      </c>
      <c r="E3606">
        <v>10</v>
      </c>
      <c r="F3606">
        <v>1010</v>
      </c>
      <c r="G3606" t="s">
        <v>114</v>
      </c>
      <c r="J3606" t="s">
        <v>123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si="1592"/>
        <v>06:22:21.719</v>
      </c>
      <c r="U3606" t="str">
        <f t="shared" si="1581"/>
        <v>A7E2E0</v>
      </c>
      <c r="V3606">
        <v>0</v>
      </c>
      <c r="W3606">
        <v>0</v>
      </c>
      <c r="X3606">
        <v>1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0</v>
      </c>
      <c r="AI3606" t="s">
        <v>1651</v>
      </c>
      <c r="AJ3606">
        <v>38.811135</v>
      </c>
      <c r="AK3606" t="s">
        <v>1616</v>
      </c>
      <c r="AL3606">
        <v>-87.603477999999996</v>
      </c>
      <c r="AM3606">
        <v>100</v>
      </c>
      <c r="AN3606">
        <v>1400</v>
      </c>
      <c r="AO3606" t="s">
        <v>118</v>
      </c>
      <c r="AP3606">
        <v>-8</v>
      </c>
      <c r="AQ3606">
        <v>-107</v>
      </c>
      <c r="AR3606">
        <v>-1344</v>
      </c>
      <c r="AZ3606">
        <v>4552</v>
      </c>
      <c r="BA3606">
        <v>1</v>
      </c>
      <c r="BB3606" t="str">
        <f t="shared" si="1582"/>
        <v xml:space="preserve">N607SR  </v>
      </c>
      <c r="BC3606">
        <v>1</v>
      </c>
      <c r="BE3606">
        <v>0</v>
      </c>
      <c r="BF3606">
        <v>0</v>
      </c>
      <c r="BG3606">
        <v>0</v>
      </c>
      <c r="BH3606">
        <v>1200</v>
      </c>
      <c r="BI3606">
        <v>1</v>
      </c>
      <c r="BJ3606">
        <v>1</v>
      </c>
      <c r="BK3606">
        <v>1</v>
      </c>
      <c r="BL3606">
        <v>0</v>
      </c>
      <c r="BO3606">
        <v>0</v>
      </c>
      <c r="BP3606">
        <v>0</v>
      </c>
      <c r="BW3606" t="str">
        <f t="shared" si="1593"/>
        <v>06:22:21.723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4</v>
      </c>
      <c r="CP3606" t="s">
        <v>119</v>
      </c>
      <c r="CQ3606">
        <v>465</v>
      </c>
      <c r="CR3606">
        <v>0</v>
      </c>
      <c r="CW3606">
        <v>4731804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0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3">
      <c r="A3607" t="str">
        <f t="shared" si="1591"/>
        <v>08/29/2020 06:22:18.526</v>
      </c>
      <c r="C3607" t="str">
        <f t="shared" si="1579"/>
        <v>FFDFD3C0</v>
      </c>
      <c r="D3607" t="s">
        <v>121</v>
      </c>
      <c r="E3607">
        <v>13</v>
      </c>
      <c r="F3607">
        <v>1013</v>
      </c>
      <c r="G3607" t="s">
        <v>122</v>
      </c>
      <c r="J3607" t="s">
        <v>123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1592"/>
        <v>06:22:21.719</v>
      </c>
      <c r="U3607" t="str">
        <f t="shared" si="1581"/>
        <v>A7E2E0</v>
      </c>
      <c r="V3607">
        <v>0</v>
      </c>
      <c r="W3607">
        <v>0</v>
      </c>
      <c r="X3607">
        <v>1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0</v>
      </c>
      <c r="AI3607" t="s">
        <v>1651</v>
      </c>
      <c r="AJ3607">
        <v>38.811135</v>
      </c>
      <c r="AK3607" t="s">
        <v>1616</v>
      </c>
      <c r="AL3607">
        <v>-87.603477999999996</v>
      </c>
      <c r="AM3607">
        <v>100</v>
      </c>
      <c r="AN3607">
        <v>1400</v>
      </c>
      <c r="AO3607" t="s">
        <v>118</v>
      </c>
      <c r="AP3607">
        <v>-8</v>
      </c>
      <c r="AQ3607">
        <v>-107</v>
      </c>
      <c r="AR3607">
        <v>-1344</v>
      </c>
      <c r="AZ3607">
        <v>4552</v>
      </c>
      <c r="BA3607">
        <v>1</v>
      </c>
      <c r="BB3607" t="str">
        <f t="shared" si="1582"/>
        <v xml:space="preserve">N607SR  </v>
      </c>
      <c r="BC3607">
        <v>1</v>
      </c>
      <c r="BE3607">
        <v>0</v>
      </c>
      <c r="BF3607">
        <v>0</v>
      </c>
      <c r="BG3607">
        <v>0</v>
      </c>
      <c r="BH3607">
        <v>1200</v>
      </c>
      <c r="BI3607">
        <v>1</v>
      </c>
      <c r="BJ3607">
        <v>1</v>
      </c>
      <c r="BK3607">
        <v>1</v>
      </c>
      <c r="BL3607">
        <v>0</v>
      </c>
      <c r="BO3607">
        <v>0</v>
      </c>
      <c r="BP3607">
        <v>0</v>
      </c>
      <c r="BW3607" t="str">
        <f t="shared" si="1593"/>
        <v>06:22:21.723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4</v>
      </c>
      <c r="CP3607" t="s">
        <v>119</v>
      </c>
      <c r="CQ3607">
        <v>465</v>
      </c>
      <c r="CR3607">
        <v>0</v>
      </c>
      <c r="CW3607">
        <v>4731804</v>
      </c>
      <c r="CY3607">
        <v>1</v>
      </c>
      <c r="CZ3607">
        <v>0</v>
      </c>
      <c r="DA3607">
        <v>1</v>
      </c>
      <c r="DB3607">
        <v>0</v>
      </c>
      <c r="DC3607">
        <v>0</v>
      </c>
      <c r="DD3607">
        <v>0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3">
      <c r="A3608" t="str">
        <f t="shared" si="1591"/>
        <v>08/29/2020 06:22:18.526</v>
      </c>
      <c r="C3608" t="str">
        <f t="shared" si="1579"/>
        <v>FFDFD3C0</v>
      </c>
      <c r="D3608" t="s">
        <v>939</v>
      </c>
      <c r="E3608">
        <v>10</v>
      </c>
      <c r="H3608">
        <v>79</v>
      </c>
      <c r="I3608" t="s">
        <v>940</v>
      </c>
      <c r="J3608" t="s">
        <v>130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1592"/>
        <v>06:22:21.719</v>
      </c>
      <c r="U3608" t="str">
        <f t="shared" si="1581"/>
        <v>A7E2E0</v>
      </c>
      <c r="V3608">
        <v>0</v>
      </c>
      <c r="W3608">
        <v>0</v>
      </c>
      <c r="X3608">
        <v>1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0</v>
      </c>
      <c r="AI3608" t="s">
        <v>1651</v>
      </c>
      <c r="AJ3608">
        <v>38.811135</v>
      </c>
      <c r="AK3608" t="s">
        <v>1616</v>
      </c>
      <c r="AL3608">
        <v>-87.603477999999996</v>
      </c>
      <c r="AM3608">
        <v>100</v>
      </c>
      <c r="AN3608">
        <v>1400</v>
      </c>
      <c r="AO3608" t="s">
        <v>118</v>
      </c>
      <c r="AP3608">
        <v>-8</v>
      </c>
      <c r="AQ3608">
        <v>-107</v>
      </c>
      <c r="AR3608">
        <v>-1344</v>
      </c>
      <c r="AZ3608">
        <v>4552</v>
      </c>
      <c r="BA3608">
        <v>1</v>
      </c>
      <c r="BB3608" t="str">
        <f t="shared" si="1582"/>
        <v xml:space="preserve">N607SR  </v>
      </c>
      <c r="BC3608">
        <v>1</v>
      </c>
      <c r="BE3608">
        <v>0</v>
      </c>
      <c r="BF3608">
        <v>0</v>
      </c>
      <c r="BG3608">
        <v>0</v>
      </c>
      <c r="BH3608">
        <v>1200</v>
      </c>
      <c r="BI3608">
        <v>1</v>
      </c>
      <c r="BJ3608">
        <v>1</v>
      </c>
      <c r="BK3608">
        <v>1</v>
      </c>
      <c r="BL3608">
        <v>0</v>
      </c>
      <c r="BO3608">
        <v>0</v>
      </c>
      <c r="BP3608">
        <v>0</v>
      </c>
      <c r="BW3608" t="str">
        <f t="shared" si="1593"/>
        <v>06:22:21.723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4</v>
      </c>
      <c r="CP3608" t="s">
        <v>119</v>
      </c>
      <c r="CQ3608">
        <v>465</v>
      </c>
      <c r="CR3608">
        <v>0</v>
      </c>
      <c r="CW3608">
        <v>4731804</v>
      </c>
      <c r="CY3608">
        <v>1</v>
      </c>
      <c r="CZ3608">
        <v>0</v>
      </c>
      <c r="DA3608">
        <v>1</v>
      </c>
      <c r="DB3608">
        <v>0</v>
      </c>
      <c r="DC3608">
        <v>0</v>
      </c>
      <c r="DD3608">
        <v>0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3">
      <c r="A3609" t="str">
        <f t="shared" si="1591"/>
        <v>08/29/2020 06:22:18.526</v>
      </c>
      <c r="C3609" t="str">
        <f t="shared" si="1579"/>
        <v>FFDFD3C0</v>
      </c>
      <c r="D3609" t="s">
        <v>113</v>
      </c>
      <c r="E3609">
        <v>5</v>
      </c>
      <c r="H3609">
        <v>163</v>
      </c>
      <c r="I3609" t="s">
        <v>114</v>
      </c>
      <c r="J3609" t="s">
        <v>115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si="1592"/>
        <v>06:22:21.719</v>
      </c>
      <c r="U3609" t="str">
        <f t="shared" si="1581"/>
        <v>A7E2E0</v>
      </c>
      <c r="V3609">
        <v>0</v>
      </c>
      <c r="W3609">
        <v>0</v>
      </c>
      <c r="X3609">
        <v>1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0</v>
      </c>
      <c r="AI3609" t="s">
        <v>1651</v>
      </c>
      <c r="AJ3609">
        <v>38.811135</v>
      </c>
      <c r="AK3609" t="s">
        <v>1616</v>
      </c>
      <c r="AL3609">
        <v>-87.603477999999996</v>
      </c>
      <c r="AM3609">
        <v>100</v>
      </c>
      <c r="AN3609">
        <v>1400</v>
      </c>
      <c r="AO3609" t="s">
        <v>118</v>
      </c>
      <c r="AP3609">
        <v>-8</v>
      </c>
      <c r="AQ3609">
        <v>-107</v>
      </c>
      <c r="AR3609">
        <v>-1344</v>
      </c>
      <c r="AZ3609">
        <v>4552</v>
      </c>
      <c r="BA3609">
        <v>1</v>
      </c>
      <c r="BB3609" t="str">
        <f t="shared" si="1582"/>
        <v xml:space="preserve">N607SR  </v>
      </c>
      <c r="BC3609">
        <v>1</v>
      </c>
      <c r="BE3609">
        <v>0</v>
      </c>
      <c r="BF3609">
        <v>0</v>
      </c>
      <c r="BG3609">
        <v>0</v>
      </c>
      <c r="BH3609">
        <v>1200</v>
      </c>
      <c r="BI3609">
        <v>1</v>
      </c>
      <c r="BJ3609">
        <v>1</v>
      </c>
      <c r="BK3609">
        <v>1</v>
      </c>
      <c r="BL3609">
        <v>0</v>
      </c>
      <c r="BO3609">
        <v>0</v>
      </c>
      <c r="BP3609">
        <v>0</v>
      </c>
      <c r="BW3609" t="str">
        <f t="shared" si="1593"/>
        <v>06:22:21.723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4</v>
      </c>
      <c r="CP3609" t="s">
        <v>119</v>
      </c>
      <c r="CQ3609">
        <v>465</v>
      </c>
      <c r="CR3609">
        <v>0</v>
      </c>
      <c r="CW3609">
        <v>4731804</v>
      </c>
      <c r="CY3609">
        <v>1</v>
      </c>
      <c r="CZ3609">
        <v>0</v>
      </c>
      <c r="DA3609">
        <v>1</v>
      </c>
      <c r="DB3609">
        <v>0</v>
      </c>
      <c r="DC3609">
        <v>0</v>
      </c>
      <c r="DD3609">
        <v>0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3">
      <c r="A3610" t="str">
        <f t="shared" ref="A3610:A3615" si="1594">"08/29/2020 06:22:19.438"</f>
        <v>08/29/2020 06:22:19.438</v>
      </c>
      <c r="C3610" t="str">
        <f t="shared" si="1579"/>
        <v>FFDFD3C0</v>
      </c>
      <c r="D3610" t="s">
        <v>121</v>
      </c>
      <c r="E3610">
        <v>11</v>
      </c>
      <c r="F3610">
        <v>1011</v>
      </c>
      <c r="G3610" t="s">
        <v>125</v>
      </c>
      <c r="J3610" t="s">
        <v>123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ref="S3610:S3615" si="1595">"06:22:22.648"</f>
        <v>06:22:22.648</v>
      </c>
      <c r="T3610" t="str">
        <f>"06:22:22.248"</f>
        <v>06:22:22.248</v>
      </c>
      <c r="U3610" t="str">
        <f t="shared" si="1581"/>
        <v>A7E2E0</v>
      </c>
      <c r="V3610">
        <v>0</v>
      </c>
      <c r="W3610">
        <v>0</v>
      </c>
      <c r="X3610">
        <v>1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3</v>
      </c>
      <c r="AG3610">
        <v>2</v>
      </c>
      <c r="AH3610">
        <v>0</v>
      </c>
      <c r="AI3610" t="s">
        <v>1652</v>
      </c>
      <c r="AJ3610">
        <v>38.810684999999999</v>
      </c>
      <c r="AK3610" t="s">
        <v>1653</v>
      </c>
      <c r="AL3610">
        <v>-87.603521000000001</v>
      </c>
      <c r="AM3610">
        <v>100</v>
      </c>
      <c r="AN3610">
        <v>1400</v>
      </c>
      <c r="AO3610" t="s">
        <v>118</v>
      </c>
      <c r="AP3610">
        <v>-8</v>
      </c>
      <c r="AQ3610">
        <v>-107</v>
      </c>
      <c r="AR3610">
        <v>-1344</v>
      </c>
      <c r="AZ3610">
        <v>4552</v>
      </c>
      <c r="BA3610">
        <v>1</v>
      </c>
      <c r="BB3610" t="str">
        <f t="shared" si="1582"/>
        <v xml:space="preserve">N607SR  </v>
      </c>
      <c r="BC3610">
        <v>1</v>
      </c>
      <c r="BE3610">
        <v>0</v>
      </c>
      <c r="BF3610">
        <v>0</v>
      </c>
      <c r="BG3610">
        <v>0</v>
      </c>
      <c r="BH3610">
        <v>1175</v>
      </c>
      <c r="BI3610">
        <v>1</v>
      </c>
      <c r="BJ3610">
        <v>1</v>
      </c>
      <c r="BK3610">
        <v>1</v>
      </c>
      <c r="BL3610">
        <v>0</v>
      </c>
      <c r="BO3610">
        <v>0</v>
      </c>
      <c r="BP3610">
        <v>0</v>
      </c>
      <c r="BW3610" t="str">
        <f t="shared" ref="BW3610:BW3615" si="1596">"06:22:22.652"</f>
        <v>06:22:22.652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5</v>
      </c>
      <c r="CP3610" t="s">
        <v>119</v>
      </c>
      <c r="CQ3610">
        <v>457</v>
      </c>
      <c r="CR3610">
        <v>0</v>
      </c>
      <c r="CW3610">
        <v>15527095</v>
      </c>
      <c r="CY3610">
        <v>1</v>
      </c>
      <c r="CZ3610">
        <v>0</v>
      </c>
      <c r="DA3610">
        <v>0</v>
      </c>
      <c r="DB3610">
        <v>0</v>
      </c>
      <c r="DC3610">
        <v>0</v>
      </c>
      <c r="DD3610">
        <v>0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3">
      <c r="A3611" t="str">
        <f t="shared" si="1594"/>
        <v>08/29/2020 06:22:19.438</v>
      </c>
      <c r="C3611" t="str">
        <f t="shared" si="1579"/>
        <v>FFDFD3C0</v>
      </c>
      <c r="D3611" t="s">
        <v>121</v>
      </c>
      <c r="E3611">
        <v>13</v>
      </c>
      <c r="F3611">
        <v>1013</v>
      </c>
      <c r="G3611" t="s">
        <v>122</v>
      </c>
      <c r="J3611" t="s">
        <v>123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 t="shared" si="1595"/>
        <v>06:22:22.648</v>
      </c>
      <c r="U3611" t="str">
        <f t="shared" si="1581"/>
        <v>A7E2E0</v>
      </c>
      <c r="V3611">
        <v>0</v>
      </c>
      <c r="W3611">
        <v>0</v>
      </c>
      <c r="X3611">
        <v>1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0</v>
      </c>
      <c r="AI3611" t="s">
        <v>1652</v>
      </c>
      <c r="AJ3611">
        <v>38.810684999999999</v>
      </c>
      <c r="AK3611" t="s">
        <v>1653</v>
      </c>
      <c r="AL3611">
        <v>-87.603521000000001</v>
      </c>
      <c r="AM3611">
        <v>100</v>
      </c>
      <c r="AN3611">
        <v>1400</v>
      </c>
      <c r="AO3611" t="s">
        <v>118</v>
      </c>
      <c r="AP3611">
        <v>-9</v>
      </c>
      <c r="AQ3611">
        <v>-107</v>
      </c>
      <c r="AR3611">
        <v>-1408</v>
      </c>
      <c r="AZ3611">
        <v>4552</v>
      </c>
      <c r="BA3611">
        <v>1</v>
      </c>
      <c r="BB3611" t="str">
        <f t="shared" si="1582"/>
        <v xml:space="preserve">N607SR  </v>
      </c>
      <c r="BC3611">
        <v>1</v>
      </c>
      <c r="BE3611">
        <v>0</v>
      </c>
      <c r="BF3611">
        <v>0</v>
      </c>
      <c r="BG3611">
        <v>0</v>
      </c>
      <c r="BH3611">
        <v>1175</v>
      </c>
      <c r="BI3611">
        <v>1</v>
      </c>
      <c r="BJ3611">
        <v>1</v>
      </c>
      <c r="BK3611">
        <v>1</v>
      </c>
      <c r="BL3611">
        <v>0</v>
      </c>
      <c r="BO3611">
        <v>0</v>
      </c>
      <c r="BP3611">
        <v>0</v>
      </c>
      <c r="BW3611" t="str">
        <f t="shared" si="1596"/>
        <v>06:22:22.652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4</v>
      </c>
      <c r="CP3611" t="s">
        <v>119</v>
      </c>
      <c r="CQ3611">
        <v>465</v>
      </c>
      <c r="CR3611">
        <v>0</v>
      </c>
      <c r="CW3611">
        <v>4731833</v>
      </c>
      <c r="CY3611">
        <v>1</v>
      </c>
      <c r="CZ3611">
        <v>0</v>
      </c>
      <c r="DA3611">
        <v>1</v>
      </c>
      <c r="DB3611">
        <v>0</v>
      </c>
      <c r="DC3611">
        <v>0</v>
      </c>
      <c r="DD3611">
        <v>0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3">
      <c r="A3612" t="str">
        <f t="shared" si="1594"/>
        <v>08/29/2020 06:22:19.438</v>
      </c>
      <c r="C3612" t="str">
        <f t="shared" si="1579"/>
        <v>FFDFD3C0</v>
      </c>
      <c r="D3612" t="s">
        <v>939</v>
      </c>
      <c r="E3612">
        <v>10</v>
      </c>
      <c r="H3612">
        <v>79</v>
      </c>
      <c r="I3612" t="s">
        <v>940</v>
      </c>
      <c r="J3612" t="s">
        <v>130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 t="shared" si="1595"/>
        <v>06:22:22.648</v>
      </c>
      <c r="U3612" t="str">
        <f t="shared" si="1581"/>
        <v>A7E2E0</v>
      </c>
      <c r="V3612">
        <v>0</v>
      </c>
      <c r="W3612">
        <v>0</v>
      </c>
      <c r="X3612">
        <v>1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0</v>
      </c>
      <c r="AI3612" t="s">
        <v>1652</v>
      </c>
      <c r="AJ3612">
        <v>38.810684999999999</v>
      </c>
      <c r="AK3612" t="s">
        <v>1653</v>
      </c>
      <c r="AL3612">
        <v>-87.603521000000001</v>
      </c>
      <c r="AM3612">
        <v>100</v>
      </c>
      <c r="AN3612">
        <v>1400</v>
      </c>
      <c r="AO3612" t="s">
        <v>118</v>
      </c>
      <c r="AP3612">
        <v>-9</v>
      </c>
      <c r="AQ3612">
        <v>-107</v>
      </c>
      <c r="AR3612">
        <v>-1408</v>
      </c>
      <c r="AZ3612">
        <v>4552</v>
      </c>
      <c r="BA3612">
        <v>1</v>
      </c>
      <c r="BB3612" t="str">
        <f t="shared" si="1582"/>
        <v xml:space="preserve">N607SR  </v>
      </c>
      <c r="BC3612">
        <v>1</v>
      </c>
      <c r="BE3612">
        <v>0</v>
      </c>
      <c r="BF3612">
        <v>0</v>
      </c>
      <c r="BG3612">
        <v>0</v>
      </c>
      <c r="BH3612">
        <v>1175</v>
      </c>
      <c r="BI3612">
        <v>1</v>
      </c>
      <c r="BJ3612">
        <v>1</v>
      </c>
      <c r="BK3612">
        <v>1</v>
      </c>
      <c r="BL3612">
        <v>0</v>
      </c>
      <c r="BO3612">
        <v>0</v>
      </c>
      <c r="BP3612">
        <v>0</v>
      </c>
      <c r="BW3612" t="str">
        <f t="shared" si="1596"/>
        <v>06:22:22.652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4</v>
      </c>
      <c r="CP3612" t="s">
        <v>119</v>
      </c>
      <c r="CQ3612">
        <v>465</v>
      </c>
      <c r="CR3612">
        <v>0</v>
      </c>
      <c r="CW3612">
        <v>4731833</v>
      </c>
      <c r="CY3612">
        <v>1</v>
      </c>
      <c r="CZ3612">
        <v>0</v>
      </c>
      <c r="DA3612">
        <v>1</v>
      </c>
      <c r="DB3612">
        <v>0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3">
      <c r="A3613" t="str">
        <f t="shared" si="1594"/>
        <v>08/29/2020 06:22:19.438</v>
      </c>
      <c r="C3613" t="str">
        <f t="shared" si="1579"/>
        <v>FFDFD3C0</v>
      </c>
      <c r="D3613" t="s">
        <v>113</v>
      </c>
      <c r="E3613">
        <v>5</v>
      </c>
      <c r="H3613">
        <v>163</v>
      </c>
      <c r="I3613" t="s">
        <v>114</v>
      </c>
      <c r="J3613" t="s">
        <v>115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 t="shared" si="1595"/>
        <v>06:22:22.648</v>
      </c>
      <c r="U3613" t="str">
        <f t="shared" si="1581"/>
        <v>A7E2E0</v>
      </c>
      <c r="V3613">
        <v>0</v>
      </c>
      <c r="W3613">
        <v>0</v>
      </c>
      <c r="X3613">
        <v>1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0</v>
      </c>
      <c r="AI3613" t="s">
        <v>1652</v>
      </c>
      <c r="AJ3613">
        <v>38.810684999999999</v>
      </c>
      <c r="AK3613" t="s">
        <v>1653</v>
      </c>
      <c r="AL3613">
        <v>-87.603521000000001</v>
      </c>
      <c r="AM3613">
        <v>100</v>
      </c>
      <c r="AN3613">
        <v>1400</v>
      </c>
      <c r="AO3613" t="s">
        <v>118</v>
      </c>
      <c r="AP3613">
        <v>-9</v>
      </c>
      <c r="AQ3613">
        <v>-107</v>
      </c>
      <c r="AR3613">
        <v>-1408</v>
      </c>
      <c r="AZ3613">
        <v>4552</v>
      </c>
      <c r="BA3613">
        <v>1</v>
      </c>
      <c r="BB3613" t="str">
        <f t="shared" si="1582"/>
        <v xml:space="preserve">N607SR  </v>
      </c>
      <c r="BC3613">
        <v>1</v>
      </c>
      <c r="BE3613">
        <v>0</v>
      </c>
      <c r="BF3613">
        <v>0</v>
      </c>
      <c r="BG3613">
        <v>0</v>
      </c>
      <c r="BH3613">
        <v>1175</v>
      </c>
      <c r="BI3613">
        <v>1</v>
      </c>
      <c r="BJ3613">
        <v>1</v>
      </c>
      <c r="BK3613">
        <v>1</v>
      </c>
      <c r="BL3613">
        <v>0</v>
      </c>
      <c r="BO3613">
        <v>0</v>
      </c>
      <c r="BP3613">
        <v>0</v>
      </c>
      <c r="BW3613" t="str">
        <f t="shared" si="1596"/>
        <v>06:22:22.652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4</v>
      </c>
      <c r="CP3613" t="s">
        <v>119</v>
      </c>
      <c r="CQ3613">
        <v>465</v>
      </c>
      <c r="CR3613">
        <v>0</v>
      </c>
      <c r="CW3613">
        <v>4731833</v>
      </c>
      <c r="CY3613">
        <v>1</v>
      </c>
      <c r="CZ3613">
        <v>0</v>
      </c>
      <c r="DA3613">
        <v>1</v>
      </c>
      <c r="DB3613">
        <v>0</v>
      </c>
      <c r="DC3613">
        <v>0</v>
      </c>
      <c r="DD3613">
        <v>0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3">
      <c r="A3614" t="str">
        <f t="shared" si="1594"/>
        <v>08/29/2020 06:22:19.438</v>
      </c>
      <c r="C3614" t="str">
        <f t="shared" si="1579"/>
        <v>FFDFD3C0</v>
      </c>
      <c r="D3614" t="s">
        <v>121</v>
      </c>
      <c r="E3614">
        <v>10</v>
      </c>
      <c r="F3614">
        <v>1010</v>
      </c>
      <c r="G3614" t="s">
        <v>114</v>
      </c>
      <c r="J3614" t="s">
        <v>123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 t="shared" si="1595"/>
        <v>06:22:22.648</v>
      </c>
      <c r="U3614" t="str">
        <f t="shared" si="1581"/>
        <v>A7E2E0</v>
      </c>
      <c r="V3614">
        <v>0</v>
      </c>
      <c r="W3614">
        <v>0</v>
      </c>
      <c r="X3614">
        <v>1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0</v>
      </c>
      <c r="AI3614" t="s">
        <v>1652</v>
      </c>
      <c r="AJ3614">
        <v>38.810684999999999</v>
      </c>
      <c r="AK3614" t="s">
        <v>1653</v>
      </c>
      <c r="AL3614">
        <v>-87.603521000000001</v>
      </c>
      <c r="AM3614">
        <v>100</v>
      </c>
      <c r="AN3614">
        <v>1400</v>
      </c>
      <c r="AO3614" t="s">
        <v>118</v>
      </c>
      <c r="AP3614">
        <v>-9</v>
      </c>
      <c r="AQ3614">
        <v>-107</v>
      </c>
      <c r="AR3614">
        <v>-1408</v>
      </c>
      <c r="AZ3614">
        <v>4552</v>
      </c>
      <c r="BA3614">
        <v>1</v>
      </c>
      <c r="BB3614" t="str">
        <f t="shared" si="1582"/>
        <v xml:space="preserve">N607SR  </v>
      </c>
      <c r="BC3614">
        <v>1</v>
      </c>
      <c r="BE3614">
        <v>0</v>
      </c>
      <c r="BF3614">
        <v>0</v>
      </c>
      <c r="BG3614">
        <v>0</v>
      </c>
      <c r="BH3614">
        <v>1175</v>
      </c>
      <c r="BI3614">
        <v>1</v>
      </c>
      <c r="BJ3614">
        <v>1</v>
      </c>
      <c r="BK3614">
        <v>1</v>
      </c>
      <c r="BL3614">
        <v>0</v>
      </c>
      <c r="BO3614">
        <v>0</v>
      </c>
      <c r="BP3614">
        <v>0</v>
      </c>
      <c r="BW3614" t="str">
        <f t="shared" si="1596"/>
        <v>06:22:22.652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4</v>
      </c>
      <c r="CP3614" t="s">
        <v>119</v>
      </c>
      <c r="CQ3614">
        <v>465</v>
      </c>
      <c r="CR3614">
        <v>0</v>
      </c>
      <c r="CW3614">
        <v>4731833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0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3">
      <c r="A3615" t="str">
        <f t="shared" si="1594"/>
        <v>08/29/2020 06:22:19.438</v>
      </c>
      <c r="C3615" t="str">
        <f t="shared" si="1579"/>
        <v>FFDFD3C0</v>
      </c>
      <c r="D3615" t="s">
        <v>128</v>
      </c>
      <c r="E3615">
        <v>5</v>
      </c>
      <c r="H3615">
        <v>241</v>
      </c>
      <c r="I3615" t="s">
        <v>129</v>
      </c>
      <c r="J3615" t="s">
        <v>130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 t="shared" si="1595"/>
        <v>06:22:22.648</v>
      </c>
      <c r="U3615" t="str">
        <f t="shared" si="1581"/>
        <v>A7E2E0</v>
      </c>
      <c r="V3615">
        <v>0</v>
      </c>
      <c r="W3615">
        <v>0</v>
      </c>
      <c r="X3615">
        <v>1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0</v>
      </c>
      <c r="AI3615" t="s">
        <v>1652</v>
      </c>
      <c r="AJ3615">
        <v>38.810684999999999</v>
      </c>
      <c r="AK3615" t="s">
        <v>1653</v>
      </c>
      <c r="AL3615">
        <v>-87.603521000000001</v>
      </c>
      <c r="AM3615">
        <v>100</v>
      </c>
      <c r="AN3615">
        <v>1400</v>
      </c>
      <c r="AO3615" t="s">
        <v>118</v>
      </c>
      <c r="AP3615">
        <v>-9</v>
      </c>
      <c r="AQ3615">
        <v>-107</v>
      </c>
      <c r="AR3615">
        <v>-1408</v>
      </c>
      <c r="AZ3615">
        <v>4552</v>
      </c>
      <c r="BA3615">
        <v>1</v>
      </c>
      <c r="BB3615" t="str">
        <f t="shared" si="1582"/>
        <v xml:space="preserve">N607SR  </v>
      </c>
      <c r="BC3615">
        <v>1</v>
      </c>
      <c r="BE3615">
        <v>0</v>
      </c>
      <c r="BF3615">
        <v>0</v>
      </c>
      <c r="BG3615">
        <v>0</v>
      </c>
      <c r="BH3615">
        <v>1175</v>
      </c>
      <c r="BI3615">
        <v>1</v>
      </c>
      <c r="BJ3615">
        <v>1</v>
      </c>
      <c r="BK3615">
        <v>1</v>
      </c>
      <c r="BL3615">
        <v>0</v>
      </c>
      <c r="BO3615">
        <v>0</v>
      </c>
      <c r="BP3615">
        <v>0</v>
      </c>
      <c r="BW3615" t="str">
        <f t="shared" si="1596"/>
        <v>06:22:22.652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4</v>
      </c>
      <c r="CP3615" t="s">
        <v>119</v>
      </c>
      <c r="CQ3615">
        <v>465</v>
      </c>
      <c r="CR3615">
        <v>0</v>
      </c>
      <c r="CW3615">
        <v>4731833</v>
      </c>
      <c r="CY3615">
        <v>1</v>
      </c>
      <c r="CZ3615">
        <v>0</v>
      </c>
      <c r="DA3615">
        <v>1</v>
      </c>
      <c r="DB3615">
        <v>0</v>
      </c>
      <c r="DC3615">
        <v>0</v>
      </c>
      <c r="DD3615">
        <v>0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3">
      <c r="A3616" t="str">
        <f>"08/29/2020 06:22:20.898"</f>
        <v>08/29/2020 06:22:20.898</v>
      </c>
      <c r="C3616" t="str">
        <f t="shared" si="1579"/>
        <v>FFDFD3C0</v>
      </c>
      <c r="D3616" t="s">
        <v>128</v>
      </c>
      <c r="E3616">
        <v>5</v>
      </c>
      <c r="H3616">
        <v>241</v>
      </c>
      <c r="I3616" t="s">
        <v>129</v>
      </c>
      <c r="J3616" t="s">
        <v>130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"06:22:24.148"</f>
        <v>06:22:24.148</v>
      </c>
      <c r="T3616" t="str">
        <f>"06:22:23.748"</f>
        <v>06:22:23.748</v>
      </c>
      <c r="U3616" t="str">
        <f t="shared" si="1581"/>
        <v>A7E2E0</v>
      </c>
      <c r="V3616">
        <v>0</v>
      </c>
      <c r="W3616">
        <v>0</v>
      </c>
      <c r="X3616">
        <v>1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0</v>
      </c>
      <c r="AI3616" t="s">
        <v>1654</v>
      </c>
      <c r="AJ3616">
        <v>38.809933999999998</v>
      </c>
      <c r="AK3616" t="s">
        <v>1610</v>
      </c>
      <c r="AL3616">
        <v>-87.603606999999997</v>
      </c>
      <c r="AM3616">
        <v>100</v>
      </c>
      <c r="AN3616">
        <v>1400</v>
      </c>
      <c r="AO3616" t="s">
        <v>118</v>
      </c>
      <c r="AP3616">
        <v>-10</v>
      </c>
      <c r="AQ3616">
        <v>-107</v>
      </c>
      <c r="AR3616">
        <v>-1472</v>
      </c>
      <c r="AZ3616">
        <v>4552</v>
      </c>
      <c r="BA3616">
        <v>1</v>
      </c>
      <c r="BB3616" t="str">
        <f t="shared" si="1582"/>
        <v xml:space="preserve">N607SR  </v>
      </c>
      <c r="BC3616">
        <v>1</v>
      </c>
      <c r="BE3616">
        <v>0</v>
      </c>
      <c r="BF3616">
        <v>0</v>
      </c>
      <c r="BG3616">
        <v>0</v>
      </c>
      <c r="BH3616">
        <v>1150</v>
      </c>
      <c r="BI3616">
        <v>1</v>
      </c>
      <c r="BJ3616">
        <v>1</v>
      </c>
      <c r="BK3616">
        <v>1</v>
      </c>
      <c r="BL3616">
        <v>0</v>
      </c>
      <c r="BO3616">
        <v>0</v>
      </c>
      <c r="BP3616">
        <v>0</v>
      </c>
      <c r="BW3616" t="str">
        <f>"06:22:24.150"</f>
        <v>06:22:24.150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5</v>
      </c>
      <c r="CP3616" t="s">
        <v>119</v>
      </c>
      <c r="CQ3616">
        <v>517</v>
      </c>
      <c r="CR3616">
        <v>1</v>
      </c>
      <c r="CW3616">
        <v>2491766</v>
      </c>
      <c r="CY3616">
        <v>1</v>
      </c>
      <c r="CZ3616">
        <v>0</v>
      </c>
      <c r="DA3616">
        <v>0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3">
      <c r="A3617" t="str">
        <f>"08/29/2020 06:22:20.898"</f>
        <v>08/29/2020 06:22:20.898</v>
      </c>
      <c r="C3617" t="str">
        <f t="shared" si="1579"/>
        <v>FFDFD3C0</v>
      </c>
      <c r="D3617" t="s">
        <v>121</v>
      </c>
      <c r="E3617">
        <v>11</v>
      </c>
      <c r="F3617">
        <v>1011</v>
      </c>
      <c r="G3617" t="s">
        <v>125</v>
      </c>
      <c r="J3617" t="s">
        <v>123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"06:22:24.148"</f>
        <v>06:22:24.148</v>
      </c>
      <c r="T3617" t="str">
        <f>"06:22:23.248"</f>
        <v>06:22:23.248</v>
      </c>
      <c r="U3617" t="str">
        <f t="shared" si="1581"/>
        <v>A7E2E0</v>
      </c>
      <c r="V3617">
        <v>0</v>
      </c>
      <c r="W3617">
        <v>0</v>
      </c>
      <c r="X3617">
        <v>1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0</v>
      </c>
      <c r="AI3617" t="s">
        <v>1654</v>
      </c>
      <c r="AJ3617">
        <v>38.809933999999998</v>
      </c>
      <c r="AK3617" t="s">
        <v>1610</v>
      </c>
      <c r="AL3617">
        <v>-87.603606999999997</v>
      </c>
      <c r="AM3617">
        <v>100</v>
      </c>
      <c r="AN3617">
        <v>1400</v>
      </c>
      <c r="AO3617" t="s">
        <v>118</v>
      </c>
      <c r="AP3617">
        <v>-9</v>
      </c>
      <c r="AQ3617">
        <v>-107</v>
      </c>
      <c r="AR3617">
        <v>-1408</v>
      </c>
      <c r="AZ3617">
        <v>4552</v>
      </c>
      <c r="BA3617">
        <v>1</v>
      </c>
      <c r="BB3617" t="str">
        <f t="shared" si="1582"/>
        <v xml:space="preserve">N607SR  </v>
      </c>
      <c r="BC3617">
        <v>1</v>
      </c>
      <c r="BE3617">
        <v>0</v>
      </c>
      <c r="BF3617">
        <v>0</v>
      </c>
      <c r="BG3617">
        <v>0</v>
      </c>
      <c r="BH3617">
        <v>1175</v>
      </c>
      <c r="BI3617">
        <v>1</v>
      </c>
      <c r="BJ3617">
        <v>1</v>
      </c>
      <c r="BK3617">
        <v>1</v>
      </c>
      <c r="BL3617">
        <v>0</v>
      </c>
      <c r="BO3617">
        <v>0</v>
      </c>
      <c r="BP3617">
        <v>0</v>
      </c>
      <c r="BW3617" t="str">
        <f>"06:22:24.150"</f>
        <v>06:22:24.150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3</v>
      </c>
      <c r="CP3617" t="s">
        <v>119</v>
      </c>
      <c r="CQ3617">
        <v>457</v>
      </c>
      <c r="CR3617">
        <v>0</v>
      </c>
      <c r="CW3617">
        <v>15527132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0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3">
      <c r="A3618" t="str">
        <f>"08/29/2020 06:22:20.898"</f>
        <v>08/29/2020 06:22:20.898</v>
      </c>
      <c r="C3618" t="str">
        <f t="shared" si="1579"/>
        <v>FFDFD3C0</v>
      </c>
      <c r="D3618" t="s">
        <v>121</v>
      </c>
      <c r="E3618">
        <v>13</v>
      </c>
      <c r="F3618">
        <v>1013</v>
      </c>
      <c r="G3618" t="s">
        <v>122</v>
      </c>
      <c r="J3618" t="s">
        <v>123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"06:22:24.148"</f>
        <v>06:22:24.148</v>
      </c>
      <c r="T3618" t="str">
        <f>"06:22:23.748"</f>
        <v>06:22:23.748</v>
      </c>
      <c r="U3618" t="str">
        <f t="shared" si="1581"/>
        <v>A7E2E0</v>
      </c>
      <c r="V3618">
        <v>0</v>
      </c>
      <c r="W3618">
        <v>0</v>
      </c>
      <c r="X3618">
        <v>1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0</v>
      </c>
      <c r="AI3618" t="s">
        <v>1654</v>
      </c>
      <c r="AJ3618">
        <v>38.809933999999998</v>
      </c>
      <c r="AK3618" t="s">
        <v>1610</v>
      </c>
      <c r="AL3618">
        <v>-87.603606999999997</v>
      </c>
      <c r="AM3618">
        <v>100</v>
      </c>
      <c r="AN3618">
        <v>1400</v>
      </c>
      <c r="AO3618" t="s">
        <v>118</v>
      </c>
      <c r="AP3618">
        <v>-10</v>
      </c>
      <c r="AQ3618">
        <v>-107</v>
      </c>
      <c r="AR3618">
        <v>-1472</v>
      </c>
      <c r="AZ3618">
        <v>4552</v>
      </c>
      <c r="BA3618">
        <v>1</v>
      </c>
      <c r="BB3618" t="str">
        <f t="shared" si="1582"/>
        <v xml:space="preserve">N607SR  </v>
      </c>
      <c r="BC3618">
        <v>1</v>
      </c>
      <c r="BE3618">
        <v>0</v>
      </c>
      <c r="BF3618">
        <v>0</v>
      </c>
      <c r="BG3618">
        <v>0</v>
      </c>
      <c r="BH3618">
        <v>1150</v>
      </c>
      <c r="BI3618">
        <v>1</v>
      </c>
      <c r="BJ3618">
        <v>1</v>
      </c>
      <c r="BK3618">
        <v>1</v>
      </c>
      <c r="BL3618">
        <v>0</v>
      </c>
      <c r="BO3618">
        <v>0</v>
      </c>
      <c r="BP3618">
        <v>0</v>
      </c>
      <c r="BW3618" t="str">
        <f>"06:22:24.150"</f>
        <v>06:22:24.150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5</v>
      </c>
      <c r="CP3618" t="s">
        <v>119</v>
      </c>
      <c r="CQ3618">
        <v>517</v>
      </c>
      <c r="CR3618">
        <v>1</v>
      </c>
      <c r="CW3618">
        <v>2491766</v>
      </c>
      <c r="CY3618">
        <v>1</v>
      </c>
      <c r="CZ3618">
        <v>0</v>
      </c>
      <c r="DA3618">
        <v>1</v>
      </c>
      <c r="DB3618">
        <v>0</v>
      </c>
      <c r="DC3618">
        <v>0</v>
      </c>
      <c r="DD3618">
        <v>0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3">
      <c r="A3619" t="str">
        <f>"08/29/2020 06:22:20.898"</f>
        <v>08/29/2020 06:22:20.898</v>
      </c>
      <c r="C3619" t="str">
        <f t="shared" si="1579"/>
        <v>FFDFD3C0</v>
      </c>
      <c r="D3619" t="s">
        <v>113</v>
      </c>
      <c r="E3619">
        <v>5</v>
      </c>
      <c r="H3619">
        <v>163</v>
      </c>
      <c r="I3619" t="s">
        <v>114</v>
      </c>
      <c r="J3619" t="s">
        <v>115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"06:22:24.148"</f>
        <v>06:22:24.148</v>
      </c>
      <c r="T3619" t="str">
        <f>"06:22:23.748"</f>
        <v>06:22:23.748</v>
      </c>
      <c r="U3619" t="str">
        <f t="shared" si="1581"/>
        <v>A7E2E0</v>
      </c>
      <c r="V3619">
        <v>0</v>
      </c>
      <c r="W3619">
        <v>0</v>
      </c>
      <c r="X3619">
        <v>1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3</v>
      </c>
      <c r="AG3619">
        <v>2</v>
      </c>
      <c r="AH3619">
        <v>0</v>
      </c>
      <c r="AI3619" t="s">
        <v>1654</v>
      </c>
      <c r="AJ3619">
        <v>38.809933999999998</v>
      </c>
      <c r="AK3619" t="s">
        <v>1610</v>
      </c>
      <c r="AL3619">
        <v>-87.603606999999997</v>
      </c>
      <c r="AM3619">
        <v>100</v>
      </c>
      <c r="AN3619">
        <v>1400</v>
      </c>
      <c r="AO3619" t="s">
        <v>118</v>
      </c>
      <c r="AP3619">
        <v>-10</v>
      </c>
      <c r="AQ3619">
        <v>-107</v>
      </c>
      <c r="AR3619">
        <v>-1472</v>
      </c>
      <c r="AZ3619">
        <v>4552</v>
      </c>
      <c r="BA3619">
        <v>1</v>
      </c>
      <c r="BB3619" t="str">
        <f t="shared" si="1582"/>
        <v xml:space="preserve">N607SR  </v>
      </c>
      <c r="BC3619">
        <v>1</v>
      </c>
      <c r="BE3619">
        <v>0</v>
      </c>
      <c r="BF3619">
        <v>0</v>
      </c>
      <c r="BG3619">
        <v>0</v>
      </c>
      <c r="BH3619">
        <v>1150</v>
      </c>
      <c r="BI3619">
        <v>1</v>
      </c>
      <c r="BJ3619">
        <v>1</v>
      </c>
      <c r="BK3619">
        <v>1</v>
      </c>
      <c r="BL3619">
        <v>0</v>
      </c>
      <c r="BO3619">
        <v>0</v>
      </c>
      <c r="BP3619">
        <v>0</v>
      </c>
      <c r="BW3619" t="str">
        <f>"06:22:24.150"</f>
        <v>06:22:24.150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5</v>
      </c>
      <c r="CP3619" t="s">
        <v>119</v>
      </c>
      <c r="CQ3619">
        <v>517</v>
      </c>
      <c r="CR3619">
        <v>1</v>
      </c>
      <c r="CW3619">
        <v>2491766</v>
      </c>
      <c r="CY3619">
        <v>1</v>
      </c>
      <c r="CZ3619">
        <v>0</v>
      </c>
      <c r="DA3619">
        <v>1</v>
      </c>
      <c r="DB3619">
        <v>0</v>
      </c>
      <c r="DC3619">
        <v>0</v>
      </c>
      <c r="DD3619">
        <v>0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3">
      <c r="A3620" t="str">
        <f>"08/29/2020 06:22:20.898"</f>
        <v>08/29/2020 06:22:20.898</v>
      </c>
      <c r="C3620" t="str">
        <f t="shared" si="1579"/>
        <v>FFDFD3C0</v>
      </c>
      <c r="D3620" t="s">
        <v>121</v>
      </c>
      <c r="E3620">
        <v>10</v>
      </c>
      <c r="F3620">
        <v>1010</v>
      </c>
      <c r="G3620" t="s">
        <v>114</v>
      </c>
      <c r="J3620" t="s">
        <v>123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"06:22:24.148"</f>
        <v>06:22:24.148</v>
      </c>
      <c r="T3620" t="str">
        <f>"06:22:23.748"</f>
        <v>06:22:23.748</v>
      </c>
      <c r="U3620" t="str">
        <f t="shared" si="1581"/>
        <v>A7E2E0</v>
      </c>
      <c r="V3620">
        <v>0</v>
      </c>
      <c r="W3620">
        <v>0</v>
      </c>
      <c r="X3620">
        <v>1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0</v>
      </c>
      <c r="AI3620" t="s">
        <v>1654</v>
      </c>
      <c r="AJ3620">
        <v>38.809933999999998</v>
      </c>
      <c r="AK3620" t="s">
        <v>1610</v>
      </c>
      <c r="AL3620">
        <v>-87.603606999999997</v>
      </c>
      <c r="AM3620">
        <v>100</v>
      </c>
      <c r="AN3620">
        <v>1400</v>
      </c>
      <c r="AO3620" t="s">
        <v>118</v>
      </c>
      <c r="AP3620">
        <v>-10</v>
      </c>
      <c r="AQ3620">
        <v>-107</v>
      </c>
      <c r="AR3620">
        <v>-1472</v>
      </c>
      <c r="AZ3620">
        <v>4552</v>
      </c>
      <c r="BA3620">
        <v>1</v>
      </c>
      <c r="BB3620" t="str">
        <f t="shared" si="1582"/>
        <v xml:space="preserve">N607SR  </v>
      </c>
      <c r="BC3620">
        <v>1</v>
      </c>
      <c r="BE3620">
        <v>0</v>
      </c>
      <c r="BF3620">
        <v>0</v>
      </c>
      <c r="BG3620">
        <v>0</v>
      </c>
      <c r="BH3620">
        <v>1150</v>
      </c>
      <c r="BI3620">
        <v>1</v>
      </c>
      <c r="BJ3620">
        <v>1</v>
      </c>
      <c r="BK3620">
        <v>1</v>
      </c>
      <c r="BL3620">
        <v>0</v>
      </c>
      <c r="BO3620">
        <v>0</v>
      </c>
      <c r="BP3620">
        <v>0</v>
      </c>
      <c r="BW3620" t="str">
        <f>"06:22:24.150"</f>
        <v>06:22:24.150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5</v>
      </c>
      <c r="CP3620" t="s">
        <v>119</v>
      </c>
      <c r="CQ3620">
        <v>517</v>
      </c>
      <c r="CR3620">
        <v>1</v>
      </c>
      <c r="CW3620">
        <v>2491766</v>
      </c>
      <c r="CY3620">
        <v>1</v>
      </c>
      <c r="CZ3620">
        <v>0</v>
      </c>
      <c r="DA3620">
        <v>1</v>
      </c>
      <c r="DB3620">
        <v>0</v>
      </c>
      <c r="DC3620">
        <v>0</v>
      </c>
      <c r="DD3620">
        <v>0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3">
      <c r="A3621" t="str">
        <f>"08/29/2020 06:22:21.900"</f>
        <v>08/29/2020 06:22:21.900</v>
      </c>
      <c r="C3621" t="str">
        <f t="shared" si="1579"/>
        <v>FFDFD3C0</v>
      </c>
      <c r="D3621" t="s">
        <v>113</v>
      </c>
      <c r="E3621">
        <v>5</v>
      </c>
      <c r="H3621">
        <v>163</v>
      </c>
      <c r="I3621" t="s">
        <v>114</v>
      </c>
      <c r="J3621" t="s">
        <v>115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"06:22:25.133"</f>
        <v>06:22:25.133</v>
      </c>
      <c r="T3621" t="str">
        <f>"06:22:24.733"</f>
        <v>06:22:24.733</v>
      </c>
      <c r="U3621" t="str">
        <f t="shared" si="1581"/>
        <v>A7E2E0</v>
      </c>
      <c r="V3621">
        <v>0</v>
      </c>
      <c r="W3621">
        <v>0</v>
      </c>
      <c r="X3621">
        <v>1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0</v>
      </c>
      <c r="AI3621" t="s">
        <v>1655</v>
      </c>
      <c r="AJ3621">
        <v>38.809483</v>
      </c>
      <c r="AK3621" t="s">
        <v>1608</v>
      </c>
      <c r="AL3621">
        <v>-87.603672000000003</v>
      </c>
      <c r="AM3621">
        <v>100</v>
      </c>
      <c r="AN3621">
        <v>1300</v>
      </c>
      <c r="AO3621" t="s">
        <v>118</v>
      </c>
      <c r="AP3621">
        <v>-11</v>
      </c>
      <c r="AQ3621">
        <v>-107</v>
      </c>
      <c r="AR3621">
        <v>-1472</v>
      </c>
      <c r="AZ3621">
        <v>4552</v>
      </c>
      <c r="BA3621">
        <v>1</v>
      </c>
      <c r="BB3621" t="str">
        <f t="shared" si="1582"/>
        <v xml:space="preserve">N607SR  </v>
      </c>
      <c r="BC3621">
        <v>1</v>
      </c>
      <c r="BE3621">
        <v>0</v>
      </c>
      <c r="BF3621">
        <v>0</v>
      </c>
      <c r="BG3621">
        <v>0</v>
      </c>
      <c r="BH3621">
        <v>1025</v>
      </c>
      <c r="BI3621">
        <v>1</v>
      </c>
      <c r="BJ3621">
        <v>1</v>
      </c>
      <c r="BK3621">
        <v>1</v>
      </c>
      <c r="BL3621">
        <v>0</v>
      </c>
      <c r="BO3621">
        <v>0</v>
      </c>
      <c r="BP3621">
        <v>0</v>
      </c>
      <c r="BW3621" t="str">
        <f>"06:22:25.138"</f>
        <v>06:22:25.138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5</v>
      </c>
      <c r="CP3621" t="s">
        <v>119</v>
      </c>
      <c r="CQ3621">
        <v>457</v>
      </c>
      <c r="CR3621">
        <v>0</v>
      </c>
      <c r="CW3621">
        <v>15527165</v>
      </c>
      <c r="CY3621">
        <v>1</v>
      </c>
      <c r="CZ3621">
        <v>0</v>
      </c>
      <c r="DA3621">
        <v>0</v>
      </c>
      <c r="DB3621">
        <v>0</v>
      </c>
      <c r="DC3621">
        <v>0</v>
      </c>
      <c r="DD3621">
        <v>0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3">
      <c r="A3622" t="str">
        <f>"08/29/2020 06:22:21.900"</f>
        <v>08/29/2020 06:22:21.900</v>
      </c>
      <c r="C3622" t="str">
        <f t="shared" si="1579"/>
        <v>FFDFD3C0</v>
      </c>
      <c r="D3622" t="s">
        <v>121</v>
      </c>
      <c r="E3622">
        <v>10</v>
      </c>
      <c r="F3622">
        <v>1010</v>
      </c>
      <c r="G3622" t="s">
        <v>114</v>
      </c>
      <c r="J3622" t="s">
        <v>123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"06:22:25.133"</f>
        <v>06:22:25.133</v>
      </c>
      <c r="T3622" t="str">
        <f>"06:22:24.733"</f>
        <v>06:22:24.733</v>
      </c>
      <c r="U3622" t="str">
        <f t="shared" si="1581"/>
        <v>A7E2E0</v>
      </c>
      <c r="V3622">
        <v>0</v>
      </c>
      <c r="W3622">
        <v>0</v>
      </c>
      <c r="X3622">
        <v>1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0</v>
      </c>
      <c r="AI3622" t="s">
        <v>1655</v>
      </c>
      <c r="AJ3622">
        <v>38.809483</v>
      </c>
      <c r="AK3622" t="s">
        <v>1608</v>
      </c>
      <c r="AL3622">
        <v>-87.603672000000003</v>
      </c>
      <c r="AM3622">
        <v>100</v>
      </c>
      <c r="AN3622">
        <v>1300</v>
      </c>
      <c r="AO3622" t="s">
        <v>118</v>
      </c>
      <c r="AP3622">
        <v>-11</v>
      </c>
      <c r="AQ3622">
        <v>-107</v>
      </c>
      <c r="AR3622">
        <v>-1472</v>
      </c>
      <c r="AZ3622">
        <v>4552</v>
      </c>
      <c r="BA3622">
        <v>1</v>
      </c>
      <c r="BB3622" t="str">
        <f t="shared" si="1582"/>
        <v xml:space="preserve">N607SR  </v>
      </c>
      <c r="BC3622">
        <v>1</v>
      </c>
      <c r="BE3622">
        <v>0</v>
      </c>
      <c r="BF3622">
        <v>0</v>
      </c>
      <c r="BG3622">
        <v>0</v>
      </c>
      <c r="BH3622">
        <v>1025</v>
      </c>
      <c r="BI3622">
        <v>1</v>
      </c>
      <c r="BJ3622">
        <v>1</v>
      </c>
      <c r="BK3622">
        <v>1</v>
      </c>
      <c r="BL3622">
        <v>0</v>
      </c>
      <c r="BO3622">
        <v>0</v>
      </c>
      <c r="BP3622">
        <v>0</v>
      </c>
      <c r="BW3622" t="str">
        <f>"06:22:25.138"</f>
        <v>06:22:25.138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5</v>
      </c>
      <c r="CP3622" t="s">
        <v>119</v>
      </c>
      <c r="CQ3622">
        <v>457</v>
      </c>
      <c r="CR3622">
        <v>0</v>
      </c>
      <c r="CW3622">
        <v>15527165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0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3">
      <c r="A3623" t="str">
        <f>"08/29/2020 06:22:21.900"</f>
        <v>08/29/2020 06:22:21.900</v>
      </c>
      <c r="C3623" t="str">
        <f t="shared" si="1579"/>
        <v>FFDFD3C0</v>
      </c>
      <c r="D3623" t="s">
        <v>128</v>
      </c>
      <c r="E3623">
        <v>5</v>
      </c>
      <c r="H3623">
        <v>241</v>
      </c>
      <c r="I3623" t="s">
        <v>129</v>
      </c>
      <c r="J3623" t="s">
        <v>130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"06:22:25.133"</f>
        <v>06:22:25.133</v>
      </c>
      <c r="T3623" t="str">
        <f>"06:22:24.733"</f>
        <v>06:22:24.733</v>
      </c>
      <c r="U3623" t="str">
        <f t="shared" si="1581"/>
        <v>A7E2E0</v>
      </c>
      <c r="V3623">
        <v>0</v>
      </c>
      <c r="W3623">
        <v>0</v>
      </c>
      <c r="X3623">
        <v>1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3</v>
      </c>
      <c r="AG3623">
        <v>2</v>
      </c>
      <c r="AH3623">
        <v>0</v>
      </c>
      <c r="AI3623" t="s">
        <v>1655</v>
      </c>
      <c r="AJ3623">
        <v>38.809483</v>
      </c>
      <c r="AK3623" t="s">
        <v>1608</v>
      </c>
      <c r="AL3623">
        <v>-87.603672000000003</v>
      </c>
      <c r="AM3623">
        <v>100</v>
      </c>
      <c r="AN3623">
        <v>1300</v>
      </c>
      <c r="AO3623" t="s">
        <v>118</v>
      </c>
      <c r="AP3623">
        <v>-11</v>
      </c>
      <c r="AQ3623">
        <v>-107</v>
      </c>
      <c r="AR3623">
        <v>-1472</v>
      </c>
      <c r="AZ3623">
        <v>4552</v>
      </c>
      <c r="BA3623">
        <v>1</v>
      </c>
      <c r="BB3623" t="str">
        <f t="shared" si="1582"/>
        <v xml:space="preserve">N607SR  </v>
      </c>
      <c r="BC3623">
        <v>1</v>
      </c>
      <c r="BE3623">
        <v>0</v>
      </c>
      <c r="BF3623">
        <v>0</v>
      </c>
      <c r="BG3623">
        <v>0</v>
      </c>
      <c r="BH3623">
        <v>1025</v>
      </c>
      <c r="BI3623">
        <v>1</v>
      </c>
      <c r="BJ3623">
        <v>1</v>
      </c>
      <c r="BK3623">
        <v>1</v>
      </c>
      <c r="BL3623">
        <v>0</v>
      </c>
      <c r="BO3623">
        <v>0</v>
      </c>
      <c r="BP3623">
        <v>0</v>
      </c>
      <c r="BW3623" t="str">
        <f>"06:22:25.138"</f>
        <v>06:22:25.138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5</v>
      </c>
      <c r="CP3623" t="s">
        <v>119</v>
      </c>
      <c r="CQ3623">
        <v>457</v>
      </c>
      <c r="CR3623">
        <v>0</v>
      </c>
      <c r="CW3623">
        <v>15527165</v>
      </c>
      <c r="CY3623">
        <v>1</v>
      </c>
      <c r="CZ3623">
        <v>0</v>
      </c>
      <c r="DA3623">
        <v>1</v>
      </c>
      <c r="DB3623">
        <v>0</v>
      </c>
      <c r="DC3623">
        <v>0</v>
      </c>
      <c r="DD3623">
        <v>0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3">
      <c r="A3624" t="str">
        <f>"08/29/2020 06:22:21.900"</f>
        <v>08/29/2020 06:22:21.900</v>
      </c>
      <c r="C3624" t="str">
        <f t="shared" si="1579"/>
        <v>FFDFD3C0</v>
      </c>
      <c r="D3624" t="s">
        <v>121</v>
      </c>
      <c r="E3624">
        <v>11</v>
      </c>
      <c r="F3624">
        <v>1011</v>
      </c>
      <c r="G3624" t="s">
        <v>125</v>
      </c>
      <c r="J3624" t="s">
        <v>123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"06:22:25.133"</f>
        <v>06:22:25.133</v>
      </c>
      <c r="T3624" t="str">
        <f>"06:22:24.733"</f>
        <v>06:22:24.733</v>
      </c>
      <c r="U3624" t="str">
        <f t="shared" si="1581"/>
        <v>A7E2E0</v>
      </c>
      <c r="V3624">
        <v>0</v>
      </c>
      <c r="W3624">
        <v>0</v>
      </c>
      <c r="X3624">
        <v>1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0</v>
      </c>
      <c r="AI3624" t="s">
        <v>1655</v>
      </c>
      <c r="AJ3624">
        <v>38.809483</v>
      </c>
      <c r="AK3624" t="s">
        <v>1608</v>
      </c>
      <c r="AL3624">
        <v>-87.603672000000003</v>
      </c>
      <c r="AM3624">
        <v>100</v>
      </c>
      <c r="AN3624">
        <v>1300</v>
      </c>
      <c r="AO3624" t="s">
        <v>118</v>
      </c>
      <c r="AP3624">
        <v>-11</v>
      </c>
      <c r="AQ3624">
        <v>-107</v>
      </c>
      <c r="AR3624">
        <v>-1472</v>
      </c>
      <c r="AZ3624">
        <v>4552</v>
      </c>
      <c r="BA3624">
        <v>1</v>
      </c>
      <c r="BB3624" t="str">
        <f t="shared" si="1582"/>
        <v xml:space="preserve">N607SR  </v>
      </c>
      <c r="BC3624">
        <v>1</v>
      </c>
      <c r="BE3624">
        <v>0</v>
      </c>
      <c r="BF3624">
        <v>0</v>
      </c>
      <c r="BG3624">
        <v>0</v>
      </c>
      <c r="BH3624">
        <v>1025</v>
      </c>
      <c r="BI3624">
        <v>1</v>
      </c>
      <c r="BJ3624">
        <v>1</v>
      </c>
      <c r="BK3624">
        <v>1</v>
      </c>
      <c r="BL3624">
        <v>0</v>
      </c>
      <c r="BO3624">
        <v>0</v>
      </c>
      <c r="BP3624">
        <v>0</v>
      </c>
      <c r="BW3624" t="str">
        <f>"06:22:25.138"</f>
        <v>06:22:25.138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5</v>
      </c>
      <c r="CP3624" t="s">
        <v>119</v>
      </c>
      <c r="CQ3624">
        <v>457</v>
      </c>
      <c r="CR3624">
        <v>0</v>
      </c>
      <c r="CW3624">
        <v>15527165</v>
      </c>
      <c r="CY3624">
        <v>1</v>
      </c>
      <c r="CZ3624">
        <v>0</v>
      </c>
      <c r="DA3624">
        <v>1</v>
      </c>
      <c r="DB3624">
        <v>0</v>
      </c>
      <c r="DC3624">
        <v>0</v>
      </c>
      <c r="DD3624">
        <v>0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3">
      <c r="A3625" t="str">
        <f>"08/29/2020 06:22:21.900"</f>
        <v>08/29/2020 06:22:21.900</v>
      </c>
      <c r="C3625" t="str">
        <f t="shared" si="1579"/>
        <v>FFDFD3C0</v>
      </c>
      <c r="D3625" t="s">
        <v>121</v>
      </c>
      <c r="E3625">
        <v>13</v>
      </c>
      <c r="F3625">
        <v>1013</v>
      </c>
      <c r="G3625" t="s">
        <v>122</v>
      </c>
      <c r="J3625" t="s">
        <v>123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"06:22:25.133"</f>
        <v>06:22:25.133</v>
      </c>
      <c r="T3625" t="str">
        <f>"06:22:24.733"</f>
        <v>06:22:24.733</v>
      </c>
      <c r="U3625" t="str">
        <f t="shared" si="1581"/>
        <v>A7E2E0</v>
      </c>
      <c r="V3625">
        <v>0</v>
      </c>
      <c r="W3625">
        <v>0</v>
      </c>
      <c r="X3625">
        <v>1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0</v>
      </c>
      <c r="AI3625" t="s">
        <v>1655</v>
      </c>
      <c r="AJ3625">
        <v>38.809483</v>
      </c>
      <c r="AK3625" t="s">
        <v>1608</v>
      </c>
      <c r="AL3625">
        <v>-87.603672000000003</v>
      </c>
      <c r="AM3625">
        <v>100</v>
      </c>
      <c r="AN3625">
        <v>1300</v>
      </c>
      <c r="AO3625" t="s">
        <v>118</v>
      </c>
      <c r="AP3625">
        <v>-11</v>
      </c>
      <c r="AQ3625">
        <v>-107</v>
      </c>
      <c r="AR3625">
        <v>-1472</v>
      </c>
      <c r="AZ3625">
        <v>4552</v>
      </c>
      <c r="BA3625">
        <v>1</v>
      </c>
      <c r="BB3625" t="str">
        <f t="shared" si="1582"/>
        <v xml:space="preserve">N607SR  </v>
      </c>
      <c r="BC3625">
        <v>1</v>
      </c>
      <c r="BE3625">
        <v>0</v>
      </c>
      <c r="BF3625">
        <v>0</v>
      </c>
      <c r="BG3625">
        <v>0</v>
      </c>
      <c r="BH3625">
        <v>1025</v>
      </c>
      <c r="BI3625">
        <v>1</v>
      </c>
      <c r="BJ3625">
        <v>1</v>
      </c>
      <c r="BK3625">
        <v>1</v>
      </c>
      <c r="BL3625">
        <v>0</v>
      </c>
      <c r="BO3625">
        <v>0</v>
      </c>
      <c r="BP3625">
        <v>0</v>
      </c>
      <c r="BW3625" t="str">
        <f>"06:22:25.138"</f>
        <v>06:22:25.138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5</v>
      </c>
      <c r="CP3625" t="s">
        <v>119</v>
      </c>
      <c r="CQ3625">
        <v>457</v>
      </c>
      <c r="CR3625">
        <v>0</v>
      </c>
      <c r="CW3625">
        <v>15527165</v>
      </c>
      <c r="CY3625">
        <v>1</v>
      </c>
      <c r="CZ3625">
        <v>0</v>
      </c>
      <c r="DA3625">
        <v>1</v>
      </c>
      <c r="DB3625">
        <v>0</v>
      </c>
      <c r="DC3625">
        <v>0</v>
      </c>
      <c r="DD3625">
        <v>0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3">
      <c r="A3626" t="str">
        <f t="shared" ref="A3626:A3631" si="1597">"08/29/2020 06:22:22.861"</f>
        <v>08/29/2020 06:22:22.861</v>
      </c>
      <c r="C3626" t="str">
        <f t="shared" si="1579"/>
        <v>FFDFD3C0</v>
      </c>
      <c r="D3626" t="s">
        <v>121</v>
      </c>
      <c r="E3626">
        <v>10</v>
      </c>
      <c r="F3626">
        <v>1010</v>
      </c>
      <c r="G3626" t="s">
        <v>114</v>
      </c>
      <c r="J3626" t="s">
        <v>123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ref="S3626:S3631" si="1598">"06:22:26.102"</f>
        <v>06:22:26.102</v>
      </c>
      <c r="T3626" t="str">
        <f>"06:22:25.602"</f>
        <v>06:22:25.602</v>
      </c>
      <c r="U3626" t="str">
        <f t="shared" si="1581"/>
        <v>A7E2E0</v>
      </c>
      <c r="V3626">
        <v>0</v>
      </c>
      <c r="W3626">
        <v>0</v>
      </c>
      <c r="X3626">
        <v>1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0</v>
      </c>
      <c r="AI3626" t="s">
        <v>1656</v>
      </c>
      <c r="AJ3626">
        <v>38.809010999999998</v>
      </c>
      <c r="AK3626" t="s">
        <v>1603</v>
      </c>
      <c r="AL3626">
        <v>-87.603693000000007</v>
      </c>
      <c r="AM3626">
        <v>100</v>
      </c>
      <c r="AN3626">
        <v>1300</v>
      </c>
      <c r="AO3626" t="s">
        <v>118</v>
      </c>
      <c r="AP3626">
        <v>-11</v>
      </c>
      <c r="AQ3626">
        <v>-107</v>
      </c>
      <c r="AR3626">
        <v>-1536</v>
      </c>
      <c r="AZ3626">
        <v>4552</v>
      </c>
      <c r="BA3626">
        <v>1</v>
      </c>
      <c r="BB3626" t="str">
        <f t="shared" si="1582"/>
        <v xml:space="preserve">N607SR  </v>
      </c>
      <c r="BC3626">
        <v>1</v>
      </c>
      <c r="BE3626">
        <v>0</v>
      </c>
      <c r="BF3626">
        <v>0</v>
      </c>
      <c r="BG3626">
        <v>0</v>
      </c>
      <c r="BH3626">
        <v>1100</v>
      </c>
      <c r="BI3626">
        <v>1</v>
      </c>
      <c r="BJ3626">
        <v>1</v>
      </c>
      <c r="BK3626">
        <v>1</v>
      </c>
      <c r="BL3626">
        <v>0</v>
      </c>
      <c r="BO3626">
        <v>0</v>
      </c>
      <c r="BP3626">
        <v>0</v>
      </c>
      <c r="BW3626" t="str">
        <f t="shared" ref="BW3626:BW3631" si="1599">"06:22:26.106"</f>
        <v>06:22:26.106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6</v>
      </c>
      <c r="CP3626" t="s">
        <v>119</v>
      </c>
      <c r="CQ3626">
        <v>457</v>
      </c>
      <c r="CR3626">
        <v>0</v>
      </c>
      <c r="CW3626">
        <v>15527194</v>
      </c>
      <c r="CY3626">
        <v>1</v>
      </c>
      <c r="CZ3626">
        <v>0</v>
      </c>
      <c r="DA3626">
        <v>0</v>
      </c>
      <c r="DB3626">
        <v>0</v>
      </c>
      <c r="DC3626">
        <v>0</v>
      </c>
      <c r="DD3626">
        <v>0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3">
      <c r="A3627" t="str">
        <f t="shared" si="1597"/>
        <v>08/29/2020 06:22:22.861</v>
      </c>
      <c r="C3627" t="str">
        <f t="shared" si="1579"/>
        <v>FFDFD3C0</v>
      </c>
      <c r="D3627" t="s">
        <v>113</v>
      </c>
      <c r="E3627">
        <v>5</v>
      </c>
      <c r="H3627">
        <v>163</v>
      </c>
      <c r="I3627" t="s">
        <v>114</v>
      </c>
      <c r="J3627" t="s">
        <v>115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si="1598"/>
        <v>06:22:26.102</v>
      </c>
      <c r="T3627" t="str">
        <f>"06:22:25.602"</f>
        <v>06:22:25.602</v>
      </c>
      <c r="U3627" t="str">
        <f t="shared" si="1581"/>
        <v>A7E2E0</v>
      </c>
      <c r="V3627">
        <v>0</v>
      </c>
      <c r="W3627">
        <v>0</v>
      </c>
      <c r="X3627">
        <v>1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0</v>
      </c>
      <c r="AI3627" t="s">
        <v>1656</v>
      </c>
      <c r="AJ3627">
        <v>38.809010999999998</v>
      </c>
      <c r="AK3627" t="s">
        <v>1603</v>
      </c>
      <c r="AL3627">
        <v>-87.603693000000007</v>
      </c>
      <c r="AM3627">
        <v>100</v>
      </c>
      <c r="AN3627">
        <v>1300</v>
      </c>
      <c r="AO3627" t="s">
        <v>118</v>
      </c>
      <c r="AP3627">
        <v>-11</v>
      </c>
      <c r="AQ3627">
        <v>-107</v>
      </c>
      <c r="AR3627">
        <v>-1536</v>
      </c>
      <c r="AZ3627">
        <v>4552</v>
      </c>
      <c r="BA3627">
        <v>1</v>
      </c>
      <c r="BB3627" t="str">
        <f t="shared" si="1582"/>
        <v xml:space="preserve">N607SR  </v>
      </c>
      <c r="BC3627">
        <v>1</v>
      </c>
      <c r="BE3627">
        <v>0</v>
      </c>
      <c r="BF3627">
        <v>0</v>
      </c>
      <c r="BG3627">
        <v>0</v>
      </c>
      <c r="BH3627">
        <v>1100</v>
      </c>
      <c r="BI3627">
        <v>1</v>
      </c>
      <c r="BJ3627">
        <v>1</v>
      </c>
      <c r="BK3627">
        <v>1</v>
      </c>
      <c r="BL3627">
        <v>0</v>
      </c>
      <c r="BO3627">
        <v>0</v>
      </c>
      <c r="BP3627">
        <v>0</v>
      </c>
      <c r="BW3627" t="str">
        <f t="shared" si="1599"/>
        <v>06:22:26.106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6</v>
      </c>
      <c r="CP3627" t="s">
        <v>119</v>
      </c>
      <c r="CQ3627">
        <v>457</v>
      </c>
      <c r="CR3627">
        <v>0</v>
      </c>
      <c r="CW3627">
        <v>15527194</v>
      </c>
      <c r="CY3627">
        <v>1</v>
      </c>
      <c r="CZ3627">
        <v>0</v>
      </c>
      <c r="DA3627">
        <v>1</v>
      </c>
      <c r="DB3627">
        <v>0</v>
      </c>
      <c r="DC3627">
        <v>0</v>
      </c>
      <c r="DD3627">
        <v>0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3">
      <c r="A3628" t="str">
        <f t="shared" si="1597"/>
        <v>08/29/2020 06:22:22.861</v>
      </c>
      <c r="C3628" t="str">
        <f t="shared" si="1579"/>
        <v>FFDFD3C0</v>
      </c>
      <c r="D3628" t="s">
        <v>128</v>
      </c>
      <c r="E3628">
        <v>5</v>
      </c>
      <c r="H3628">
        <v>241</v>
      </c>
      <c r="I3628" t="s">
        <v>129</v>
      </c>
      <c r="J3628" t="s">
        <v>130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si="1598"/>
        <v>06:22:26.102</v>
      </c>
      <c r="T3628" t="str">
        <f>"06:22:25.602"</f>
        <v>06:22:25.602</v>
      </c>
      <c r="U3628" t="str">
        <f t="shared" si="1581"/>
        <v>A7E2E0</v>
      </c>
      <c r="V3628">
        <v>0</v>
      </c>
      <c r="W3628">
        <v>0</v>
      </c>
      <c r="X3628">
        <v>1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0</v>
      </c>
      <c r="AI3628" t="s">
        <v>1656</v>
      </c>
      <c r="AJ3628">
        <v>38.809010999999998</v>
      </c>
      <c r="AK3628" t="s">
        <v>1603</v>
      </c>
      <c r="AL3628">
        <v>-87.603693000000007</v>
      </c>
      <c r="AM3628">
        <v>100</v>
      </c>
      <c r="AN3628">
        <v>1300</v>
      </c>
      <c r="AO3628" t="s">
        <v>118</v>
      </c>
      <c r="AP3628">
        <v>-11</v>
      </c>
      <c r="AQ3628">
        <v>-107</v>
      </c>
      <c r="AR3628">
        <v>-1536</v>
      </c>
      <c r="AZ3628">
        <v>4552</v>
      </c>
      <c r="BA3628">
        <v>1</v>
      </c>
      <c r="BB3628" t="str">
        <f t="shared" si="1582"/>
        <v xml:space="preserve">N607SR  </v>
      </c>
      <c r="BC3628">
        <v>1</v>
      </c>
      <c r="BE3628">
        <v>0</v>
      </c>
      <c r="BF3628">
        <v>0</v>
      </c>
      <c r="BG3628">
        <v>0</v>
      </c>
      <c r="BH3628">
        <v>1100</v>
      </c>
      <c r="BI3628">
        <v>1</v>
      </c>
      <c r="BJ3628">
        <v>1</v>
      </c>
      <c r="BK3628">
        <v>1</v>
      </c>
      <c r="BL3628">
        <v>0</v>
      </c>
      <c r="BO3628">
        <v>0</v>
      </c>
      <c r="BP3628">
        <v>0</v>
      </c>
      <c r="BW3628" t="str">
        <f t="shared" si="1599"/>
        <v>06:22:26.106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6</v>
      </c>
      <c r="CP3628" t="s">
        <v>119</v>
      </c>
      <c r="CQ3628">
        <v>457</v>
      </c>
      <c r="CR3628">
        <v>0</v>
      </c>
      <c r="CW3628">
        <v>15527194</v>
      </c>
      <c r="CY3628">
        <v>1</v>
      </c>
      <c r="CZ3628">
        <v>0</v>
      </c>
      <c r="DA3628">
        <v>1</v>
      </c>
      <c r="DB3628">
        <v>0</v>
      </c>
      <c r="DC3628">
        <v>0</v>
      </c>
      <c r="DD3628">
        <v>0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3">
      <c r="A3629" t="str">
        <f t="shared" si="1597"/>
        <v>08/29/2020 06:22:22.861</v>
      </c>
      <c r="C3629" t="str">
        <f t="shared" si="1579"/>
        <v>FFDFD3C0</v>
      </c>
      <c r="D3629" t="s">
        <v>939</v>
      </c>
      <c r="E3629">
        <v>10</v>
      </c>
      <c r="H3629">
        <v>79</v>
      </c>
      <c r="I3629" t="s">
        <v>940</v>
      </c>
      <c r="J3629" t="s">
        <v>130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1598"/>
        <v>06:22:26.102</v>
      </c>
      <c r="T3629" t="str">
        <f>"06:22:23.802"</f>
        <v>06:22:23.802</v>
      </c>
      <c r="U3629" t="str">
        <f t="shared" si="1581"/>
        <v>A7E2E0</v>
      </c>
      <c r="V3629">
        <v>0</v>
      </c>
      <c r="W3629">
        <v>0</v>
      </c>
      <c r="X3629">
        <v>1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3</v>
      </c>
      <c r="AG3629">
        <v>2</v>
      </c>
      <c r="AH3629">
        <v>0</v>
      </c>
      <c r="AI3629" t="s">
        <v>1656</v>
      </c>
      <c r="AJ3629">
        <v>38.809010999999998</v>
      </c>
      <c r="AK3629" t="s">
        <v>1603</v>
      </c>
      <c r="AL3629">
        <v>-87.603693000000007</v>
      </c>
      <c r="AM3629">
        <v>100</v>
      </c>
      <c r="AN3629">
        <v>1300</v>
      </c>
      <c r="AO3629" t="s">
        <v>118</v>
      </c>
      <c r="AP3629">
        <v>-10</v>
      </c>
      <c r="AQ3629">
        <v>-107</v>
      </c>
      <c r="AR3629">
        <v>-1472</v>
      </c>
      <c r="AZ3629">
        <v>4552</v>
      </c>
      <c r="BA3629">
        <v>1</v>
      </c>
      <c r="BB3629" t="str">
        <f t="shared" si="1582"/>
        <v xml:space="preserve">N607SR  </v>
      </c>
      <c r="BC3629">
        <v>1</v>
      </c>
      <c r="BE3629">
        <v>0</v>
      </c>
      <c r="BF3629">
        <v>0</v>
      </c>
      <c r="BG3629">
        <v>0</v>
      </c>
      <c r="BH3629">
        <v>1050</v>
      </c>
      <c r="BI3629">
        <v>1</v>
      </c>
      <c r="BJ3629">
        <v>1</v>
      </c>
      <c r="BK3629">
        <v>1</v>
      </c>
      <c r="BL3629">
        <v>0</v>
      </c>
      <c r="BO3629">
        <v>0</v>
      </c>
      <c r="BP3629">
        <v>0</v>
      </c>
      <c r="BW3629" t="str">
        <f t="shared" si="1599"/>
        <v>06:22:26.106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1</v>
      </c>
      <c r="CP3629" t="s">
        <v>119</v>
      </c>
      <c r="CQ3629">
        <v>465</v>
      </c>
      <c r="CR3629">
        <v>0</v>
      </c>
      <c r="CW3629">
        <v>4731922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0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3">
      <c r="A3630" t="str">
        <f t="shared" si="1597"/>
        <v>08/29/2020 06:22:22.861</v>
      </c>
      <c r="C3630" t="str">
        <f t="shared" si="1579"/>
        <v>FFDFD3C0</v>
      </c>
      <c r="D3630" t="s">
        <v>121</v>
      </c>
      <c r="E3630">
        <v>11</v>
      </c>
      <c r="F3630">
        <v>1011</v>
      </c>
      <c r="G3630" t="s">
        <v>125</v>
      </c>
      <c r="J3630" t="s">
        <v>123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1598"/>
        <v>06:22:26.102</v>
      </c>
      <c r="T3630" t="str">
        <f>"06:22:25.602"</f>
        <v>06:22:25.602</v>
      </c>
      <c r="U3630" t="str">
        <f t="shared" si="1581"/>
        <v>A7E2E0</v>
      </c>
      <c r="V3630">
        <v>0</v>
      </c>
      <c r="W3630">
        <v>0</v>
      </c>
      <c r="X3630">
        <v>1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0</v>
      </c>
      <c r="AI3630" t="s">
        <v>1656</v>
      </c>
      <c r="AJ3630">
        <v>38.809010999999998</v>
      </c>
      <c r="AK3630" t="s">
        <v>1603</v>
      </c>
      <c r="AL3630">
        <v>-87.603693000000007</v>
      </c>
      <c r="AM3630">
        <v>100</v>
      </c>
      <c r="AN3630">
        <v>1300</v>
      </c>
      <c r="AO3630" t="s">
        <v>118</v>
      </c>
      <c r="AP3630">
        <v>-11</v>
      </c>
      <c r="AQ3630">
        <v>-107</v>
      </c>
      <c r="AR3630">
        <v>-1536</v>
      </c>
      <c r="AZ3630">
        <v>4552</v>
      </c>
      <c r="BA3630">
        <v>1</v>
      </c>
      <c r="BB3630" t="str">
        <f t="shared" si="1582"/>
        <v xml:space="preserve">N607SR  </v>
      </c>
      <c r="BC3630">
        <v>1</v>
      </c>
      <c r="BE3630">
        <v>0</v>
      </c>
      <c r="BF3630">
        <v>0</v>
      </c>
      <c r="BG3630">
        <v>0</v>
      </c>
      <c r="BH3630">
        <v>1100</v>
      </c>
      <c r="BI3630">
        <v>1</v>
      </c>
      <c r="BJ3630">
        <v>1</v>
      </c>
      <c r="BK3630">
        <v>1</v>
      </c>
      <c r="BL3630">
        <v>0</v>
      </c>
      <c r="BO3630">
        <v>0</v>
      </c>
      <c r="BP3630">
        <v>0</v>
      </c>
      <c r="BW3630" t="str">
        <f t="shared" si="1599"/>
        <v>06:22:26.106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6</v>
      </c>
      <c r="CP3630" t="s">
        <v>119</v>
      </c>
      <c r="CQ3630">
        <v>457</v>
      </c>
      <c r="CR3630">
        <v>0</v>
      </c>
      <c r="CW3630">
        <v>15527194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0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3">
      <c r="A3631" t="str">
        <f t="shared" si="1597"/>
        <v>08/29/2020 06:22:22.861</v>
      </c>
      <c r="C3631" t="str">
        <f t="shared" si="1579"/>
        <v>FFDFD3C0</v>
      </c>
      <c r="D3631" t="s">
        <v>121</v>
      </c>
      <c r="E3631">
        <v>13</v>
      </c>
      <c r="F3631">
        <v>1013</v>
      </c>
      <c r="G3631" t="s">
        <v>122</v>
      </c>
      <c r="J3631" t="s">
        <v>123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si="1598"/>
        <v>06:22:26.102</v>
      </c>
      <c r="T3631" t="str">
        <f>"06:22:25.602"</f>
        <v>06:22:25.602</v>
      </c>
      <c r="U3631" t="str">
        <f t="shared" si="1581"/>
        <v>A7E2E0</v>
      </c>
      <c r="V3631">
        <v>0</v>
      </c>
      <c r="W3631">
        <v>0</v>
      </c>
      <c r="X3631">
        <v>1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0</v>
      </c>
      <c r="AI3631" t="s">
        <v>1656</v>
      </c>
      <c r="AJ3631">
        <v>38.809010999999998</v>
      </c>
      <c r="AK3631" t="s">
        <v>1603</v>
      </c>
      <c r="AL3631">
        <v>-87.603693000000007</v>
      </c>
      <c r="AM3631">
        <v>100</v>
      </c>
      <c r="AN3631">
        <v>1300</v>
      </c>
      <c r="AO3631" t="s">
        <v>118</v>
      </c>
      <c r="AP3631">
        <v>-11</v>
      </c>
      <c r="AQ3631">
        <v>-107</v>
      </c>
      <c r="AR3631">
        <v>-1536</v>
      </c>
      <c r="AZ3631">
        <v>4552</v>
      </c>
      <c r="BA3631">
        <v>1</v>
      </c>
      <c r="BB3631" t="str">
        <f t="shared" si="1582"/>
        <v xml:space="preserve">N607SR  </v>
      </c>
      <c r="BC3631">
        <v>1</v>
      </c>
      <c r="BE3631">
        <v>0</v>
      </c>
      <c r="BF3631">
        <v>0</v>
      </c>
      <c r="BG3631">
        <v>0</v>
      </c>
      <c r="BH3631">
        <v>1100</v>
      </c>
      <c r="BI3631">
        <v>1</v>
      </c>
      <c r="BJ3631">
        <v>1</v>
      </c>
      <c r="BK3631">
        <v>1</v>
      </c>
      <c r="BL3631">
        <v>0</v>
      </c>
      <c r="BO3631">
        <v>0</v>
      </c>
      <c r="BP3631">
        <v>0</v>
      </c>
      <c r="BW3631" t="str">
        <f t="shared" si="1599"/>
        <v>06:22:26.106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6</v>
      </c>
      <c r="CP3631" t="s">
        <v>119</v>
      </c>
      <c r="CQ3631">
        <v>457</v>
      </c>
      <c r="CR3631">
        <v>0</v>
      </c>
      <c r="CW3631">
        <v>15527194</v>
      </c>
      <c r="CY3631">
        <v>1</v>
      </c>
      <c r="CZ3631">
        <v>0</v>
      </c>
      <c r="DA3631">
        <v>1</v>
      </c>
      <c r="DB3631">
        <v>0</v>
      </c>
      <c r="DC3631">
        <v>0</v>
      </c>
      <c r="DD3631">
        <v>0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3">
      <c r="A3632" t="str">
        <f t="shared" ref="A3632:A3637" si="1600">"08/29/2020 06:22:24.052"</f>
        <v>08/29/2020 06:22:24.052</v>
      </c>
      <c r="C3632" t="str">
        <f t="shared" si="1579"/>
        <v>FFDFD3C0</v>
      </c>
      <c r="D3632" t="s">
        <v>121</v>
      </c>
      <c r="E3632">
        <v>11</v>
      </c>
      <c r="F3632">
        <v>1011</v>
      </c>
      <c r="G3632" t="s">
        <v>125</v>
      </c>
      <c r="J3632" t="s">
        <v>123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ref="S3632:S3637" si="1601">"06:22:27.227"</f>
        <v>06:22:27.227</v>
      </c>
      <c r="T3632" t="str">
        <f>"06:22:26.727"</f>
        <v>06:22:26.727</v>
      </c>
      <c r="U3632" t="str">
        <f t="shared" si="1581"/>
        <v>A7E2E0</v>
      </c>
      <c r="V3632">
        <v>0</v>
      </c>
      <c r="W3632">
        <v>0</v>
      </c>
      <c r="X3632">
        <v>1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0</v>
      </c>
      <c r="AI3632" t="s">
        <v>1657</v>
      </c>
      <c r="AJ3632">
        <v>38.808410000000002</v>
      </c>
      <c r="AK3632" t="s">
        <v>1595</v>
      </c>
      <c r="AL3632">
        <v>-87.603821999999994</v>
      </c>
      <c r="AM3632">
        <v>100</v>
      </c>
      <c r="AN3632">
        <v>1300</v>
      </c>
      <c r="AO3632" t="s">
        <v>118</v>
      </c>
      <c r="AP3632">
        <v>-12</v>
      </c>
      <c r="AQ3632">
        <v>-107</v>
      </c>
      <c r="AR3632">
        <v>-1600</v>
      </c>
      <c r="AZ3632">
        <v>4552</v>
      </c>
      <c r="BA3632">
        <v>1</v>
      </c>
      <c r="BB3632" t="str">
        <f t="shared" si="1582"/>
        <v xml:space="preserve">N607SR  </v>
      </c>
      <c r="BC3632">
        <v>1</v>
      </c>
      <c r="BE3632">
        <v>0</v>
      </c>
      <c r="BF3632">
        <v>0</v>
      </c>
      <c r="BG3632">
        <v>0</v>
      </c>
      <c r="BH3632">
        <v>1075</v>
      </c>
      <c r="BI3632">
        <v>1</v>
      </c>
      <c r="BJ3632">
        <v>1</v>
      </c>
      <c r="BK3632">
        <v>1</v>
      </c>
      <c r="BL3632">
        <v>0</v>
      </c>
      <c r="BO3632">
        <v>0</v>
      </c>
      <c r="BP3632">
        <v>0</v>
      </c>
      <c r="BW3632" t="str">
        <f t="shared" ref="BW3632:BW3637" si="1602">"06:22:27.233"</f>
        <v>06:22:27.233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7</v>
      </c>
      <c r="CP3632" t="s">
        <v>119</v>
      </c>
      <c r="CQ3632">
        <v>457</v>
      </c>
      <c r="CR3632">
        <v>0</v>
      </c>
      <c r="CW3632">
        <v>15527225</v>
      </c>
      <c r="CY3632">
        <v>1</v>
      </c>
      <c r="CZ3632">
        <v>0</v>
      </c>
      <c r="DA3632">
        <v>0</v>
      </c>
      <c r="DB3632">
        <v>0</v>
      </c>
      <c r="DC3632">
        <v>0</v>
      </c>
      <c r="DD3632">
        <v>0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3">
      <c r="A3633" t="str">
        <f t="shared" si="1600"/>
        <v>08/29/2020 06:22:24.052</v>
      </c>
      <c r="C3633" t="str">
        <f t="shared" si="1579"/>
        <v>FFDFD3C0</v>
      </c>
      <c r="D3633" t="s">
        <v>113</v>
      </c>
      <c r="E3633">
        <v>5</v>
      </c>
      <c r="H3633">
        <v>163</v>
      </c>
      <c r="I3633" t="s">
        <v>114</v>
      </c>
      <c r="J3633" t="s">
        <v>115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si="1601"/>
        <v>06:22:27.227</v>
      </c>
      <c r="U3633" t="str">
        <f t="shared" si="1581"/>
        <v>A7E2E0</v>
      </c>
      <c r="V3633">
        <v>0</v>
      </c>
      <c r="W3633">
        <v>0</v>
      </c>
      <c r="X3633">
        <v>1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0</v>
      </c>
      <c r="AI3633" t="s">
        <v>1657</v>
      </c>
      <c r="AJ3633">
        <v>38.808410000000002</v>
      </c>
      <c r="AK3633" t="s">
        <v>1595</v>
      </c>
      <c r="AL3633">
        <v>-87.603821999999994</v>
      </c>
      <c r="AM3633">
        <v>100</v>
      </c>
      <c r="AN3633">
        <v>1300</v>
      </c>
      <c r="AO3633" t="s">
        <v>118</v>
      </c>
      <c r="AP3633">
        <v>-13</v>
      </c>
      <c r="AQ3633">
        <v>-107</v>
      </c>
      <c r="AR3633">
        <v>-1600</v>
      </c>
      <c r="AZ3633">
        <v>4552</v>
      </c>
      <c r="BA3633">
        <v>1</v>
      </c>
      <c r="BB3633" t="str">
        <f t="shared" si="1582"/>
        <v xml:space="preserve">N607SR  </v>
      </c>
      <c r="BC3633">
        <v>1</v>
      </c>
      <c r="BE3633">
        <v>0</v>
      </c>
      <c r="BF3633">
        <v>0</v>
      </c>
      <c r="BG3633">
        <v>0</v>
      </c>
      <c r="BH3633">
        <v>1050</v>
      </c>
      <c r="BI3633">
        <v>1</v>
      </c>
      <c r="BJ3633">
        <v>1</v>
      </c>
      <c r="BK3633">
        <v>1</v>
      </c>
      <c r="BL3633">
        <v>0</v>
      </c>
      <c r="BO3633">
        <v>0</v>
      </c>
      <c r="BP3633">
        <v>0</v>
      </c>
      <c r="BW3633" t="str">
        <f t="shared" si="1602"/>
        <v>06:22:27.233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5</v>
      </c>
      <c r="CP3633" t="s">
        <v>119</v>
      </c>
      <c r="CQ3633">
        <v>517</v>
      </c>
      <c r="CR3633">
        <v>1</v>
      </c>
      <c r="CW3633">
        <v>2491866</v>
      </c>
      <c r="CY3633">
        <v>1</v>
      </c>
      <c r="CZ3633">
        <v>0</v>
      </c>
      <c r="DA3633">
        <v>1</v>
      </c>
      <c r="DB3633">
        <v>0</v>
      </c>
      <c r="DC3633">
        <v>0</v>
      </c>
      <c r="DD3633">
        <v>0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3">
      <c r="A3634" t="str">
        <f t="shared" si="1600"/>
        <v>08/29/2020 06:22:24.052</v>
      </c>
      <c r="C3634" t="str">
        <f t="shared" si="1579"/>
        <v>FFDFD3C0</v>
      </c>
      <c r="D3634" t="s">
        <v>939</v>
      </c>
      <c r="E3634">
        <v>10</v>
      </c>
      <c r="H3634">
        <v>79</v>
      </c>
      <c r="I3634" t="s">
        <v>940</v>
      </c>
      <c r="J3634" t="s">
        <v>130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si="1601"/>
        <v>06:22:27.227</v>
      </c>
      <c r="T3634" t="str">
        <f>"06:22:23.727"</f>
        <v>06:22:23.727</v>
      </c>
      <c r="U3634" t="str">
        <f t="shared" si="1581"/>
        <v>A7E2E0</v>
      </c>
      <c r="V3634">
        <v>0</v>
      </c>
      <c r="W3634">
        <v>0</v>
      </c>
      <c r="X3634">
        <v>1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0</v>
      </c>
      <c r="AI3634" t="s">
        <v>1657</v>
      </c>
      <c r="AJ3634">
        <v>38.808410000000002</v>
      </c>
      <c r="AK3634" t="s">
        <v>1595</v>
      </c>
      <c r="AL3634">
        <v>-87.603821999999994</v>
      </c>
      <c r="AM3634">
        <v>100</v>
      </c>
      <c r="AN3634">
        <v>1300</v>
      </c>
      <c r="AO3634" t="s">
        <v>118</v>
      </c>
      <c r="AP3634">
        <v>-10</v>
      </c>
      <c r="AQ3634">
        <v>-107</v>
      </c>
      <c r="AR3634">
        <v>-1472</v>
      </c>
      <c r="AZ3634">
        <v>4552</v>
      </c>
      <c r="BA3634">
        <v>1</v>
      </c>
      <c r="BB3634" t="str">
        <f t="shared" si="1582"/>
        <v xml:space="preserve">N607SR  </v>
      </c>
      <c r="BC3634">
        <v>1</v>
      </c>
      <c r="BE3634">
        <v>0</v>
      </c>
      <c r="BF3634">
        <v>0</v>
      </c>
      <c r="BG3634">
        <v>0</v>
      </c>
      <c r="BH3634">
        <v>1050</v>
      </c>
      <c r="BI3634">
        <v>1</v>
      </c>
      <c r="BJ3634">
        <v>1</v>
      </c>
      <c r="BK3634">
        <v>1</v>
      </c>
      <c r="BL3634">
        <v>0</v>
      </c>
      <c r="BO3634">
        <v>0</v>
      </c>
      <c r="BP3634">
        <v>0</v>
      </c>
      <c r="BW3634" t="str">
        <f t="shared" si="1602"/>
        <v>06:22:27.233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1</v>
      </c>
      <c r="CP3634" t="s">
        <v>119</v>
      </c>
      <c r="CQ3634">
        <v>465</v>
      </c>
      <c r="CR3634">
        <v>0</v>
      </c>
      <c r="CW3634">
        <v>4731952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0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3">
      <c r="A3635" t="str">
        <f t="shared" si="1600"/>
        <v>08/29/2020 06:22:24.052</v>
      </c>
      <c r="C3635" t="str">
        <f t="shared" si="1579"/>
        <v>FFDFD3C0</v>
      </c>
      <c r="D3635" t="s">
        <v>128</v>
      </c>
      <c r="E3635">
        <v>5</v>
      </c>
      <c r="H3635">
        <v>241</v>
      </c>
      <c r="I3635" t="s">
        <v>129</v>
      </c>
      <c r="J3635" t="s">
        <v>130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 t="shared" si="1601"/>
        <v>06:22:27.227</v>
      </c>
      <c r="U3635" t="str">
        <f t="shared" si="1581"/>
        <v>A7E2E0</v>
      </c>
      <c r="V3635">
        <v>0</v>
      </c>
      <c r="W3635">
        <v>0</v>
      </c>
      <c r="X3635">
        <v>1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0</v>
      </c>
      <c r="AI3635" t="s">
        <v>1657</v>
      </c>
      <c r="AJ3635">
        <v>38.808410000000002</v>
      </c>
      <c r="AK3635" t="s">
        <v>1595</v>
      </c>
      <c r="AL3635">
        <v>-87.603821999999994</v>
      </c>
      <c r="AM3635">
        <v>100</v>
      </c>
      <c r="AN3635">
        <v>1300</v>
      </c>
      <c r="AO3635" t="s">
        <v>118</v>
      </c>
      <c r="AP3635">
        <v>-13</v>
      </c>
      <c r="AQ3635">
        <v>-107</v>
      </c>
      <c r="AR3635">
        <v>-1600</v>
      </c>
      <c r="AZ3635">
        <v>4552</v>
      </c>
      <c r="BA3635">
        <v>1</v>
      </c>
      <c r="BB3635" t="str">
        <f t="shared" si="1582"/>
        <v xml:space="preserve">N607SR  </v>
      </c>
      <c r="BC3635">
        <v>1</v>
      </c>
      <c r="BE3635">
        <v>0</v>
      </c>
      <c r="BF3635">
        <v>0</v>
      </c>
      <c r="BG3635">
        <v>0</v>
      </c>
      <c r="BH3635">
        <v>1050</v>
      </c>
      <c r="BI3635">
        <v>1</v>
      </c>
      <c r="BJ3635">
        <v>1</v>
      </c>
      <c r="BK3635">
        <v>1</v>
      </c>
      <c r="BL3635">
        <v>0</v>
      </c>
      <c r="BO3635">
        <v>0</v>
      </c>
      <c r="BP3635">
        <v>0</v>
      </c>
      <c r="BW3635" t="str">
        <f t="shared" si="1602"/>
        <v>06:22:27.233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5</v>
      </c>
      <c r="CP3635" t="s">
        <v>119</v>
      </c>
      <c r="CQ3635">
        <v>517</v>
      </c>
      <c r="CR3635">
        <v>1</v>
      </c>
      <c r="CW3635">
        <v>2491866</v>
      </c>
      <c r="CY3635">
        <v>1</v>
      </c>
      <c r="CZ3635">
        <v>0</v>
      </c>
      <c r="DA3635">
        <v>1</v>
      </c>
      <c r="DB3635">
        <v>0</v>
      </c>
      <c r="DC3635">
        <v>0</v>
      </c>
      <c r="DD3635">
        <v>0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3">
      <c r="A3636" t="str">
        <f t="shared" si="1600"/>
        <v>08/29/2020 06:22:24.052</v>
      </c>
      <c r="C3636" t="str">
        <f t="shared" si="1579"/>
        <v>FFDFD3C0</v>
      </c>
      <c r="D3636" t="s">
        <v>121</v>
      </c>
      <c r="E3636">
        <v>10</v>
      </c>
      <c r="F3636">
        <v>1010</v>
      </c>
      <c r="G3636" t="s">
        <v>114</v>
      </c>
      <c r="J3636" t="s">
        <v>123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 t="shared" si="1601"/>
        <v>06:22:27.227</v>
      </c>
      <c r="U3636" t="str">
        <f t="shared" si="1581"/>
        <v>A7E2E0</v>
      </c>
      <c r="V3636">
        <v>0</v>
      </c>
      <c r="W3636">
        <v>0</v>
      </c>
      <c r="X3636">
        <v>1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0</v>
      </c>
      <c r="AI3636" t="s">
        <v>1657</v>
      </c>
      <c r="AJ3636">
        <v>38.808410000000002</v>
      </c>
      <c r="AK3636" t="s">
        <v>1595</v>
      </c>
      <c r="AL3636">
        <v>-87.603821999999994</v>
      </c>
      <c r="AM3636">
        <v>100</v>
      </c>
      <c r="AN3636">
        <v>1300</v>
      </c>
      <c r="AO3636" t="s">
        <v>118</v>
      </c>
      <c r="AP3636">
        <v>-13</v>
      </c>
      <c r="AQ3636">
        <v>-107</v>
      </c>
      <c r="AR3636">
        <v>-1600</v>
      </c>
      <c r="AZ3636">
        <v>4552</v>
      </c>
      <c r="BA3636">
        <v>1</v>
      </c>
      <c r="BB3636" t="str">
        <f t="shared" si="1582"/>
        <v xml:space="preserve">N607SR  </v>
      </c>
      <c r="BC3636">
        <v>1</v>
      </c>
      <c r="BE3636">
        <v>0</v>
      </c>
      <c r="BF3636">
        <v>0</v>
      </c>
      <c r="BG3636">
        <v>0</v>
      </c>
      <c r="BH3636">
        <v>1050</v>
      </c>
      <c r="BI3636">
        <v>1</v>
      </c>
      <c r="BJ3636">
        <v>1</v>
      </c>
      <c r="BK3636">
        <v>1</v>
      </c>
      <c r="BL3636">
        <v>0</v>
      </c>
      <c r="BO3636">
        <v>0</v>
      </c>
      <c r="BP3636">
        <v>0</v>
      </c>
      <c r="BW3636" t="str">
        <f t="shared" si="1602"/>
        <v>06:22:27.233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5</v>
      </c>
      <c r="CP3636" t="s">
        <v>119</v>
      </c>
      <c r="CQ3636">
        <v>517</v>
      </c>
      <c r="CR3636">
        <v>1</v>
      </c>
      <c r="CW3636">
        <v>2491866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0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3">
      <c r="A3637" t="str">
        <f t="shared" si="1600"/>
        <v>08/29/2020 06:22:24.052</v>
      </c>
      <c r="C3637" t="str">
        <f t="shared" si="1579"/>
        <v>FFDFD3C0</v>
      </c>
      <c r="D3637" t="s">
        <v>121</v>
      </c>
      <c r="E3637">
        <v>13</v>
      </c>
      <c r="F3637">
        <v>1013</v>
      </c>
      <c r="G3637" t="s">
        <v>122</v>
      </c>
      <c r="J3637" t="s">
        <v>123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 t="shared" si="1601"/>
        <v>06:22:27.227</v>
      </c>
      <c r="U3637" t="str">
        <f t="shared" si="1581"/>
        <v>A7E2E0</v>
      </c>
      <c r="V3637">
        <v>0</v>
      </c>
      <c r="W3637">
        <v>0</v>
      </c>
      <c r="X3637">
        <v>1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3</v>
      </c>
      <c r="AG3637">
        <v>2</v>
      </c>
      <c r="AH3637">
        <v>0</v>
      </c>
      <c r="AI3637" t="s">
        <v>1657</v>
      </c>
      <c r="AJ3637">
        <v>38.808410000000002</v>
      </c>
      <c r="AK3637" t="s">
        <v>1595</v>
      </c>
      <c r="AL3637">
        <v>-87.603821999999994</v>
      </c>
      <c r="AM3637">
        <v>100</v>
      </c>
      <c r="AN3637">
        <v>1300</v>
      </c>
      <c r="AO3637" t="s">
        <v>118</v>
      </c>
      <c r="AP3637">
        <v>-13</v>
      </c>
      <c r="AQ3637">
        <v>-107</v>
      </c>
      <c r="AR3637">
        <v>-1600</v>
      </c>
      <c r="AZ3637">
        <v>4552</v>
      </c>
      <c r="BA3637">
        <v>1</v>
      </c>
      <c r="BB3637" t="str">
        <f t="shared" si="1582"/>
        <v xml:space="preserve">N607SR  </v>
      </c>
      <c r="BC3637">
        <v>1</v>
      </c>
      <c r="BE3637">
        <v>0</v>
      </c>
      <c r="BF3637">
        <v>0</v>
      </c>
      <c r="BG3637">
        <v>0</v>
      </c>
      <c r="BH3637">
        <v>1050</v>
      </c>
      <c r="BI3637">
        <v>1</v>
      </c>
      <c r="BJ3637">
        <v>1</v>
      </c>
      <c r="BK3637">
        <v>1</v>
      </c>
      <c r="BL3637">
        <v>0</v>
      </c>
      <c r="BO3637">
        <v>0</v>
      </c>
      <c r="BP3637">
        <v>0</v>
      </c>
      <c r="BW3637" t="str">
        <f t="shared" si="1602"/>
        <v>06:22:27.233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5</v>
      </c>
      <c r="CP3637" t="s">
        <v>119</v>
      </c>
      <c r="CQ3637">
        <v>517</v>
      </c>
      <c r="CR3637">
        <v>1</v>
      </c>
      <c r="CW3637">
        <v>2491866</v>
      </c>
      <c r="CY3637">
        <v>1</v>
      </c>
      <c r="CZ3637">
        <v>0</v>
      </c>
      <c r="DA3637">
        <v>1</v>
      </c>
      <c r="DB3637">
        <v>0</v>
      </c>
      <c r="DC3637">
        <v>0</v>
      </c>
      <c r="DD3637">
        <v>0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3">
      <c r="A3638" t="str">
        <f>"08/29/2020 06:22:24.868"</f>
        <v>08/29/2020 06:22:24.868</v>
      </c>
      <c r="C3638" t="str">
        <f t="shared" si="1579"/>
        <v>FFDFD3C0</v>
      </c>
      <c r="D3638" t="s">
        <v>121</v>
      </c>
      <c r="E3638">
        <v>13</v>
      </c>
      <c r="F3638">
        <v>1013</v>
      </c>
      <c r="G3638" t="s">
        <v>122</v>
      </c>
      <c r="J3638" t="s">
        <v>123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"06:22:28.078"</f>
        <v>06:22:28.078</v>
      </c>
      <c r="T3638" t="str">
        <f>"06:22:27.678"</f>
        <v>06:22:27.678</v>
      </c>
      <c r="U3638" t="str">
        <f t="shared" si="1581"/>
        <v>A7E2E0</v>
      </c>
      <c r="V3638">
        <v>0</v>
      </c>
      <c r="W3638">
        <v>0</v>
      </c>
      <c r="X3638">
        <v>1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0</v>
      </c>
      <c r="AI3638" t="s">
        <v>1658</v>
      </c>
      <c r="AJ3638">
        <v>38.808002000000002</v>
      </c>
      <c r="AK3638" t="s">
        <v>1220</v>
      </c>
      <c r="AL3638">
        <v>-87.603886000000003</v>
      </c>
      <c r="AM3638">
        <v>100</v>
      </c>
      <c r="AN3638">
        <v>1300</v>
      </c>
      <c r="AO3638" t="s">
        <v>118</v>
      </c>
      <c r="AP3638">
        <v>-13</v>
      </c>
      <c r="AQ3638">
        <v>-108</v>
      </c>
      <c r="AR3638">
        <v>-1600</v>
      </c>
      <c r="AZ3638">
        <v>4552</v>
      </c>
      <c r="BA3638">
        <v>1</v>
      </c>
      <c r="BB3638" t="str">
        <f t="shared" si="1582"/>
        <v xml:space="preserve">N607SR  </v>
      </c>
      <c r="BC3638">
        <v>1</v>
      </c>
      <c r="BE3638">
        <v>0</v>
      </c>
      <c r="BF3638">
        <v>0</v>
      </c>
      <c r="BG3638">
        <v>0</v>
      </c>
      <c r="BH3638">
        <v>1050</v>
      </c>
      <c r="BI3638">
        <v>1</v>
      </c>
      <c r="BJ3638">
        <v>1</v>
      </c>
      <c r="BK3638">
        <v>1</v>
      </c>
      <c r="BL3638">
        <v>0</v>
      </c>
      <c r="BO3638">
        <v>0</v>
      </c>
      <c r="BP3638">
        <v>0</v>
      </c>
      <c r="BW3638" t="str">
        <f>"06:22:28.084"</f>
        <v>06:22:28.084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7</v>
      </c>
      <c r="CP3638" t="s">
        <v>119</v>
      </c>
      <c r="CQ3638">
        <v>457</v>
      </c>
      <c r="CR3638">
        <v>0</v>
      </c>
      <c r="CW3638">
        <v>15527251</v>
      </c>
      <c r="CY3638">
        <v>1</v>
      </c>
      <c r="CZ3638">
        <v>0</v>
      </c>
      <c r="DA3638">
        <v>0</v>
      </c>
      <c r="DB3638">
        <v>0</v>
      </c>
      <c r="DC3638">
        <v>0</v>
      </c>
      <c r="DD3638">
        <v>0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3">
      <c r="A3639" t="str">
        <f>"08/29/2020 06:22:24.868"</f>
        <v>08/29/2020 06:22:24.868</v>
      </c>
      <c r="C3639" t="str">
        <f t="shared" si="1579"/>
        <v>FFDFD3C0</v>
      </c>
      <c r="D3639" t="s">
        <v>121</v>
      </c>
      <c r="E3639">
        <v>10</v>
      </c>
      <c r="F3639">
        <v>1010</v>
      </c>
      <c r="G3639" t="s">
        <v>114</v>
      </c>
      <c r="J3639" t="s">
        <v>123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"06:22:28.078"</f>
        <v>06:22:28.078</v>
      </c>
      <c r="T3639" t="str">
        <f>"06:22:27.678"</f>
        <v>06:22:27.678</v>
      </c>
      <c r="U3639" t="str">
        <f t="shared" si="1581"/>
        <v>A7E2E0</v>
      </c>
      <c r="V3639">
        <v>0</v>
      </c>
      <c r="W3639">
        <v>0</v>
      </c>
      <c r="X3639">
        <v>1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0</v>
      </c>
      <c r="AI3639" t="s">
        <v>1658</v>
      </c>
      <c r="AJ3639">
        <v>38.808002000000002</v>
      </c>
      <c r="AK3639" t="s">
        <v>1220</v>
      </c>
      <c r="AL3639">
        <v>-87.603886000000003</v>
      </c>
      <c r="AM3639">
        <v>100</v>
      </c>
      <c r="AN3639">
        <v>1300</v>
      </c>
      <c r="AO3639" t="s">
        <v>118</v>
      </c>
      <c r="AP3639">
        <v>-13</v>
      </c>
      <c r="AQ3639">
        <v>-108</v>
      </c>
      <c r="AR3639">
        <v>-1600</v>
      </c>
      <c r="AZ3639">
        <v>4552</v>
      </c>
      <c r="BA3639">
        <v>1</v>
      </c>
      <c r="BB3639" t="str">
        <f t="shared" si="1582"/>
        <v xml:space="preserve">N607SR  </v>
      </c>
      <c r="BC3639">
        <v>1</v>
      </c>
      <c r="BE3639">
        <v>0</v>
      </c>
      <c r="BF3639">
        <v>0</v>
      </c>
      <c r="BG3639">
        <v>0</v>
      </c>
      <c r="BH3639">
        <v>1050</v>
      </c>
      <c r="BI3639">
        <v>1</v>
      </c>
      <c r="BJ3639">
        <v>1</v>
      </c>
      <c r="BK3639">
        <v>1</v>
      </c>
      <c r="BL3639">
        <v>0</v>
      </c>
      <c r="BO3639">
        <v>0</v>
      </c>
      <c r="BP3639">
        <v>0</v>
      </c>
      <c r="BW3639" t="str">
        <f>"06:22:28.084"</f>
        <v>06:22:28.084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7</v>
      </c>
      <c r="CP3639" t="s">
        <v>119</v>
      </c>
      <c r="CQ3639">
        <v>457</v>
      </c>
      <c r="CR3639">
        <v>0</v>
      </c>
      <c r="CW3639">
        <v>15527251</v>
      </c>
      <c r="CY3639">
        <v>1</v>
      </c>
      <c r="CZ3639">
        <v>0</v>
      </c>
      <c r="DA3639">
        <v>1</v>
      </c>
      <c r="DB3639">
        <v>0</v>
      </c>
      <c r="DC3639">
        <v>0</v>
      </c>
      <c r="DD3639">
        <v>0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3">
      <c r="A3640" t="str">
        <f>"08/29/2020 06:22:24.868"</f>
        <v>08/29/2020 06:22:24.868</v>
      </c>
      <c r="C3640" t="str">
        <f t="shared" si="1579"/>
        <v>FFDFD3C0</v>
      </c>
      <c r="D3640" t="s">
        <v>113</v>
      </c>
      <c r="E3640">
        <v>5</v>
      </c>
      <c r="H3640">
        <v>163</v>
      </c>
      <c r="I3640" t="s">
        <v>114</v>
      </c>
      <c r="J3640" t="s">
        <v>115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"06:22:28.078"</f>
        <v>06:22:28.078</v>
      </c>
      <c r="T3640" t="str">
        <f>"06:22:27.678"</f>
        <v>06:22:27.678</v>
      </c>
      <c r="U3640" t="str">
        <f t="shared" si="1581"/>
        <v>A7E2E0</v>
      </c>
      <c r="V3640">
        <v>0</v>
      </c>
      <c r="W3640">
        <v>0</v>
      </c>
      <c r="X3640">
        <v>1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3</v>
      </c>
      <c r="AG3640">
        <v>2</v>
      </c>
      <c r="AH3640">
        <v>0</v>
      </c>
      <c r="AI3640" t="s">
        <v>1658</v>
      </c>
      <c r="AJ3640">
        <v>38.808002000000002</v>
      </c>
      <c r="AK3640" t="s">
        <v>1220</v>
      </c>
      <c r="AL3640">
        <v>-87.603886000000003</v>
      </c>
      <c r="AM3640">
        <v>100</v>
      </c>
      <c r="AN3640">
        <v>1300</v>
      </c>
      <c r="AO3640" t="s">
        <v>118</v>
      </c>
      <c r="AP3640">
        <v>-13</v>
      </c>
      <c r="AQ3640">
        <v>-108</v>
      </c>
      <c r="AR3640">
        <v>-1600</v>
      </c>
      <c r="AZ3640">
        <v>4552</v>
      </c>
      <c r="BA3640">
        <v>1</v>
      </c>
      <c r="BB3640" t="str">
        <f t="shared" si="1582"/>
        <v xml:space="preserve">N607SR  </v>
      </c>
      <c r="BC3640">
        <v>1</v>
      </c>
      <c r="BE3640">
        <v>0</v>
      </c>
      <c r="BF3640">
        <v>0</v>
      </c>
      <c r="BG3640">
        <v>0</v>
      </c>
      <c r="BH3640">
        <v>1050</v>
      </c>
      <c r="BI3640">
        <v>1</v>
      </c>
      <c r="BJ3640">
        <v>1</v>
      </c>
      <c r="BK3640">
        <v>1</v>
      </c>
      <c r="BL3640">
        <v>0</v>
      </c>
      <c r="BO3640">
        <v>0</v>
      </c>
      <c r="BP3640">
        <v>0</v>
      </c>
      <c r="BW3640" t="str">
        <f>"06:22:28.084"</f>
        <v>06:22:28.084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7</v>
      </c>
      <c r="CP3640" t="s">
        <v>119</v>
      </c>
      <c r="CQ3640">
        <v>457</v>
      </c>
      <c r="CR3640">
        <v>0</v>
      </c>
      <c r="CW3640">
        <v>15527251</v>
      </c>
      <c r="CY3640">
        <v>1</v>
      </c>
      <c r="CZ3640">
        <v>0</v>
      </c>
      <c r="DA3640">
        <v>1</v>
      </c>
      <c r="DB3640">
        <v>0</v>
      </c>
      <c r="DC3640">
        <v>0</v>
      </c>
      <c r="DD3640">
        <v>0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3">
      <c r="A3641" t="str">
        <f>"08/29/2020 06:22:24.868"</f>
        <v>08/29/2020 06:22:24.868</v>
      </c>
      <c r="C3641" t="str">
        <f t="shared" si="1579"/>
        <v>FFDFD3C0</v>
      </c>
      <c r="D3641" t="s">
        <v>128</v>
      </c>
      <c r="E3641">
        <v>5</v>
      </c>
      <c r="H3641">
        <v>241</v>
      </c>
      <c r="I3641" t="s">
        <v>129</v>
      </c>
      <c r="J3641" t="s">
        <v>130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"06:22:28.078"</f>
        <v>06:22:28.078</v>
      </c>
      <c r="T3641" t="str">
        <f>"06:22:27.678"</f>
        <v>06:22:27.678</v>
      </c>
      <c r="U3641" t="str">
        <f t="shared" si="1581"/>
        <v>A7E2E0</v>
      </c>
      <c r="V3641">
        <v>0</v>
      </c>
      <c r="W3641">
        <v>0</v>
      </c>
      <c r="X3641">
        <v>1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0</v>
      </c>
      <c r="AI3641" t="s">
        <v>1658</v>
      </c>
      <c r="AJ3641">
        <v>38.808002000000002</v>
      </c>
      <c r="AK3641" t="s">
        <v>1220</v>
      </c>
      <c r="AL3641">
        <v>-87.603886000000003</v>
      </c>
      <c r="AM3641">
        <v>100</v>
      </c>
      <c r="AN3641">
        <v>1300</v>
      </c>
      <c r="AO3641" t="s">
        <v>118</v>
      </c>
      <c r="AP3641">
        <v>-13</v>
      </c>
      <c r="AQ3641">
        <v>-108</v>
      </c>
      <c r="AR3641">
        <v>-1600</v>
      </c>
      <c r="AZ3641">
        <v>4552</v>
      </c>
      <c r="BA3641">
        <v>1</v>
      </c>
      <c r="BB3641" t="str">
        <f t="shared" si="1582"/>
        <v xml:space="preserve">N607SR  </v>
      </c>
      <c r="BC3641">
        <v>1</v>
      </c>
      <c r="BE3641">
        <v>0</v>
      </c>
      <c r="BF3641">
        <v>0</v>
      </c>
      <c r="BG3641">
        <v>0</v>
      </c>
      <c r="BH3641">
        <v>1050</v>
      </c>
      <c r="BI3641">
        <v>1</v>
      </c>
      <c r="BJ3641">
        <v>1</v>
      </c>
      <c r="BK3641">
        <v>1</v>
      </c>
      <c r="BL3641">
        <v>0</v>
      </c>
      <c r="BO3641">
        <v>0</v>
      </c>
      <c r="BP3641">
        <v>0</v>
      </c>
      <c r="BW3641" t="str">
        <f>"06:22:28.084"</f>
        <v>06:22:28.084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7</v>
      </c>
      <c r="CP3641" t="s">
        <v>119</v>
      </c>
      <c r="CQ3641">
        <v>457</v>
      </c>
      <c r="CR3641">
        <v>0</v>
      </c>
      <c r="CW3641">
        <v>15527251</v>
      </c>
      <c r="CY3641">
        <v>1</v>
      </c>
      <c r="CZ3641">
        <v>0</v>
      </c>
      <c r="DA3641">
        <v>1</v>
      </c>
      <c r="DB3641">
        <v>0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3">
      <c r="A3642" t="str">
        <f>"08/29/2020 06:22:24.868"</f>
        <v>08/29/2020 06:22:24.868</v>
      </c>
      <c r="C3642" t="str">
        <f t="shared" si="1579"/>
        <v>FFDFD3C0</v>
      </c>
      <c r="D3642" t="s">
        <v>121</v>
      </c>
      <c r="E3642">
        <v>11</v>
      </c>
      <c r="F3642">
        <v>1011</v>
      </c>
      <c r="G3642" t="s">
        <v>125</v>
      </c>
      <c r="J3642" t="s">
        <v>123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"06:22:28.078"</f>
        <v>06:22:28.078</v>
      </c>
      <c r="T3642" t="str">
        <f>"06:22:27.678"</f>
        <v>06:22:27.678</v>
      </c>
      <c r="U3642" t="str">
        <f t="shared" si="1581"/>
        <v>A7E2E0</v>
      </c>
      <c r="V3642">
        <v>0</v>
      </c>
      <c r="W3642">
        <v>0</v>
      </c>
      <c r="X3642">
        <v>1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0</v>
      </c>
      <c r="AI3642" t="s">
        <v>1658</v>
      </c>
      <c r="AJ3642">
        <v>38.808002000000002</v>
      </c>
      <c r="AK3642" t="s">
        <v>1220</v>
      </c>
      <c r="AL3642">
        <v>-87.603886000000003</v>
      </c>
      <c r="AM3642">
        <v>100</v>
      </c>
      <c r="AN3642">
        <v>1300</v>
      </c>
      <c r="AO3642" t="s">
        <v>118</v>
      </c>
      <c r="AP3642">
        <v>-13</v>
      </c>
      <c r="AQ3642">
        <v>-108</v>
      </c>
      <c r="AR3642">
        <v>-1600</v>
      </c>
      <c r="AZ3642">
        <v>4552</v>
      </c>
      <c r="BA3642">
        <v>1</v>
      </c>
      <c r="BB3642" t="str">
        <f t="shared" si="1582"/>
        <v xml:space="preserve">N607SR  </v>
      </c>
      <c r="BC3642">
        <v>1</v>
      </c>
      <c r="BE3642">
        <v>0</v>
      </c>
      <c r="BF3642">
        <v>0</v>
      </c>
      <c r="BG3642">
        <v>0</v>
      </c>
      <c r="BH3642">
        <v>1050</v>
      </c>
      <c r="BI3642">
        <v>1</v>
      </c>
      <c r="BJ3642">
        <v>1</v>
      </c>
      <c r="BK3642">
        <v>1</v>
      </c>
      <c r="BL3642">
        <v>0</v>
      </c>
      <c r="BO3642">
        <v>0</v>
      </c>
      <c r="BP3642">
        <v>0</v>
      </c>
      <c r="BW3642" t="str">
        <f>"06:22:28.084"</f>
        <v>06:22:28.084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7</v>
      </c>
      <c r="CP3642" t="s">
        <v>119</v>
      </c>
      <c r="CQ3642">
        <v>457</v>
      </c>
      <c r="CR3642">
        <v>0</v>
      </c>
      <c r="CW3642">
        <v>15527251</v>
      </c>
      <c r="CY3642">
        <v>1</v>
      </c>
      <c r="CZ3642">
        <v>0</v>
      </c>
      <c r="DA3642">
        <v>1</v>
      </c>
      <c r="DB3642">
        <v>0</v>
      </c>
      <c r="DC3642">
        <v>0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3">
      <c r="A3643" t="str">
        <f>"08/29/2020 06:22:25.824"</f>
        <v>08/29/2020 06:22:25.824</v>
      </c>
      <c r="C3643" t="str">
        <f t="shared" si="1579"/>
        <v>FFDFD3C0</v>
      </c>
      <c r="D3643" t="s">
        <v>121</v>
      </c>
      <c r="E3643">
        <v>11</v>
      </c>
      <c r="F3643">
        <v>1011</v>
      </c>
      <c r="G3643" t="s">
        <v>125</v>
      </c>
      <c r="J3643" t="s">
        <v>123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"06:22:29.023"</f>
        <v>06:22:29.023</v>
      </c>
      <c r="T3643" t="str">
        <f>"06:22:28.723"</f>
        <v>06:22:28.723</v>
      </c>
      <c r="U3643" t="str">
        <f t="shared" si="1581"/>
        <v>A7E2E0</v>
      </c>
      <c r="V3643">
        <v>0</v>
      </c>
      <c r="W3643">
        <v>0</v>
      </c>
      <c r="X3643">
        <v>1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0</v>
      </c>
      <c r="AI3643" t="s">
        <v>1659</v>
      </c>
      <c r="AJ3643">
        <v>38.80753</v>
      </c>
      <c r="AK3643" t="s">
        <v>1587</v>
      </c>
      <c r="AL3643">
        <v>-87.603950999999995</v>
      </c>
      <c r="AM3643">
        <v>100</v>
      </c>
      <c r="AN3643">
        <v>1300</v>
      </c>
      <c r="AO3643" t="s">
        <v>118</v>
      </c>
      <c r="AP3643">
        <v>-14</v>
      </c>
      <c r="AQ3643">
        <v>-108</v>
      </c>
      <c r="AR3643">
        <v>-1600</v>
      </c>
      <c r="AZ3643">
        <v>4552</v>
      </c>
      <c r="BA3643">
        <v>1</v>
      </c>
      <c r="BB3643" t="str">
        <f t="shared" si="1582"/>
        <v xml:space="preserve">N607SR  </v>
      </c>
      <c r="BC3643">
        <v>1</v>
      </c>
      <c r="BE3643">
        <v>0</v>
      </c>
      <c r="BF3643">
        <v>0</v>
      </c>
      <c r="BG3643">
        <v>0</v>
      </c>
      <c r="BH3643">
        <v>1025</v>
      </c>
      <c r="BI3643">
        <v>1</v>
      </c>
      <c r="BJ3643">
        <v>1</v>
      </c>
      <c r="BK3643">
        <v>1</v>
      </c>
      <c r="BL3643">
        <v>0</v>
      </c>
      <c r="BO3643">
        <v>0</v>
      </c>
      <c r="BP3643">
        <v>0</v>
      </c>
      <c r="BW3643" t="str">
        <f>"06:22:29.031"</f>
        <v>06:22:29.031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7</v>
      </c>
      <c r="CP3643" t="s">
        <v>119</v>
      </c>
      <c r="CQ3643">
        <v>457</v>
      </c>
      <c r="CR3643">
        <v>0</v>
      </c>
      <c r="CW3643">
        <v>15527278</v>
      </c>
      <c r="CY3643">
        <v>1</v>
      </c>
      <c r="CZ3643">
        <v>0</v>
      </c>
      <c r="DA3643">
        <v>0</v>
      </c>
      <c r="DB3643">
        <v>0</v>
      </c>
      <c r="DC3643">
        <v>0</v>
      </c>
      <c r="DD3643">
        <v>0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3">
      <c r="A3644" t="str">
        <f>"08/29/2020 06:22:25.824"</f>
        <v>08/29/2020 06:22:25.824</v>
      </c>
      <c r="C3644" t="str">
        <f t="shared" si="1579"/>
        <v>FFDFD3C0</v>
      </c>
      <c r="D3644" t="s">
        <v>121</v>
      </c>
      <c r="E3644">
        <v>13</v>
      </c>
      <c r="F3644">
        <v>1013</v>
      </c>
      <c r="G3644" t="s">
        <v>122</v>
      </c>
      <c r="J3644" t="s">
        <v>123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"06:22:29.023"</f>
        <v>06:22:29.023</v>
      </c>
      <c r="T3644" t="str">
        <f>"06:22:28.723"</f>
        <v>06:22:28.723</v>
      </c>
      <c r="U3644" t="str">
        <f t="shared" si="1581"/>
        <v>A7E2E0</v>
      </c>
      <c r="V3644">
        <v>0</v>
      </c>
      <c r="W3644">
        <v>0</v>
      </c>
      <c r="X3644">
        <v>1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0</v>
      </c>
      <c r="AI3644" t="s">
        <v>1659</v>
      </c>
      <c r="AJ3644">
        <v>38.80753</v>
      </c>
      <c r="AK3644" t="s">
        <v>1587</v>
      </c>
      <c r="AL3644">
        <v>-87.603950999999995</v>
      </c>
      <c r="AM3644">
        <v>100</v>
      </c>
      <c r="AN3644">
        <v>1300</v>
      </c>
      <c r="AO3644" t="s">
        <v>118</v>
      </c>
      <c r="AP3644">
        <v>-14</v>
      </c>
      <c r="AQ3644">
        <v>-108</v>
      </c>
      <c r="AR3644">
        <v>-1600</v>
      </c>
      <c r="AZ3644">
        <v>4552</v>
      </c>
      <c r="BA3644">
        <v>1</v>
      </c>
      <c r="BB3644" t="str">
        <f t="shared" si="1582"/>
        <v xml:space="preserve">N607SR  </v>
      </c>
      <c r="BC3644">
        <v>1</v>
      </c>
      <c r="BE3644">
        <v>0</v>
      </c>
      <c r="BF3644">
        <v>0</v>
      </c>
      <c r="BG3644">
        <v>0</v>
      </c>
      <c r="BH3644">
        <v>1025</v>
      </c>
      <c r="BI3644">
        <v>1</v>
      </c>
      <c r="BJ3644">
        <v>1</v>
      </c>
      <c r="BK3644">
        <v>1</v>
      </c>
      <c r="BL3644">
        <v>0</v>
      </c>
      <c r="BO3644">
        <v>0</v>
      </c>
      <c r="BP3644">
        <v>0</v>
      </c>
      <c r="BW3644" t="str">
        <f>"06:22:29.031"</f>
        <v>06:22:29.031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7</v>
      </c>
      <c r="CP3644" t="s">
        <v>119</v>
      </c>
      <c r="CQ3644">
        <v>457</v>
      </c>
      <c r="CR3644">
        <v>0</v>
      </c>
      <c r="CW3644">
        <v>15527278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0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3">
      <c r="A3645" t="str">
        <f>"08/29/2020 06:22:25.824"</f>
        <v>08/29/2020 06:22:25.824</v>
      </c>
      <c r="C3645" t="str">
        <f t="shared" si="1579"/>
        <v>FFDFD3C0</v>
      </c>
      <c r="D3645" t="s">
        <v>121</v>
      </c>
      <c r="E3645">
        <v>10</v>
      </c>
      <c r="F3645">
        <v>1010</v>
      </c>
      <c r="G3645" t="s">
        <v>114</v>
      </c>
      <c r="J3645" t="s">
        <v>123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"06:22:29.023"</f>
        <v>06:22:29.023</v>
      </c>
      <c r="T3645" t="str">
        <f>"06:22:28.723"</f>
        <v>06:22:28.723</v>
      </c>
      <c r="U3645" t="str">
        <f t="shared" si="1581"/>
        <v>A7E2E0</v>
      </c>
      <c r="V3645">
        <v>0</v>
      </c>
      <c r="W3645">
        <v>0</v>
      </c>
      <c r="X3645">
        <v>1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0</v>
      </c>
      <c r="AI3645" t="s">
        <v>1659</v>
      </c>
      <c r="AJ3645">
        <v>38.80753</v>
      </c>
      <c r="AK3645" t="s">
        <v>1587</v>
      </c>
      <c r="AL3645">
        <v>-87.603950999999995</v>
      </c>
      <c r="AM3645">
        <v>100</v>
      </c>
      <c r="AN3645">
        <v>1300</v>
      </c>
      <c r="AO3645" t="s">
        <v>118</v>
      </c>
      <c r="AP3645">
        <v>-14</v>
      </c>
      <c r="AQ3645">
        <v>-108</v>
      </c>
      <c r="AR3645">
        <v>-1600</v>
      </c>
      <c r="AZ3645">
        <v>4552</v>
      </c>
      <c r="BA3645">
        <v>1</v>
      </c>
      <c r="BB3645" t="str">
        <f t="shared" si="1582"/>
        <v xml:space="preserve">N607SR  </v>
      </c>
      <c r="BC3645">
        <v>1</v>
      </c>
      <c r="BE3645">
        <v>0</v>
      </c>
      <c r="BF3645">
        <v>0</v>
      </c>
      <c r="BG3645">
        <v>0</v>
      </c>
      <c r="BH3645">
        <v>1025</v>
      </c>
      <c r="BI3645">
        <v>1</v>
      </c>
      <c r="BJ3645">
        <v>1</v>
      </c>
      <c r="BK3645">
        <v>1</v>
      </c>
      <c r="BL3645">
        <v>0</v>
      </c>
      <c r="BO3645">
        <v>0</v>
      </c>
      <c r="BP3645">
        <v>0</v>
      </c>
      <c r="BW3645" t="str">
        <f>"06:22:29.031"</f>
        <v>06:22:29.031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7</v>
      </c>
      <c r="CP3645" t="s">
        <v>119</v>
      </c>
      <c r="CQ3645">
        <v>457</v>
      </c>
      <c r="CR3645">
        <v>0</v>
      </c>
      <c r="CW3645">
        <v>15527278</v>
      </c>
      <c r="CY3645">
        <v>1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3">
      <c r="A3646" t="str">
        <f>"08/29/2020 06:22:25.824"</f>
        <v>08/29/2020 06:22:25.824</v>
      </c>
      <c r="C3646" t="str">
        <f t="shared" si="1579"/>
        <v>FFDFD3C0</v>
      </c>
      <c r="D3646" t="s">
        <v>113</v>
      </c>
      <c r="E3646">
        <v>5</v>
      </c>
      <c r="H3646">
        <v>163</v>
      </c>
      <c r="I3646" t="s">
        <v>114</v>
      </c>
      <c r="J3646" t="s">
        <v>115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"06:22:29.023"</f>
        <v>06:22:29.023</v>
      </c>
      <c r="T3646" t="str">
        <f>"06:22:28.723"</f>
        <v>06:22:28.723</v>
      </c>
      <c r="U3646" t="str">
        <f t="shared" si="1581"/>
        <v>A7E2E0</v>
      </c>
      <c r="V3646">
        <v>0</v>
      </c>
      <c r="W3646">
        <v>0</v>
      </c>
      <c r="X3646">
        <v>1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0</v>
      </c>
      <c r="AI3646" t="s">
        <v>1659</v>
      </c>
      <c r="AJ3646">
        <v>38.80753</v>
      </c>
      <c r="AK3646" t="s">
        <v>1587</v>
      </c>
      <c r="AL3646">
        <v>-87.603950999999995</v>
      </c>
      <c r="AM3646">
        <v>100</v>
      </c>
      <c r="AN3646">
        <v>1300</v>
      </c>
      <c r="AO3646" t="s">
        <v>118</v>
      </c>
      <c r="AP3646">
        <v>-14</v>
      </c>
      <c r="AQ3646">
        <v>-108</v>
      </c>
      <c r="AR3646">
        <v>-1600</v>
      </c>
      <c r="AZ3646">
        <v>4552</v>
      </c>
      <c r="BA3646">
        <v>1</v>
      </c>
      <c r="BB3646" t="str">
        <f t="shared" si="1582"/>
        <v xml:space="preserve">N607SR  </v>
      </c>
      <c r="BC3646">
        <v>1</v>
      </c>
      <c r="BE3646">
        <v>0</v>
      </c>
      <c r="BF3646">
        <v>0</v>
      </c>
      <c r="BG3646">
        <v>0</v>
      </c>
      <c r="BH3646">
        <v>1025</v>
      </c>
      <c r="BI3646">
        <v>1</v>
      </c>
      <c r="BJ3646">
        <v>1</v>
      </c>
      <c r="BK3646">
        <v>1</v>
      </c>
      <c r="BL3646">
        <v>0</v>
      </c>
      <c r="BO3646">
        <v>0</v>
      </c>
      <c r="BP3646">
        <v>0</v>
      </c>
      <c r="BW3646" t="str">
        <f>"06:22:29.031"</f>
        <v>06:22:29.031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7</v>
      </c>
      <c r="CP3646" t="s">
        <v>119</v>
      </c>
      <c r="CQ3646">
        <v>457</v>
      </c>
      <c r="CR3646">
        <v>0</v>
      </c>
      <c r="CW3646">
        <v>15527278</v>
      </c>
      <c r="CY3646">
        <v>1</v>
      </c>
      <c r="CZ3646">
        <v>0</v>
      </c>
      <c r="DA3646">
        <v>1</v>
      </c>
      <c r="DB3646">
        <v>0</v>
      </c>
      <c r="DC3646">
        <v>0</v>
      </c>
      <c r="DD3646">
        <v>0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3">
      <c r="A3647" t="str">
        <f>"08/29/2020 06:22:25.824"</f>
        <v>08/29/2020 06:22:25.824</v>
      </c>
      <c r="C3647" t="str">
        <f t="shared" si="1579"/>
        <v>FFDFD3C0</v>
      </c>
      <c r="D3647" t="s">
        <v>128</v>
      </c>
      <c r="E3647">
        <v>5</v>
      </c>
      <c r="H3647">
        <v>241</v>
      </c>
      <c r="I3647" t="s">
        <v>129</v>
      </c>
      <c r="J3647" t="s">
        <v>130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"06:22:29.023"</f>
        <v>06:22:29.023</v>
      </c>
      <c r="T3647" t="str">
        <f>"06:22:28.723"</f>
        <v>06:22:28.723</v>
      </c>
      <c r="U3647" t="str">
        <f t="shared" si="1581"/>
        <v>A7E2E0</v>
      </c>
      <c r="V3647">
        <v>0</v>
      </c>
      <c r="W3647">
        <v>0</v>
      </c>
      <c r="X3647">
        <v>1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0</v>
      </c>
      <c r="AI3647" t="s">
        <v>1659</v>
      </c>
      <c r="AJ3647">
        <v>38.80753</v>
      </c>
      <c r="AK3647" t="s">
        <v>1587</v>
      </c>
      <c r="AL3647">
        <v>-87.603950999999995</v>
      </c>
      <c r="AM3647">
        <v>100</v>
      </c>
      <c r="AN3647">
        <v>1300</v>
      </c>
      <c r="AO3647" t="s">
        <v>118</v>
      </c>
      <c r="AP3647">
        <v>-14</v>
      </c>
      <c r="AQ3647">
        <v>-108</v>
      </c>
      <c r="AR3647">
        <v>-1600</v>
      </c>
      <c r="AZ3647">
        <v>4552</v>
      </c>
      <c r="BA3647">
        <v>1</v>
      </c>
      <c r="BB3647" t="str">
        <f t="shared" si="1582"/>
        <v xml:space="preserve">N607SR  </v>
      </c>
      <c r="BC3647">
        <v>1</v>
      </c>
      <c r="BE3647">
        <v>0</v>
      </c>
      <c r="BF3647">
        <v>0</v>
      </c>
      <c r="BG3647">
        <v>0</v>
      </c>
      <c r="BH3647">
        <v>1025</v>
      </c>
      <c r="BI3647">
        <v>1</v>
      </c>
      <c r="BJ3647">
        <v>1</v>
      </c>
      <c r="BK3647">
        <v>1</v>
      </c>
      <c r="BL3647">
        <v>0</v>
      </c>
      <c r="BO3647">
        <v>0</v>
      </c>
      <c r="BP3647">
        <v>0</v>
      </c>
      <c r="BW3647" t="str">
        <f>"06:22:29.031"</f>
        <v>06:22:29.031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7</v>
      </c>
      <c r="CP3647" t="s">
        <v>119</v>
      </c>
      <c r="CQ3647">
        <v>457</v>
      </c>
      <c r="CR3647">
        <v>0</v>
      </c>
      <c r="CW3647">
        <v>15527278</v>
      </c>
      <c r="CY3647">
        <v>1</v>
      </c>
      <c r="CZ3647">
        <v>0</v>
      </c>
      <c r="DA3647">
        <v>1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3">
      <c r="A3648" t="str">
        <f>"08/29/2020 06:22:26.906"</f>
        <v>08/29/2020 06:22:26.906</v>
      </c>
      <c r="C3648" t="str">
        <f t="shared" si="1579"/>
        <v>FFDFD3C0</v>
      </c>
      <c r="D3648" t="s">
        <v>121</v>
      </c>
      <c r="E3648">
        <v>10</v>
      </c>
      <c r="F3648">
        <v>1010</v>
      </c>
      <c r="G3648" t="s">
        <v>114</v>
      </c>
      <c r="J3648" t="s">
        <v>123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"06:22:30.125"</f>
        <v>06:22:30.125</v>
      </c>
      <c r="T3648" t="str">
        <f>"06:22:29.625"</f>
        <v>06:22:29.625</v>
      </c>
      <c r="U3648" t="str">
        <f t="shared" si="1581"/>
        <v>A7E2E0</v>
      </c>
      <c r="V3648">
        <v>0</v>
      </c>
      <c r="W3648">
        <v>0</v>
      </c>
      <c r="X3648">
        <v>1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3</v>
      </c>
      <c r="AG3648">
        <v>2</v>
      </c>
      <c r="AH3648">
        <v>0</v>
      </c>
      <c r="AI3648" t="s">
        <v>1660</v>
      </c>
      <c r="AJ3648">
        <v>38.806950999999998</v>
      </c>
      <c r="AK3648" t="s">
        <v>1585</v>
      </c>
      <c r="AL3648">
        <v>-87.604015000000004</v>
      </c>
      <c r="AM3648">
        <v>100</v>
      </c>
      <c r="AN3648">
        <v>1200</v>
      </c>
      <c r="AO3648" t="s">
        <v>118</v>
      </c>
      <c r="AP3648">
        <v>-14</v>
      </c>
      <c r="AQ3648">
        <v>-108</v>
      </c>
      <c r="AR3648">
        <v>-1600</v>
      </c>
      <c r="AZ3648">
        <v>4552</v>
      </c>
      <c r="BA3648">
        <v>1</v>
      </c>
      <c r="BB3648" t="str">
        <f t="shared" si="1582"/>
        <v xml:space="preserve">N607SR  </v>
      </c>
      <c r="BC3648">
        <v>1</v>
      </c>
      <c r="BE3648">
        <v>0</v>
      </c>
      <c r="BF3648">
        <v>0</v>
      </c>
      <c r="BG3648">
        <v>0</v>
      </c>
      <c r="BH3648">
        <v>1000</v>
      </c>
      <c r="BI3648">
        <v>1</v>
      </c>
      <c r="BJ3648">
        <v>1</v>
      </c>
      <c r="BK3648">
        <v>1</v>
      </c>
      <c r="BL3648">
        <v>0</v>
      </c>
      <c r="BO3648">
        <v>0</v>
      </c>
      <c r="BP3648">
        <v>0</v>
      </c>
      <c r="BW3648" t="str">
        <f>"06:22:30.127"</f>
        <v>06:22:30.127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7</v>
      </c>
      <c r="CP3648" t="s">
        <v>119</v>
      </c>
      <c r="CQ3648">
        <v>457</v>
      </c>
      <c r="CR3648">
        <v>0</v>
      </c>
      <c r="CW3648">
        <v>15527310</v>
      </c>
      <c r="CY3648">
        <v>1</v>
      </c>
      <c r="CZ3648">
        <v>0</v>
      </c>
      <c r="DA3648">
        <v>0</v>
      </c>
      <c r="DB3648">
        <v>0</v>
      </c>
      <c r="DC3648">
        <v>0</v>
      </c>
      <c r="DD3648">
        <v>0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3">
      <c r="A3649" t="str">
        <f>"08/29/2020 06:22:26.906"</f>
        <v>08/29/2020 06:22:26.906</v>
      </c>
      <c r="C3649" t="str">
        <f t="shared" si="1579"/>
        <v>FFDFD3C0</v>
      </c>
      <c r="D3649" t="s">
        <v>113</v>
      </c>
      <c r="E3649">
        <v>5</v>
      </c>
      <c r="H3649">
        <v>163</v>
      </c>
      <c r="I3649" t="s">
        <v>114</v>
      </c>
      <c r="J3649" t="s">
        <v>115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"06:22:30.125"</f>
        <v>06:22:30.125</v>
      </c>
      <c r="T3649" t="str">
        <f>"06:22:29.625"</f>
        <v>06:22:29.625</v>
      </c>
      <c r="U3649" t="str">
        <f t="shared" si="1581"/>
        <v>A7E2E0</v>
      </c>
      <c r="V3649">
        <v>0</v>
      </c>
      <c r="W3649">
        <v>0</v>
      </c>
      <c r="X3649">
        <v>1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0</v>
      </c>
      <c r="AI3649" t="s">
        <v>1660</v>
      </c>
      <c r="AJ3649">
        <v>38.806950999999998</v>
      </c>
      <c r="AK3649" t="s">
        <v>1585</v>
      </c>
      <c r="AL3649">
        <v>-87.604015000000004</v>
      </c>
      <c r="AM3649">
        <v>100</v>
      </c>
      <c r="AN3649">
        <v>1200</v>
      </c>
      <c r="AO3649" t="s">
        <v>118</v>
      </c>
      <c r="AP3649">
        <v>-14</v>
      </c>
      <c r="AQ3649">
        <v>-108</v>
      </c>
      <c r="AR3649">
        <v>-1600</v>
      </c>
      <c r="AZ3649">
        <v>4552</v>
      </c>
      <c r="BA3649">
        <v>1</v>
      </c>
      <c r="BB3649" t="str">
        <f t="shared" si="1582"/>
        <v xml:space="preserve">N607SR  </v>
      </c>
      <c r="BC3649">
        <v>1</v>
      </c>
      <c r="BE3649">
        <v>0</v>
      </c>
      <c r="BF3649">
        <v>0</v>
      </c>
      <c r="BG3649">
        <v>0</v>
      </c>
      <c r="BH3649">
        <v>1000</v>
      </c>
      <c r="BI3649">
        <v>1</v>
      </c>
      <c r="BJ3649">
        <v>1</v>
      </c>
      <c r="BK3649">
        <v>1</v>
      </c>
      <c r="BL3649">
        <v>0</v>
      </c>
      <c r="BO3649">
        <v>0</v>
      </c>
      <c r="BP3649">
        <v>0</v>
      </c>
      <c r="BW3649" t="str">
        <f>"06:22:30.127"</f>
        <v>06:22:30.127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7</v>
      </c>
      <c r="CP3649" t="s">
        <v>119</v>
      </c>
      <c r="CQ3649">
        <v>457</v>
      </c>
      <c r="CR3649">
        <v>0</v>
      </c>
      <c r="CW3649">
        <v>15527310</v>
      </c>
      <c r="CY3649">
        <v>1</v>
      </c>
      <c r="CZ3649">
        <v>0</v>
      </c>
      <c r="DA3649">
        <v>1</v>
      </c>
      <c r="DB3649">
        <v>0</v>
      </c>
      <c r="DC3649">
        <v>0</v>
      </c>
      <c r="DD3649">
        <v>0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3">
      <c r="A3650" t="str">
        <f>"08/29/2020 06:22:26.906"</f>
        <v>08/29/2020 06:22:26.906</v>
      </c>
      <c r="C3650" t="str">
        <f t="shared" ref="C3650:C3713" si="1603">"FFDFD3C0"</f>
        <v>FFDFD3C0</v>
      </c>
      <c r="D3650" t="s">
        <v>128</v>
      </c>
      <c r="E3650">
        <v>5</v>
      </c>
      <c r="H3650">
        <v>241</v>
      </c>
      <c r="I3650" t="s">
        <v>129</v>
      </c>
      <c r="J3650" t="s">
        <v>130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"06:22:30.125"</f>
        <v>06:22:30.125</v>
      </c>
      <c r="T3650" t="str">
        <f>"06:22:29.625"</f>
        <v>06:22:29.625</v>
      </c>
      <c r="U3650" t="str">
        <f t="shared" ref="U3650:U3713" si="1604">"A7E2E0"</f>
        <v>A7E2E0</v>
      </c>
      <c r="V3650">
        <v>0</v>
      </c>
      <c r="W3650">
        <v>0</v>
      </c>
      <c r="X3650">
        <v>1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0</v>
      </c>
      <c r="AI3650" t="s">
        <v>1660</v>
      </c>
      <c r="AJ3650">
        <v>38.806950999999998</v>
      </c>
      <c r="AK3650" t="s">
        <v>1585</v>
      </c>
      <c r="AL3650">
        <v>-87.604015000000004</v>
      </c>
      <c r="AM3650">
        <v>100</v>
      </c>
      <c r="AN3650">
        <v>1200</v>
      </c>
      <c r="AO3650" t="s">
        <v>118</v>
      </c>
      <c r="AP3650">
        <v>-14</v>
      </c>
      <c r="AQ3650">
        <v>-108</v>
      </c>
      <c r="AR3650">
        <v>-1600</v>
      </c>
      <c r="AZ3650">
        <v>4552</v>
      </c>
      <c r="BA3650">
        <v>1</v>
      </c>
      <c r="BB3650" t="str">
        <f t="shared" ref="BB3650:BB3713" si="1605">"N607SR  "</f>
        <v xml:space="preserve">N607SR  </v>
      </c>
      <c r="BC3650">
        <v>1</v>
      </c>
      <c r="BE3650">
        <v>0</v>
      </c>
      <c r="BF3650">
        <v>0</v>
      </c>
      <c r="BG3650">
        <v>0</v>
      </c>
      <c r="BH3650">
        <v>1000</v>
      </c>
      <c r="BI3650">
        <v>1</v>
      </c>
      <c r="BJ3650">
        <v>1</v>
      </c>
      <c r="BK3650">
        <v>1</v>
      </c>
      <c r="BL3650">
        <v>0</v>
      </c>
      <c r="BO3650">
        <v>0</v>
      </c>
      <c r="BP3650">
        <v>0</v>
      </c>
      <c r="BW3650" t="str">
        <f>"06:22:30.127"</f>
        <v>06:22:30.127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7</v>
      </c>
      <c r="CP3650" t="s">
        <v>119</v>
      </c>
      <c r="CQ3650">
        <v>457</v>
      </c>
      <c r="CR3650">
        <v>0</v>
      </c>
      <c r="CW3650">
        <v>15527310</v>
      </c>
      <c r="CY3650">
        <v>1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3">
      <c r="A3651" t="str">
        <f>"08/29/2020 06:22:26.906"</f>
        <v>08/29/2020 06:22:26.906</v>
      </c>
      <c r="C3651" t="str">
        <f t="shared" si="1603"/>
        <v>FFDFD3C0</v>
      </c>
      <c r="D3651" t="s">
        <v>121</v>
      </c>
      <c r="E3651">
        <v>11</v>
      </c>
      <c r="F3651">
        <v>1011</v>
      </c>
      <c r="G3651" t="s">
        <v>125</v>
      </c>
      <c r="J3651" t="s">
        <v>123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"06:22:30.125"</f>
        <v>06:22:30.125</v>
      </c>
      <c r="T3651" t="str">
        <f>"06:22:29.625"</f>
        <v>06:22:29.625</v>
      </c>
      <c r="U3651" t="str">
        <f t="shared" si="1604"/>
        <v>A7E2E0</v>
      </c>
      <c r="V3651">
        <v>0</v>
      </c>
      <c r="W3651">
        <v>0</v>
      </c>
      <c r="X3651">
        <v>1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0</v>
      </c>
      <c r="AI3651" t="s">
        <v>1660</v>
      </c>
      <c r="AJ3651">
        <v>38.806950999999998</v>
      </c>
      <c r="AK3651" t="s">
        <v>1585</v>
      </c>
      <c r="AL3651">
        <v>-87.604015000000004</v>
      </c>
      <c r="AM3651">
        <v>100</v>
      </c>
      <c r="AN3651">
        <v>1200</v>
      </c>
      <c r="AO3651" t="s">
        <v>118</v>
      </c>
      <c r="AP3651">
        <v>-14</v>
      </c>
      <c r="AQ3651">
        <v>-108</v>
      </c>
      <c r="AR3651">
        <v>-1600</v>
      </c>
      <c r="AZ3651">
        <v>4552</v>
      </c>
      <c r="BA3651">
        <v>1</v>
      </c>
      <c r="BB3651" t="str">
        <f t="shared" si="1605"/>
        <v xml:space="preserve">N607SR  </v>
      </c>
      <c r="BC3651">
        <v>1</v>
      </c>
      <c r="BE3651">
        <v>0</v>
      </c>
      <c r="BF3651">
        <v>0</v>
      </c>
      <c r="BG3651">
        <v>0</v>
      </c>
      <c r="BH3651">
        <v>1000</v>
      </c>
      <c r="BI3651">
        <v>1</v>
      </c>
      <c r="BJ3651">
        <v>1</v>
      </c>
      <c r="BK3651">
        <v>1</v>
      </c>
      <c r="BL3651">
        <v>0</v>
      </c>
      <c r="BO3651">
        <v>0</v>
      </c>
      <c r="BP3651">
        <v>0</v>
      </c>
      <c r="BW3651" t="str">
        <f>"06:22:30.127"</f>
        <v>06:22:30.127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7</v>
      </c>
      <c r="CP3651" t="s">
        <v>119</v>
      </c>
      <c r="CQ3651">
        <v>457</v>
      </c>
      <c r="CR3651">
        <v>0</v>
      </c>
      <c r="CW3651">
        <v>15527310</v>
      </c>
      <c r="CY3651">
        <v>1</v>
      </c>
      <c r="CZ3651">
        <v>0</v>
      </c>
      <c r="DA3651">
        <v>1</v>
      </c>
      <c r="DB3651">
        <v>0</v>
      </c>
      <c r="DC3651">
        <v>0</v>
      </c>
      <c r="DD3651">
        <v>0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3">
      <c r="A3652" t="str">
        <f>"08/29/2020 06:22:26.906"</f>
        <v>08/29/2020 06:22:26.906</v>
      </c>
      <c r="C3652" t="str">
        <f t="shared" si="1603"/>
        <v>FFDFD3C0</v>
      </c>
      <c r="D3652" t="s">
        <v>121</v>
      </c>
      <c r="E3652">
        <v>13</v>
      </c>
      <c r="F3652">
        <v>1013</v>
      </c>
      <c r="G3652" t="s">
        <v>122</v>
      </c>
      <c r="J3652" t="s">
        <v>123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"06:22:30.125"</f>
        <v>06:22:30.125</v>
      </c>
      <c r="T3652" t="str">
        <f>"06:22:29.625"</f>
        <v>06:22:29.625</v>
      </c>
      <c r="U3652" t="str">
        <f t="shared" si="1604"/>
        <v>A7E2E0</v>
      </c>
      <c r="V3652">
        <v>0</v>
      </c>
      <c r="W3652">
        <v>0</v>
      </c>
      <c r="X3652">
        <v>1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0</v>
      </c>
      <c r="AI3652" t="s">
        <v>1660</v>
      </c>
      <c r="AJ3652">
        <v>38.806950999999998</v>
      </c>
      <c r="AK3652" t="s">
        <v>1585</v>
      </c>
      <c r="AL3652">
        <v>-87.604015000000004</v>
      </c>
      <c r="AM3652">
        <v>100</v>
      </c>
      <c r="AN3652">
        <v>1200</v>
      </c>
      <c r="AO3652" t="s">
        <v>118</v>
      </c>
      <c r="AP3652">
        <v>-14</v>
      </c>
      <c r="AQ3652">
        <v>-108</v>
      </c>
      <c r="AR3652">
        <v>-1600</v>
      </c>
      <c r="AZ3652">
        <v>4552</v>
      </c>
      <c r="BA3652">
        <v>1</v>
      </c>
      <c r="BB3652" t="str">
        <f t="shared" si="1605"/>
        <v xml:space="preserve">N607SR  </v>
      </c>
      <c r="BC3652">
        <v>1</v>
      </c>
      <c r="BE3652">
        <v>0</v>
      </c>
      <c r="BF3652">
        <v>0</v>
      </c>
      <c r="BG3652">
        <v>0</v>
      </c>
      <c r="BH3652">
        <v>1000</v>
      </c>
      <c r="BI3652">
        <v>1</v>
      </c>
      <c r="BJ3652">
        <v>1</v>
      </c>
      <c r="BK3652">
        <v>1</v>
      </c>
      <c r="BL3652">
        <v>0</v>
      </c>
      <c r="BO3652">
        <v>0</v>
      </c>
      <c r="BP3652">
        <v>0</v>
      </c>
      <c r="BW3652" t="str">
        <f>"06:22:30.127"</f>
        <v>06:22:30.127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7</v>
      </c>
      <c r="CP3652" t="s">
        <v>119</v>
      </c>
      <c r="CQ3652">
        <v>457</v>
      </c>
      <c r="CR3652">
        <v>0</v>
      </c>
      <c r="CW3652">
        <v>15527310</v>
      </c>
      <c r="CY3652">
        <v>1</v>
      </c>
      <c r="CZ3652">
        <v>0</v>
      </c>
      <c r="DA3652">
        <v>1</v>
      </c>
      <c r="DB3652">
        <v>0</v>
      </c>
      <c r="DC3652">
        <v>0</v>
      </c>
      <c r="DD3652">
        <v>0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3">
      <c r="A3653" t="str">
        <f>"08/29/2020 06:22:28.018"</f>
        <v>08/29/2020 06:22:28.018</v>
      </c>
      <c r="C3653" t="str">
        <f t="shared" si="1603"/>
        <v>FFDFD3C0</v>
      </c>
      <c r="D3653" t="s">
        <v>121</v>
      </c>
      <c r="E3653">
        <v>10</v>
      </c>
      <c r="F3653">
        <v>1010</v>
      </c>
      <c r="G3653" t="s">
        <v>114</v>
      </c>
      <c r="J3653" t="s">
        <v>123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"06:22:31.234"</f>
        <v>06:22:31.234</v>
      </c>
      <c r="T3653" t="str">
        <f>"06:22:30.734"</f>
        <v>06:22:30.734</v>
      </c>
      <c r="U3653" t="str">
        <f t="shared" si="1604"/>
        <v>A7E2E0</v>
      </c>
      <c r="V3653">
        <v>0</v>
      </c>
      <c r="W3653">
        <v>0</v>
      </c>
      <c r="X3653">
        <v>1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3</v>
      </c>
      <c r="AG3653">
        <v>2</v>
      </c>
      <c r="AH3653">
        <v>0</v>
      </c>
      <c r="AI3653" t="s">
        <v>1661</v>
      </c>
      <c r="AJ3653">
        <v>38.806415000000001</v>
      </c>
      <c r="AK3653" t="s">
        <v>1581</v>
      </c>
      <c r="AL3653">
        <v>-87.604122000000004</v>
      </c>
      <c r="AM3653">
        <v>100</v>
      </c>
      <c r="AN3653">
        <v>1200</v>
      </c>
      <c r="AO3653" t="s">
        <v>118</v>
      </c>
      <c r="AP3653">
        <v>-14</v>
      </c>
      <c r="AQ3653">
        <v>-109</v>
      </c>
      <c r="AR3653">
        <v>-1600</v>
      </c>
      <c r="AZ3653">
        <v>4552</v>
      </c>
      <c r="BA3653">
        <v>1</v>
      </c>
      <c r="BB3653" t="str">
        <f t="shared" si="1605"/>
        <v xml:space="preserve">N607SR  </v>
      </c>
      <c r="BC3653">
        <v>1</v>
      </c>
      <c r="BE3653">
        <v>0</v>
      </c>
      <c r="BF3653">
        <v>0</v>
      </c>
      <c r="BG3653">
        <v>0</v>
      </c>
      <c r="BH3653">
        <v>975</v>
      </c>
      <c r="BI3653">
        <v>1</v>
      </c>
      <c r="BJ3653">
        <v>1</v>
      </c>
      <c r="BK3653">
        <v>1</v>
      </c>
      <c r="BL3653">
        <v>0</v>
      </c>
      <c r="BO3653">
        <v>0</v>
      </c>
      <c r="BP3653">
        <v>0</v>
      </c>
      <c r="BW3653" t="str">
        <f>"06:22:31.239"</f>
        <v>06:22:31.239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7</v>
      </c>
      <c r="CP3653" t="s">
        <v>119</v>
      </c>
      <c r="CQ3653">
        <v>457</v>
      </c>
      <c r="CR3653">
        <v>0</v>
      </c>
      <c r="CW3653">
        <v>15527344</v>
      </c>
      <c r="CY3653">
        <v>1</v>
      </c>
      <c r="CZ3653">
        <v>0</v>
      </c>
      <c r="DA3653">
        <v>0</v>
      </c>
      <c r="DB3653">
        <v>0</v>
      </c>
      <c r="DC3653">
        <v>0</v>
      </c>
      <c r="DD3653">
        <v>0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3">
      <c r="A3654" t="str">
        <f>"08/29/2020 06:22:28.018"</f>
        <v>08/29/2020 06:22:28.018</v>
      </c>
      <c r="C3654" t="str">
        <f t="shared" si="1603"/>
        <v>FFDFD3C0</v>
      </c>
      <c r="D3654" t="s">
        <v>113</v>
      </c>
      <c r="E3654">
        <v>5</v>
      </c>
      <c r="H3654">
        <v>163</v>
      </c>
      <c r="I3654" t="s">
        <v>114</v>
      </c>
      <c r="J3654" t="s">
        <v>115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"06:22:31.234"</f>
        <v>06:22:31.234</v>
      </c>
      <c r="T3654" t="str">
        <f>"06:22:30.734"</f>
        <v>06:22:30.734</v>
      </c>
      <c r="U3654" t="str">
        <f t="shared" si="1604"/>
        <v>A7E2E0</v>
      </c>
      <c r="V3654">
        <v>0</v>
      </c>
      <c r="W3654">
        <v>0</v>
      </c>
      <c r="X3654">
        <v>1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0</v>
      </c>
      <c r="AI3654" t="s">
        <v>1661</v>
      </c>
      <c r="AJ3654">
        <v>38.806415000000001</v>
      </c>
      <c r="AK3654" t="s">
        <v>1581</v>
      </c>
      <c r="AL3654">
        <v>-87.604122000000004</v>
      </c>
      <c r="AM3654">
        <v>100</v>
      </c>
      <c r="AN3654">
        <v>1200</v>
      </c>
      <c r="AO3654" t="s">
        <v>118</v>
      </c>
      <c r="AP3654">
        <v>-14</v>
      </c>
      <c r="AQ3654">
        <v>-109</v>
      </c>
      <c r="AR3654">
        <v>-1600</v>
      </c>
      <c r="AZ3654">
        <v>4552</v>
      </c>
      <c r="BA3654">
        <v>1</v>
      </c>
      <c r="BB3654" t="str">
        <f t="shared" si="1605"/>
        <v xml:space="preserve">N607SR  </v>
      </c>
      <c r="BC3654">
        <v>1</v>
      </c>
      <c r="BE3654">
        <v>0</v>
      </c>
      <c r="BF3654">
        <v>0</v>
      </c>
      <c r="BG3654">
        <v>0</v>
      </c>
      <c r="BH3654">
        <v>975</v>
      </c>
      <c r="BI3654">
        <v>1</v>
      </c>
      <c r="BJ3654">
        <v>1</v>
      </c>
      <c r="BK3654">
        <v>1</v>
      </c>
      <c r="BL3654">
        <v>0</v>
      </c>
      <c r="BO3654">
        <v>0</v>
      </c>
      <c r="BP3654">
        <v>0</v>
      </c>
      <c r="BW3654" t="str">
        <f>"06:22:31.239"</f>
        <v>06:22:31.239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7</v>
      </c>
      <c r="CP3654" t="s">
        <v>119</v>
      </c>
      <c r="CQ3654">
        <v>457</v>
      </c>
      <c r="CR3654">
        <v>0</v>
      </c>
      <c r="CW3654">
        <v>15527344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0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3">
      <c r="A3655" t="str">
        <f>"08/29/2020 06:22:28.018"</f>
        <v>08/29/2020 06:22:28.018</v>
      </c>
      <c r="C3655" t="str">
        <f t="shared" si="1603"/>
        <v>FFDFD3C0</v>
      </c>
      <c r="D3655" t="s">
        <v>128</v>
      </c>
      <c r="E3655">
        <v>5</v>
      </c>
      <c r="H3655">
        <v>241</v>
      </c>
      <c r="I3655" t="s">
        <v>129</v>
      </c>
      <c r="J3655" t="s">
        <v>130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"06:22:31.234"</f>
        <v>06:22:31.234</v>
      </c>
      <c r="T3655" t="str">
        <f>"06:22:30.734"</f>
        <v>06:22:30.734</v>
      </c>
      <c r="U3655" t="str">
        <f t="shared" si="1604"/>
        <v>A7E2E0</v>
      </c>
      <c r="V3655">
        <v>0</v>
      </c>
      <c r="W3655">
        <v>0</v>
      </c>
      <c r="X3655">
        <v>1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0</v>
      </c>
      <c r="AI3655" t="s">
        <v>1661</v>
      </c>
      <c r="AJ3655">
        <v>38.806415000000001</v>
      </c>
      <c r="AK3655" t="s">
        <v>1581</v>
      </c>
      <c r="AL3655">
        <v>-87.604122000000004</v>
      </c>
      <c r="AM3655">
        <v>100</v>
      </c>
      <c r="AN3655">
        <v>1200</v>
      </c>
      <c r="AO3655" t="s">
        <v>118</v>
      </c>
      <c r="AP3655">
        <v>-14</v>
      </c>
      <c r="AQ3655">
        <v>-109</v>
      </c>
      <c r="AR3655">
        <v>-1600</v>
      </c>
      <c r="AZ3655">
        <v>4552</v>
      </c>
      <c r="BA3655">
        <v>1</v>
      </c>
      <c r="BB3655" t="str">
        <f t="shared" si="1605"/>
        <v xml:space="preserve">N607SR  </v>
      </c>
      <c r="BC3655">
        <v>1</v>
      </c>
      <c r="BE3655">
        <v>0</v>
      </c>
      <c r="BF3655">
        <v>0</v>
      </c>
      <c r="BG3655">
        <v>0</v>
      </c>
      <c r="BH3655">
        <v>975</v>
      </c>
      <c r="BI3655">
        <v>1</v>
      </c>
      <c r="BJ3655">
        <v>1</v>
      </c>
      <c r="BK3655">
        <v>1</v>
      </c>
      <c r="BL3655">
        <v>0</v>
      </c>
      <c r="BO3655">
        <v>0</v>
      </c>
      <c r="BP3655">
        <v>0</v>
      </c>
      <c r="BW3655" t="str">
        <f>"06:22:31.239"</f>
        <v>06:22:31.239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7</v>
      </c>
      <c r="CP3655" t="s">
        <v>119</v>
      </c>
      <c r="CQ3655">
        <v>457</v>
      </c>
      <c r="CR3655">
        <v>0</v>
      </c>
      <c r="CW3655">
        <v>15527344</v>
      </c>
      <c r="CY3655">
        <v>1</v>
      </c>
      <c r="CZ3655">
        <v>0</v>
      </c>
      <c r="DA3655">
        <v>1</v>
      </c>
      <c r="DB3655">
        <v>0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3">
      <c r="A3656" t="str">
        <f>"08/29/2020 06:22:28.018"</f>
        <v>08/29/2020 06:22:28.018</v>
      </c>
      <c r="C3656" t="str">
        <f t="shared" si="1603"/>
        <v>FFDFD3C0</v>
      </c>
      <c r="D3656" t="s">
        <v>121</v>
      </c>
      <c r="E3656">
        <v>11</v>
      </c>
      <c r="F3656">
        <v>1011</v>
      </c>
      <c r="G3656" t="s">
        <v>125</v>
      </c>
      <c r="J3656" t="s">
        <v>123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"06:22:31.234"</f>
        <v>06:22:31.234</v>
      </c>
      <c r="T3656" t="str">
        <f>"06:22:30.734"</f>
        <v>06:22:30.734</v>
      </c>
      <c r="U3656" t="str">
        <f t="shared" si="1604"/>
        <v>A7E2E0</v>
      </c>
      <c r="V3656">
        <v>0</v>
      </c>
      <c r="W3656">
        <v>0</v>
      </c>
      <c r="X3656">
        <v>1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0</v>
      </c>
      <c r="AI3656" t="s">
        <v>1661</v>
      </c>
      <c r="AJ3656">
        <v>38.806415000000001</v>
      </c>
      <c r="AK3656" t="s">
        <v>1581</v>
      </c>
      <c r="AL3656">
        <v>-87.604122000000004</v>
      </c>
      <c r="AM3656">
        <v>100</v>
      </c>
      <c r="AN3656">
        <v>1200</v>
      </c>
      <c r="AO3656" t="s">
        <v>118</v>
      </c>
      <c r="AP3656">
        <v>-14</v>
      </c>
      <c r="AQ3656">
        <v>-109</v>
      </c>
      <c r="AR3656">
        <v>-1600</v>
      </c>
      <c r="AZ3656">
        <v>4552</v>
      </c>
      <c r="BA3656">
        <v>1</v>
      </c>
      <c r="BB3656" t="str">
        <f t="shared" si="1605"/>
        <v xml:space="preserve">N607SR  </v>
      </c>
      <c r="BC3656">
        <v>1</v>
      </c>
      <c r="BE3656">
        <v>0</v>
      </c>
      <c r="BF3656">
        <v>0</v>
      </c>
      <c r="BG3656">
        <v>0</v>
      </c>
      <c r="BH3656">
        <v>975</v>
      </c>
      <c r="BI3656">
        <v>1</v>
      </c>
      <c r="BJ3656">
        <v>1</v>
      </c>
      <c r="BK3656">
        <v>1</v>
      </c>
      <c r="BL3656">
        <v>0</v>
      </c>
      <c r="BO3656">
        <v>0</v>
      </c>
      <c r="BP3656">
        <v>0</v>
      </c>
      <c r="BW3656" t="str">
        <f>"06:22:31.239"</f>
        <v>06:22:31.239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7</v>
      </c>
      <c r="CP3656" t="s">
        <v>119</v>
      </c>
      <c r="CQ3656">
        <v>457</v>
      </c>
      <c r="CR3656">
        <v>0</v>
      </c>
      <c r="CW3656">
        <v>15527344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0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3">
      <c r="A3657" t="str">
        <f>"08/29/2020 06:22:28.018"</f>
        <v>08/29/2020 06:22:28.018</v>
      </c>
      <c r="C3657" t="str">
        <f t="shared" si="1603"/>
        <v>FFDFD3C0</v>
      </c>
      <c r="D3657" t="s">
        <v>121</v>
      </c>
      <c r="E3657">
        <v>13</v>
      </c>
      <c r="F3657">
        <v>1013</v>
      </c>
      <c r="G3657" t="s">
        <v>122</v>
      </c>
      <c r="J3657" t="s">
        <v>123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"06:22:31.234"</f>
        <v>06:22:31.234</v>
      </c>
      <c r="T3657" t="str">
        <f>"06:22:30.734"</f>
        <v>06:22:30.734</v>
      </c>
      <c r="U3657" t="str">
        <f t="shared" si="1604"/>
        <v>A7E2E0</v>
      </c>
      <c r="V3657">
        <v>0</v>
      </c>
      <c r="W3657">
        <v>0</v>
      </c>
      <c r="X3657">
        <v>1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0</v>
      </c>
      <c r="AI3657" t="s">
        <v>1661</v>
      </c>
      <c r="AJ3657">
        <v>38.806415000000001</v>
      </c>
      <c r="AK3657" t="s">
        <v>1581</v>
      </c>
      <c r="AL3657">
        <v>-87.604122000000004</v>
      </c>
      <c r="AM3657">
        <v>100</v>
      </c>
      <c r="AN3657">
        <v>1200</v>
      </c>
      <c r="AO3657" t="s">
        <v>118</v>
      </c>
      <c r="AP3657">
        <v>-14</v>
      </c>
      <c r="AQ3657">
        <v>-109</v>
      </c>
      <c r="AR3657">
        <v>-1600</v>
      </c>
      <c r="AZ3657">
        <v>4552</v>
      </c>
      <c r="BA3657">
        <v>1</v>
      </c>
      <c r="BB3657" t="str">
        <f t="shared" si="1605"/>
        <v xml:space="preserve">N607SR  </v>
      </c>
      <c r="BC3657">
        <v>1</v>
      </c>
      <c r="BE3657">
        <v>0</v>
      </c>
      <c r="BF3657">
        <v>0</v>
      </c>
      <c r="BG3657">
        <v>0</v>
      </c>
      <c r="BH3657">
        <v>975</v>
      </c>
      <c r="BI3657">
        <v>1</v>
      </c>
      <c r="BJ3657">
        <v>1</v>
      </c>
      <c r="BK3657">
        <v>1</v>
      </c>
      <c r="BL3657">
        <v>0</v>
      </c>
      <c r="BO3657">
        <v>0</v>
      </c>
      <c r="BP3657">
        <v>0</v>
      </c>
      <c r="BW3657" t="str">
        <f>"06:22:31.239"</f>
        <v>06:22:31.239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7</v>
      </c>
      <c r="CP3657" t="s">
        <v>119</v>
      </c>
      <c r="CQ3657">
        <v>457</v>
      </c>
      <c r="CR3657">
        <v>0</v>
      </c>
      <c r="CW3657">
        <v>15527344</v>
      </c>
      <c r="CY3657">
        <v>1</v>
      </c>
      <c r="CZ3657">
        <v>0</v>
      </c>
      <c r="DA3657">
        <v>1</v>
      </c>
      <c r="DB3657">
        <v>0</v>
      </c>
      <c r="DC3657">
        <v>0</v>
      </c>
      <c r="DD3657">
        <v>0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3">
      <c r="A3658" t="str">
        <f t="shared" ref="A3658:A3663" si="1606">"08/29/2020 06:22:29.171"</f>
        <v>08/29/2020 06:22:29.171</v>
      </c>
      <c r="C3658" t="str">
        <f t="shared" si="1603"/>
        <v>FFDFD3C0</v>
      </c>
      <c r="D3658" t="s">
        <v>121</v>
      </c>
      <c r="E3658">
        <v>11</v>
      </c>
      <c r="F3658">
        <v>1011</v>
      </c>
      <c r="G3658" t="s">
        <v>125</v>
      </c>
      <c r="J3658" t="s">
        <v>123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ref="S3658:S3663" si="1607">"06:22:32.383"</f>
        <v>06:22:32.383</v>
      </c>
      <c r="T3658" t="str">
        <f>"06:22:31.883"</f>
        <v>06:22:31.883</v>
      </c>
      <c r="U3658" t="str">
        <f t="shared" si="1604"/>
        <v>A7E2E0</v>
      </c>
      <c r="V3658">
        <v>0</v>
      </c>
      <c r="W3658">
        <v>0</v>
      </c>
      <c r="X3658">
        <v>1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3</v>
      </c>
      <c r="AG3658">
        <v>2</v>
      </c>
      <c r="AH3658">
        <v>0</v>
      </c>
      <c r="AI3658" t="s">
        <v>1662</v>
      </c>
      <c r="AJ3658">
        <v>38.805857000000003</v>
      </c>
      <c r="AK3658" t="s">
        <v>1579</v>
      </c>
      <c r="AL3658">
        <v>-87.604208</v>
      </c>
      <c r="AM3658">
        <v>100</v>
      </c>
      <c r="AN3658">
        <v>1200</v>
      </c>
      <c r="AO3658" t="s">
        <v>118</v>
      </c>
      <c r="AP3658">
        <v>-14</v>
      </c>
      <c r="AQ3658">
        <v>-109</v>
      </c>
      <c r="AR3658">
        <v>-1536</v>
      </c>
      <c r="AZ3658">
        <v>4552</v>
      </c>
      <c r="BA3658">
        <v>1</v>
      </c>
      <c r="BB3658" t="str">
        <f t="shared" si="1605"/>
        <v xml:space="preserve">N607SR  </v>
      </c>
      <c r="BC3658">
        <v>1</v>
      </c>
      <c r="BE3658">
        <v>0</v>
      </c>
      <c r="BF3658">
        <v>0</v>
      </c>
      <c r="BG3658">
        <v>0</v>
      </c>
      <c r="BH3658">
        <v>925</v>
      </c>
      <c r="BI3658">
        <v>1</v>
      </c>
      <c r="BJ3658">
        <v>1</v>
      </c>
      <c r="BK3658">
        <v>1</v>
      </c>
      <c r="BL3658">
        <v>0</v>
      </c>
      <c r="BO3658">
        <v>0</v>
      </c>
      <c r="BP3658">
        <v>0</v>
      </c>
      <c r="BW3658" t="str">
        <f t="shared" ref="BW3658:BW3663" si="1608">"06:22:32.390"</f>
        <v>06:22:32.390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6</v>
      </c>
      <c r="CP3658" t="s">
        <v>119</v>
      </c>
      <c r="CQ3658">
        <v>457</v>
      </c>
      <c r="CR3658">
        <v>0</v>
      </c>
      <c r="CW3658">
        <v>15527374</v>
      </c>
      <c r="CY3658">
        <v>1</v>
      </c>
      <c r="CZ3658">
        <v>0</v>
      </c>
      <c r="DA3658">
        <v>0</v>
      </c>
      <c r="DB3658">
        <v>0</v>
      </c>
      <c r="DC3658">
        <v>0</v>
      </c>
      <c r="DD3658">
        <v>0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3">
      <c r="A3659" t="str">
        <f t="shared" si="1606"/>
        <v>08/29/2020 06:22:29.171</v>
      </c>
      <c r="C3659" t="str">
        <f t="shared" si="1603"/>
        <v>FFDFD3C0</v>
      </c>
      <c r="D3659" t="s">
        <v>939</v>
      </c>
      <c r="E3659">
        <v>10</v>
      </c>
      <c r="H3659">
        <v>79</v>
      </c>
      <c r="I3659" t="s">
        <v>940</v>
      </c>
      <c r="J3659" t="s">
        <v>130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1607"/>
        <v>06:22:32.383</v>
      </c>
      <c r="U3659" t="str">
        <f t="shared" si="1604"/>
        <v>A7E2E0</v>
      </c>
      <c r="V3659">
        <v>0</v>
      </c>
      <c r="W3659">
        <v>0</v>
      </c>
      <c r="X3659">
        <v>1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0</v>
      </c>
      <c r="AI3659" t="s">
        <v>1662</v>
      </c>
      <c r="AJ3659">
        <v>38.805857000000003</v>
      </c>
      <c r="AK3659" t="s">
        <v>1579</v>
      </c>
      <c r="AL3659">
        <v>-87.604208</v>
      </c>
      <c r="AM3659">
        <v>100</v>
      </c>
      <c r="AN3659">
        <v>1200</v>
      </c>
      <c r="AO3659" t="s">
        <v>118</v>
      </c>
      <c r="AR3659">
        <v>-1600</v>
      </c>
      <c r="AZ3659">
        <v>4552</v>
      </c>
      <c r="BA3659">
        <v>1</v>
      </c>
      <c r="BB3659" t="str">
        <f t="shared" si="1605"/>
        <v xml:space="preserve">N607SR  </v>
      </c>
      <c r="BC3659">
        <v>1</v>
      </c>
      <c r="BE3659">
        <v>0</v>
      </c>
      <c r="BF3659">
        <v>0</v>
      </c>
      <c r="BG3659">
        <v>0</v>
      </c>
      <c r="BH3659">
        <v>950</v>
      </c>
      <c r="BI3659">
        <v>1</v>
      </c>
      <c r="BJ3659">
        <v>1</v>
      </c>
      <c r="BK3659">
        <v>1</v>
      </c>
      <c r="BL3659">
        <v>0</v>
      </c>
      <c r="BO3659">
        <v>0</v>
      </c>
      <c r="BP3659">
        <v>0</v>
      </c>
      <c r="BW3659" t="str">
        <f t="shared" si="1608"/>
        <v>06:22:32.390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2</v>
      </c>
      <c r="CP3659" t="s">
        <v>119</v>
      </c>
      <c r="CQ3659">
        <v>465</v>
      </c>
      <c r="CR3659">
        <v>0</v>
      </c>
      <c r="CW3659">
        <v>4732084</v>
      </c>
      <c r="CY3659">
        <v>1</v>
      </c>
      <c r="CZ3659">
        <v>0</v>
      </c>
      <c r="DA3659">
        <v>1</v>
      </c>
      <c r="DB3659">
        <v>0</v>
      </c>
      <c r="DC3659">
        <v>0</v>
      </c>
      <c r="DD3659">
        <v>0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3">
      <c r="A3660" t="str">
        <f t="shared" si="1606"/>
        <v>08/29/2020 06:22:29.171</v>
      </c>
      <c r="C3660" t="str">
        <f t="shared" si="1603"/>
        <v>FFDFD3C0</v>
      </c>
      <c r="D3660" t="s">
        <v>121</v>
      </c>
      <c r="E3660">
        <v>13</v>
      </c>
      <c r="F3660">
        <v>1013</v>
      </c>
      <c r="G3660" t="s">
        <v>122</v>
      </c>
      <c r="J3660" t="s">
        <v>123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si="1607"/>
        <v>06:22:32.383</v>
      </c>
      <c r="T3660" t="str">
        <f>"06:22:31.883"</f>
        <v>06:22:31.883</v>
      </c>
      <c r="U3660" t="str">
        <f t="shared" si="1604"/>
        <v>A7E2E0</v>
      </c>
      <c r="V3660">
        <v>0</v>
      </c>
      <c r="W3660">
        <v>0</v>
      </c>
      <c r="X3660">
        <v>1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0</v>
      </c>
      <c r="AI3660" t="s">
        <v>1662</v>
      </c>
      <c r="AJ3660">
        <v>38.805857000000003</v>
      </c>
      <c r="AK3660" t="s">
        <v>1579</v>
      </c>
      <c r="AL3660">
        <v>-87.604208</v>
      </c>
      <c r="AM3660">
        <v>100</v>
      </c>
      <c r="AN3660">
        <v>1200</v>
      </c>
      <c r="AO3660" t="s">
        <v>118</v>
      </c>
      <c r="AP3660">
        <v>-14</v>
      </c>
      <c r="AQ3660">
        <v>-109</v>
      </c>
      <c r="AR3660">
        <v>-1536</v>
      </c>
      <c r="AZ3660">
        <v>4552</v>
      </c>
      <c r="BA3660">
        <v>1</v>
      </c>
      <c r="BB3660" t="str">
        <f t="shared" si="1605"/>
        <v xml:space="preserve">N607SR  </v>
      </c>
      <c r="BC3660">
        <v>1</v>
      </c>
      <c r="BE3660">
        <v>0</v>
      </c>
      <c r="BF3660">
        <v>0</v>
      </c>
      <c r="BG3660">
        <v>0</v>
      </c>
      <c r="BH3660">
        <v>925</v>
      </c>
      <c r="BI3660">
        <v>1</v>
      </c>
      <c r="BJ3660">
        <v>1</v>
      </c>
      <c r="BK3660">
        <v>1</v>
      </c>
      <c r="BL3660">
        <v>0</v>
      </c>
      <c r="BO3660">
        <v>0</v>
      </c>
      <c r="BP3660">
        <v>0</v>
      </c>
      <c r="BW3660" t="str">
        <f t="shared" si="1608"/>
        <v>06:22:32.390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6</v>
      </c>
      <c r="CP3660" t="s">
        <v>119</v>
      </c>
      <c r="CQ3660">
        <v>457</v>
      </c>
      <c r="CR3660">
        <v>0</v>
      </c>
      <c r="CW3660">
        <v>15527374</v>
      </c>
      <c r="CY3660">
        <v>1</v>
      </c>
      <c r="CZ3660">
        <v>0</v>
      </c>
      <c r="DA3660">
        <v>1</v>
      </c>
      <c r="DB3660">
        <v>0</v>
      </c>
      <c r="DC3660">
        <v>0</v>
      </c>
      <c r="DD3660">
        <v>0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3">
      <c r="A3661" t="str">
        <f t="shared" si="1606"/>
        <v>08/29/2020 06:22:29.171</v>
      </c>
      <c r="C3661" t="str">
        <f t="shared" si="1603"/>
        <v>FFDFD3C0</v>
      </c>
      <c r="D3661" t="s">
        <v>121</v>
      </c>
      <c r="E3661">
        <v>10</v>
      </c>
      <c r="F3661">
        <v>1010</v>
      </c>
      <c r="G3661" t="s">
        <v>114</v>
      </c>
      <c r="J3661" t="s">
        <v>123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1607"/>
        <v>06:22:32.383</v>
      </c>
      <c r="T3661" t="str">
        <f>"06:22:31.883"</f>
        <v>06:22:31.883</v>
      </c>
      <c r="U3661" t="str">
        <f t="shared" si="1604"/>
        <v>A7E2E0</v>
      </c>
      <c r="V3661">
        <v>0</v>
      </c>
      <c r="W3661">
        <v>0</v>
      </c>
      <c r="X3661">
        <v>1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0</v>
      </c>
      <c r="AI3661" t="s">
        <v>1662</v>
      </c>
      <c r="AJ3661">
        <v>38.805857000000003</v>
      </c>
      <c r="AK3661" t="s">
        <v>1579</v>
      </c>
      <c r="AL3661">
        <v>-87.604208</v>
      </c>
      <c r="AM3661">
        <v>100</v>
      </c>
      <c r="AN3661">
        <v>1200</v>
      </c>
      <c r="AO3661" t="s">
        <v>118</v>
      </c>
      <c r="AP3661">
        <v>-14</v>
      </c>
      <c r="AQ3661">
        <v>-109</v>
      </c>
      <c r="AR3661">
        <v>-1536</v>
      </c>
      <c r="AZ3661">
        <v>4552</v>
      </c>
      <c r="BA3661">
        <v>1</v>
      </c>
      <c r="BB3661" t="str">
        <f t="shared" si="1605"/>
        <v xml:space="preserve">N607SR  </v>
      </c>
      <c r="BC3661">
        <v>1</v>
      </c>
      <c r="BE3661">
        <v>0</v>
      </c>
      <c r="BF3661">
        <v>0</v>
      </c>
      <c r="BG3661">
        <v>0</v>
      </c>
      <c r="BH3661">
        <v>925</v>
      </c>
      <c r="BI3661">
        <v>1</v>
      </c>
      <c r="BJ3661">
        <v>1</v>
      </c>
      <c r="BK3661">
        <v>1</v>
      </c>
      <c r="BL3661">
        <v>0</v>
      </c>
      <c r="BO3661">
        <v>0</v>
      </c>
      <c r="BP3661">
        <v>0</v>
      </c>
      <c r="BW3661" t="str">
        <f t="shared" si="1608"/>
        <v>06:22:32.390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6</v>
      </c>
      <c r="CP3661" t="s">
        <v>119</v>
      </c>
      <c r="CQ3661">
        <v>457</v>
      </c>
      <c r="CR3661">
        <v>0</v>
      </c>
      <c r="CW3661">
        <v>15527374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0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3">
      <c r="A3662" t="str">
        <f t="shared" si="1606"/>
        <v>08/29/2020 06:22:29.171</v>
      </c>
      <c r="C3662" t="str">
        <f t="shared" si="1603"/>
        <v>FFDFD3C0</v>
      </c>
      <c r="D3662" t="s">
        <v>113</v>
      </c>
      <c r="E3662">
        <v>5</v>
      </c>
      <c r="H3662">
        <v>163</v>
      </c>
      <c r="I3662" t="s">
        <v>114</v>
      </c>
      <c r="J3662" t="s">
        <v>115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si="1607"/>
        <v>06:22:32.383</v>
      </c>
      <c r="T3662" t="str">
        <f>"06:22:31.883"</f>
        <v>06:22:31.883</v>
      </c>
      <c r="U3662" t="str">
        <f t="shared" si="1604"/>
        <v>A7E2E0</v>
      </c>
      <c r="V3662">
        <v>0</v>
      </c>
      <c r="W3662">
        <v>0</v>
      </c>
      <c r="X3662">
        <v>1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0</v>
      </c>
      <c r="AI3662" t="s">
        <v>1662</v>
      </c>
      <c r="AJ3662">
        <v>38.805857000000003</v>
      </c>
      <c r="AK3662" t="s">
        <v>1579</v>
      </c>
      <c r="AL3662">
        <v>-87.604208</v>
      </c>
      <c r="AM3662">
        <v>100</v>
      </c>
      <c r="AN3662">
        <v>1200</v>
      </c>
      <c r="AO3662" t="s">
        <v>118</v>
      </c>
      <c r="AP3662">
        <v>-14</v>
      </c>
      <c r="AQ3662">
        <v>-109</v>
      </c>
      <c r="AR3662">
        <v>-1536</v>
      </c>
      <c r="AZ3662">
        <v>4552</v>
      </c>
      <c r="BA3662">
        <v>1</v>
      </c>
      <c r="BB3662" t="str">
        <f t="shared" si="1605"/>
        <v xml:space="preserve">N607SR  </v>
      </c>
      <c r="BC3662">
        <v>1</v>
      </c>
      <c r="BE3662">
        <v>0</v>
      </c>
      <c r="BF3662">
        <v>0</v>
      </c>
      <c r="BG3662">
        <v>0</v>
      </c>
      <c r="BH3662">
        <v>925</v>
      </c>
      <c r="BI3662">
        <v>1</v>
      </c>
      <c r="BJ3662">
        <v>1</v>
      </c>
      <c r="BK3662">
        <v>1</v>
      </c>
      <c r="BL3662">
        <v>0</v>
      </c>
      <c r="BO3662">
        <v>0</v>
      </c>
      <c r="BP3662">
        <v>0</v>
      </c>
      <c r="BW3662" t="str">
        <f t="shared" si="1608"/>
        <v>06:22:32.390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6</v>
      </c>
      <c r="CP3662" t="s">
        <v>119</v>
      </c>
      <c r="CQ3662">
        <v>457</v>
      </c>
      <c r="CR3662">
        <v>0</v>
      </c>
      <c r="CW3662">
        <v>15527374</v>
      </c>
      <c r="CY3662">
        <v>1</v>
      </c>
      <c r="CZ3662">
        <v>0</v>
      </c>
      <c r="DA3662">
        <v>1</v>
      </c>
      <c r="DB3662">
        <v>0</v>
      </c>
      <c r="DC3662">
        <v>0</v>
      </c>
      <c r="DD3662">
        <v>0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3">
      <c r="A3663" t="str">
        <f t="shared" si="1606"/>
        <v>08/29/2020 06:22:29.171</v>
      </c>
      <c r="C3663" t="str">
        <f t="shared" si="1603"/>
        <v>FFDFD3C0</v>
      </c>
      <c r="D3663" t="s">
        <v>128</v>
      </c>
      <c r="E3663">
        <v>5</v>
      </c>
      <c r="H3663">
        <v>241</v>
      </c>
      <c r="I3663" t="s">
        <v>129</v>
      </c>
      <c r="J3663" t="s">
        <v>130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1607"/>
        <v>06:22:32.383</v>
      </c>
      <c r="T3663" t="str">
        <f>"06:22:31.883"</f>
        <v>06:22:31.883</v>
      </c>
      <c r="U3663" t="str">
        <f t="shared" si="1604"/>
        <v>A7E2E0</v>
      </c>
      <c r="V3663">
        <v>0</v>
      </c>
      <c r="W3663">
        <v>0</v>
      </c>
      <c r="X3663">
        <v>1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0</v>
      </c>
      <c r="AI3663" t="s">
        <v>1662</v>
      </c>
      <c r="AJ3663">
        <v>38.805857000000003</v>
      </c>
      <c r="AK3663" t="s">
        <v>1579</v>
      </c>
      <c r="AL3663">
        <v>-87.604208</v>
      </c>
      <c r="AM3663">
        <v>100</v>
      </c>
      <c r="AN3663">
        <v>1200</v>
      </c>
      <c r="AO3663" t="s">
        <v>118</v>
      </c>
      <c r="AP3663">
        <v>-14</v>
      </c>
      <c r="AQ3663">
        <v>-109</v>
      </c>
      <c r="AR3663">
        <v>-1536</v>
      </c>
      <c r="AZ3663">
        <v>4552</v>
      </c>
      <c r="BA3663">
        <v>1</v>
      </c>
      <c r="BB3663" t="str">
        <f t="shared" si="1605"/>
        <v xml:space="preserve">N607SR  </v>
      </c>
      <c r="BC3663">
        <v>1</v>
      </c>
      <c r="BE3663">
        <v>0</v>
      </c>
      <c r="BF3663">
        <v>0</v>
      </c>
      <c r="BG3663">
        <v>0</v>
      </c>
      <c r="BH3663">
        <v>925</v>
      </c>
      <c r="BI3663">
        <v>1</v>
      </c>
      <c r="BJ3663">
        <v>1</v>
      </c>
      <c r="BK3663">
        <v>1</v>
      </c>
      <c r="BL3663">
        <v>0</v>
      </c>
      <c r="BO3663">
        <v>0</v>
      </c>
      <c r="BP3663">
        <v>0</v>
      </c>
      <c r="BW3663" t="str">
        <f t="shared" si="1608"/>
        <v>06:22:32.390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6</v>
      </c>
      <c r="CP3663" t="s">
        <v>119</v>
      </c>
      <c r="CQ3663">
        <v>457</v>
      </c>
      <c r="CR3663">
        <v>0</v>
      </c>
      <c r="CW3663">
        <v>15527374</v>
      </c>
      <c r="CY3663">
        <v>1</v>
      </c>
      <c r="CZ3663">
        <v>0</v>
      </c>
      <c r="DA3663">
        <v>1</v>
      </c>
      <c r="DB3663">
        <v>0</v>
      </c>
      <c r="DC3663">
        <v>0</v>
      </c>
      <c r="DD3663">
        <v>0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3">
      <c r="A3664" t="str">
        <f>"08/29/2020 06:22:30.192"</f>
        <v>08/29/2020 06:22:30.192</v>
      </c>
      <c r="C3664" t="str">
        <f t="shared" si="1603"/>
        <v>FFDFD3C0</v>
      </c>
      <c r="D3664" t="s">
        <v>121</v>
      </c>
      <c r="E3664">
        <v>10</v>
      </c>
      <c r="F3664">
        <v>1010</v>
      </c>
      <c r="G3664" t="s">
        <v>114</v>
      </c>
      <c r="J3664" t="s">
        <v>123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"06:22:33.398"</f>
        <v>06:22:33.398</v>
      </c>
      <c r="U3664" t="str">
        <f t="shared" si="1604"/>
        <v>A7E2E0</v>
      </c>
      <c r="V3664">
        <v>0</v>
      </c>
      <c r="W3664">
        <v>0</v>
      </c>
      <c r="X3664">
        <v>1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3</v>
      </c>
      <c r="AG3664">
        <v>2</v>
      </c>
      <c r="AH3664">
        <v>0</v>
      </c>
      <c r="AI3664" t="s">
        <v>1663</v>
      </c>
      <c r="AJ3664">
        <v>38.805363</v>
      </c>
      <c r="AK3664" t="s">
        <v>1664</v>
      </c>
      <c r="AL3664">
        <v>-87.604315</v>
      </c>
      <c r="AM3664">
        <v>100</v>
      </c>
      <c r="AN3664">
        <v>1100</v>
      </c>
      <c r="AO3664" t="s">
        <v>118</v>
      </c>
      <c r="AP3664">
        <v>-15</v>
      </c>
      <c r="AQ3664">
        <v>-110</v>
      </c>
      <c r="AR3664">
        <v>-1472</v>
      </c>
      <c r="AZ3664">
        <v>4552</v>
      </c>
      <c r="BA3664">
        <v>1</v>
      </c>
      <c r="BB3664" t="str">
        <f t="shared" si="1605"/>
        <v xml:space="preserve">N607SR  </v>
      </c>
      <c r="BC3664">
        <v>1</v>
      </c>
      <c r="BE3664">
        <v>0</v>
      </c>
      <c r="BF3664">
        <v>0</v>
      </c>
      <c r="BG3664">
        <v>0</v>
      </c>
      <c r="BH3664">
        <v>900</v>
      </c>
      <c r="BI3664">
        <v>1</v>
      </c>
      <c r="BJ3664">
        <v>1</v>
      </c>
      <c r="BK3664">
        <v>1</v>
      </c>
      <c r="BL3664">
        <v>0</v>
      </c>
      <c r="BO3664">
        <v>0</v>
      </c>
      <c r="BP3664">
        <v>0</v>
      </c>
      <c r="BW3664" t="str">
        <f>"06:22:33.405"</f>
        <v>06:22:33.405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6</v>
      </c>
      <c r="CP3664" t="s">
        <v>119</v>
      </c>
      <c r="CQ3664">
        <v>457</v>
      </c>
      <c r="CR3664">
        <v>0</v>
      </c>
      <c r="CW3664">
        <v>15527404</v>
      </c>
      <c r="CY3664">
        <v>1</v>
      </c>
      <c r="CZ3664">
        <v>0</v>
      </c>
      <c r="DA3664">
        <v>0</v>
      </c>
      <c r="DB3664">
        <v>0</v>
      </c>
      <c r="DC3664">
        <v>0</v>
      </c>
      <c r="DD3664">
        <v>0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3">
      <c r="A3665" t="str">
        <f>"08/29/2020 06:22:30.192"</f>
        <v>08/29/2020 06:22:30.192</v>
      </c>
      <c r="C3665" t="str">
        <f t="shared" si="1603"/>
        <v>FFDFD3C0</v>
      </c>
      <c r="D3665" t="s">
        <v>121</v>
      </c>
      <c r="E3665">
        <v>13</v>
      </c>
      <c r="F3665">
        <v>1013</v>
      </c>
      <c r="G3665" t="s">
        <v>122</v>
      </c>
      <c r="J3665" t="s">
        <v>123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"06:22:33.398"</f>
        <v>06:22:33.398</v>
      </c>
      <c r="U3665" t="str">
        <f t="shared" si="1604"/>
        <v>A7E2E0</v>
      </c>
      <c r="V3665">
        <v>0</v>
      </c>
      <c r="W3665">
        <v>0</v>
      </c>
      <c r="X3665">
        <v>1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0</v>
      </c>
      <c r="AI3665" t="s">
        <v>1663</v>
      </c>
      <c r="AJ3665">
        <v>38.805363</v>
      </c>
      <c r="AK3665" t="s">
        <v>1664</v>
      </c>
      <c r="AL3665">
        <v>-87.604315</v>
      </c>
      <c r="AM3665">
        <v>100</v>
      </c>
      <c r="AN3665">
        <v>1100</v>
      </c>
      <c r="AO3665" t="s">
        <v>118</v>
      </c>
      <c r="AP3665">
        <v>-15</v>
      </c>
      <c r="AQ3665">
        <v>-110</v>
      </c>
      <c r="AR3665">
        <v>-1472</v>
      </c>
      <c r="AZ3665">
        <v>4552</v>
      </c>
      <c r="BA3665">
        <v>1</v>
      </c>
      <c r="BB3665" t="str">
        <f t="shared" si="1605"/>
        <v xml:space="preserve">N607SR  </v>
      </c>
      <c r="BC3665">
        <v>1</v>
      </c>
      <c r="BE3665">
        <v>0</v>
      </c>
      <c r="BF3665">
        <v>0</v>
      </c>
      <c r="BG3665">
        <v>0</v>
      </c>
      <c r="BH3665">
        <v>900</v>
      </c>
      <c r="BI3665">
        <v>1</v>
      </c>
      <c r="BJ3665">
        <v>1</v>
      </c>
      <c r="BK3665">
        <v>1</v>
      </c>
      <c r="BL3665">
        <v>0</v>
      </c>
      <c r="BO3665">
        <v>0</v>
      </c>
      <c r="BP3665">
        <v>0</v>
      </c>
      <c r="BW3665" t="str">
        <f>"06:22:33.405"</f>
        <v>06:22:33.405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6</v>
      </c>
      <c r="CP3665" t="s">
        <v>119</v>
      </c>
      <c r="CQ3665">
        <v>457</v>
      </c>
      <c r="CR3665">
        <v>0</v>
      </c>
      <c r="CW3665">
        <v>15527404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0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3">
      <c r="A3666" t="str">
        <f>"08/29/2020 06:22:30.192"</f>
        <v>08/29/2020 06:22:30.192</v>
      </c>
      <c r="C3666" t="str">
        <f t="shared" si="1603"/>
        <v>FFDFD3C0</v>
      </c>
      <c r="D3666" t="s">
        <v>113</v>
      </c>
      <c r="E3666">
        <v>5</v>
      </c>
      <c r="H3666">
        <v>163</v>
      </c>
      <c r="I3666" t="s">
        <v>114</v>
      </c>
      <c r="J3666" t="s">
        <v>115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"06:22:33.398"</f>
        <v>06:22:33.398</v>
      </c>
      <c r="U3666" t="str">
        <f t="shared" si="1604"/>
        <v>A7E2E0</v>
      </c>
      <c r="V3666">
        <v>0</v>
      </c>
      <c r="W3666">
        <v>0</v>
      </c>
      <c r="X3666">
        <v>1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0</v>
      </c>
      <c r="AI3666" t="s">
        <v>1663</v>
      </c>
      <c r="AJ3666">
        <v>38.805363</v>
      </c>
      <c r="AK3666" t="s">
        <v>1664</v>
      </c>
      <c r="AL3666">
        <v>-87.604315</v>
      </c>
      <c r="AM3666">
        <v>100</v>
      </c>
      <c r="AN3666">
        <v>1100</v>
      </c>
      <c r="AO3666" t="s">
        <v>118</v>
      </c>
      <c r="AP3666">
        <v>-15</v>
      </c>
      <c r="AQ3666">
        <v>-110</v>
      </c>
      <c r="AR3666">
        <v>-1472</v>
      </c>
      <c r="AZ3666">
        <v>4552</v>
      </c>
      <c r="BA3666">
        <v>1</v>
      </c>
      <c r="BB3666" t="str">
        <f t="shared" si="1605"/>
        <v xml:space="preserve">N607SR  </v>
      </c>
      <c r="BC3666">
        <v>1</v>
      </c>
      <c r="BE3666">
        <v>0</v>
      </c>
      <c r="BF3666">
        <v>0</v>
      </c>
      <c r="BG3666">
        <v>0</v>
      </c>
      <c r="BH3666">
        <v>900</v>
      </c>
      <c r="BI3666">
        <v>1</v>
      </c>
      <c r="BJ3666">
        <v>1</v>
      </c>
      <c r="BK3666">
        <v>1</v>
      </c>
      <c r="BL3666">
        <v>0</v>
      </c>
      <c r="BO3666">
        <v>0</v>
      </c>
      <c r="BP3666">
        <v>0</v>
      </c>
      <c r="BW3666" t="str">
        <f>"06:22:33.405"</f>
        <v>06:22:33.405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6</v>
      </c>
      <c r="CP3666" t="s">
        <v>119</v>
      </c>
      <c r="CQ3666">
        <v>457</v>
      </c>
      <c r="CR3666">
        <v>0</v>
      </c>
      <c r="CW3666">
        <v>15527404</v>
      </c>
      <c r="CY3666">
        <v>1</v>
      </c>
      <c r="CZ3666">
        <v>0</v>
      </c>
      <c r="DA3666">
        <v>1</v>
      </c>
      <c r="DB3666">
        <v>0</v>
      </c>
      <c r="DC3666">
        <v>0</v>
      </c>
      <c r="DD3666">
        <v>0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3">
      <c r="A3667" t="str">
        <f>"08/29/2020 06:22:30.192"</f>
        <v>08/29/2020 06:22:30.192</v>
      </c>
      <c r="C3667" t="str">
        <f t="shared" si="1603"/>
        <v>FFDFD3C0</v>
      </c>
      <c r="D3667" t="s">
        <v>128</v>
      </c>
      <c r="E3667">
        <v>5</v>
      </c>
      <c r="H3667">
        <v>241</v>
      </c>
      <c r="I3667" t="s">
        <v>129</v>
      </c>
      <c r="J3667" t="s">
        <v>130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"06:22:33.398"</f>
        <v>06:22:33.398</v>
      </c>
      <c r="U3667" t="str">
        <f t="shared" si="1604"/>
        <v>A7E2E0</v>
      </c>
      <c r="V3667">
        <v>0</v>
      </c>
      <c r="W3667">
        <v>0</v>
      </c>
      <c r="X3667">
        <v>1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0</v>
      </c>
      <c r="AI3667" t="s">
        <v>1663</v>
      </c>
      <c r="AJ3667">
        <v>38.805363</v>
      </c>
      <c r="AK3667" t="s">
        <v>1664</v>
      </c>
      <c r="AL3667">
        <v>-87.604315</v>
      </c>
      <c r="AM3667">
        <v>100</v>
      </c>
      <c r="AN3667">
        <v>1100</v>
      </c>
      <c r="AO3667" t="s">
        <v>118</v>
      </c>
      <c r="AP3667">
        <v>-15</v>
      </c>
      <c r="AQ3667">
        <v>-110</v>
      </c>
      <c r="AR3667">
        <v>-1472</v>
      </c>
      <c r="AZ3667">
        <v>4552</v>
      </c>
      <c r="BA3667">
        <v>1</v>
      </c>
      <c r="BB3667" t="str">
        <f t="shared" si="1605"/>
        <v xml:space="preserve">N607SR  </v>
      </c>
      <c r="BC3667">
        <v>1</v>
      </c>
      <c r="BE3667">
        <v>0</v>
      </c>
      <c r="BF3667">
        <v>0</v>
      </c>
      <c r="BG3667">
        <v>0</v>
      </c>
      <c r="BH3667">
        <v>900</v>
      </c>
      <c r="BI3667">
        <v>1</v>
      </c>
      <c r="BJ3667">
        <v>1</v>
      </c>
      <c r="BK3667">
        <v>1</v>
      </c>
      <c r="BL3667">
        <v>0</v>
      </c>
      <c r="BO3667">
        <v>0</v>
      </c>
      <c r="BP3667">
        <v>0</v>
      </c>
      <c r="BW3667" t="str">
        <f>"06:22:33.405"</f>
        <v>06:22:33.405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6</v>
      </c>
      <c r="CP3667" t="s">
        <v>119</v>
      </c>
      <c r="CQ3667">
        <v>457</v>
      </c>
      <c r="CR3667">
        <v>0</v>
      </c>
      <c r="CW3667">
        <v>15527404</v>
      </c>
      <c r="CY3667">
        <v>1</v>
      </c>
      <c r="CZ3667">
        <v>0</v>
      </c>
      <c r="DA3667">
        <v>1</v>
      </c>
      <c r="DB3667">
        <v>0</v>
      </c>
      <c r="DC3667">
        <v>0</v>
      </c>
      <c r="DD3667">
        <v>0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3">
      <c r="A3668" t="str">
        <f>"08/29/2020 06:22:30.192"</f>
        <v>08/29/2020 06:22:30.192</v>
      </c>
      <c r="C3668" t="str">
        <f t="shared" si="1603"/>
        <v>FFDFD3C0</v>
      </c>
      <c r="D3668" t="s">
        <v>121</v>
      </c>
      <c r="E3668">
        <v>11</v>
      </c>
      <c r="F3668">
        <v>1011</v>
      </c>
      <c r="G3668" t="s">
        <v>125</v>
      </c>
      <c r="J3668" t="s">
        <v>123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"06:22:33.398"</f>
        <v>06:22:33.398</v>
      </c>
      <c r="U3668" t="str">
        <f t="shared" si="1604"/>
        <v>A7E2E0</v>
      </c>
      <c r="V3668">
        <v>0</v>
      </c>
      <c r="W3668">
        <v>0</v>
      </c>
      <c r="X3668">
        <v>1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0</v>
      </c>
      <c r="AI3668" t="s">
        <v>1663</v>
      </c>
      <c r="AJ3668">
        <v>38.805363</v>
      </c>
      <c r="AK3668" t="s">
        <v>1664</v>
      </c>
      <c r="AL3668">
        <v>-87.604315</v>
      </c>
      <c r="AM3668">
        <v>100</v>
      </c>
      <c r="AN3668">
        <v>1100</v>
      </c>
      <c r="AO3668" t="s">
        <v>118</v>
      </c>
      <c r="AP3668">
        <v>-15</v>
      </c>
      <c r="AQ3668">
        <v>-110</v>
      </c>
      <c r="AR3668">
        <v>-1472</v>
      </c>
      <c r="AZ3668">
        <v>4552</v>
      </c>
      <c r="BA3668">
        <v>1</v>
      </c>
      <c r="BB3668" t="str">
        <f t="shared" si="1605"/>
        <v xml:space="preserve">N607SR  </v>
      </c>
      <c r="BC3668">
        <v>1</v>
      </c>
      <c r="BE3668">
        <v>0</v>
      </c>
      <c r="BF3668">
        <v>0</v>
      </c>
      <c r="BG3668">
        <v>0</v>
      </c>
      <c r="BH3668">
        <v>900</v>
      </c>
      <c r="BI3668">
        <v>1</v>
      </c>
      <c r="BJ3668">
        <v>1</v>
      </c>
      <c r="BK3668">
        <v>1</v>
      </c>
      <c r="BL3668">
        <v>0</v>
      </c>
      <c r="BO3668">
        <v>0</v>
      </c>
      <c r="BP3668">
        <v>0</v>
      </c>
      <c r="BW3668" t="str">
        <f>"06:22:33.405"</f>
        <v>06:22:33.405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6</v>
      </c>
      <c r="CP3668" t="s">
        <v>119</v>
      </c>
      <c r="CQ3668">
        <v>457</v>
      </c>
      <c r="CR3668">
        <v>0</v>
      </c>
      <c r="CW3668">
        <v>15527404</v>
      </c>
      <c r="CY3668">
        <v>1</v>
      </c>
      <c r="CZ3668">
        <v>0</v>
      </c>
      <c r="DA3668">
        <v>1</v>
      </c>
      <c r="DB3668">
        <v>0</v>
      </c>
      <c r="DC3668">
        <v>0</v>
      </c>
      <c r="DD3668">
        <v>0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3">
      <c r="A3669" t="str">
        <f>"08/29/2020 06:22:31.229"</f>
        <v>08/29/2020 06:22:31.229</v>
      </c>
      <c r="C3669" t="str">
        <f t="shared" si="1603"/>
        <v>FFDFD3C0</v>
      </c>
      <c r="D3669" t="s">
        <v>128</v>
      </c>
      <c r="E3669">
        <v>5</v>
      </c>
      <c r="H3669">
        <v>241</v>
      </c>
      <c r="I3669" t="s">
        <v>129</v>
      </c>
      <c r="J3669" t="s">
        <v>130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"06:22:34.469"</f>
        <v>06:22:34.469</v>
      </c>
      <c r="T3669" t="str">
        <f>"06:22:33.969"</f>
        <v>06:22:33.969</v>
      </c>
      <c r="U3669" t="str">
        <f t="shared" si="1604"/>
        <v>A7E2E0</v>
      </c>
      <c r="V3669">
        <v>0</v>
      </c>
      <c r="W3669">
        <v>0</v>
      </c>
      <c r="X3669">
        <v>1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0</v>
      </c>
      <c r="AI3669" t="s">
        <v>1665</v>
      </c>
      <c r="AJ3669">
        <v>38.804783999999998</v>
      </c>
      <c r="AK3669" t="s">
        <v>1666</v>
      </c>
      <c r="AL3669">
        <v>-87.604422999999997</v>
      </c>
      <c r="AM3669">
        <v>100</v>
      </c>
      <c r="AN3669">
        <v>1100</v>
      </c>
      <c r="AO3669" t="s">
        <v>118</v>
      </c>
      <c r="AP3669">
        <v>-15</v>
      </c>
      <c r="AQ3669">
        <v>-110</v>
      </c>
      <c r="AR3669">
        <v>-1408</v>
      </c>
      <c r="AZ3669">
        <v>4552</v>
      </c>
      <c r="BA3669">
        <v>1</v>
      </c>
      <c r="BB3669" t="str">
        <f t="shared" si="1605"/>
        <v xml:space="preserve">N607SR  </v>
      </c>
      <c r="BC3669">
        <v>1</v>
      </c>
      <c r="BE3669">
        <v>0</v>
      </c>
      <c r="BF3669">
        <v>0</v>
      </c>
      <c r="BG3669">
        <v>0</v>
      </c>
      <c r="BH3669">
        <v>875</v>
      </c>
      <c r="BI3669">
        <v>1</v>
      </c>
      <c r="BJ3669">
        <v>1</v>
      </c>
      <c r="BK3669">
        <v>1</v>
      </c>
      <c r="BL3669">
        <v>0</v>
      </c>
      <c r="BO3669">
        <v>0</v>
      </c>
      <c r="BP3669">
        <v>0</v>
      </c>
      <c r="BW3669" t="str">
        <f>"06:22:34.475"</f>
        <v>06:22:34.475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6</v>
      </c>
      <c r="CP3669" t="s">
        <v>119</v>
      </c>
      <c r="CQ3669">
        <v>457</v>
      </c>
      <c r="CR3669">
        <v>0</v>
      </c>
      <c r="CW3669">
        <v>15527439</v>
      </c>
      <c r="CY3669">
        <v>1</v>
      </c>
      <c r="CZ3669">
        <v>0</v>
      </c>
      <c r="DA3669">
        <v>0</v>
      </c>
      <c r="DB3669">
        <v>0</v>
      </c>
      <c r="DC3669">
        <v>0</v>
      </c>
      <c r="DD3669">
        <v>0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3">
      <c r="A3670" t="str">
        <f>"08/29/2020 06:22:31.229"</f>
        <v>08/29/2020 06:22:31.229</v>
      </c>
      <c r="C3670" t="str">
        <f t="shared" si="1603"/>
        <v>FFDFD3C0</v>
      </c>
      <c r="D3670" t="s">
        <v>121</v>
      </c>
      <c r="E3670">
        <v>11</v>
      </c>
      <c r="F3670">
        <v>1011</v>
      </c>
      <c r="G3670" t="s">
        <v>125</v>
      </c>
      <c r="J3670" t="s">
        <v>123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"06:22:34.469"</f>
        <v>06:22:34.469</v>
      </c>
      <c r="T3670" t="str">
        <f>"06:22:33.969"</f>
        <v>06:22:33.969</v>
      </c>
      <c r="U3670" t="str">
        <f t="shared" si="1604"/>
        <v>A7E2E0</v>
      </c>
      <c r="V3670">
        <v>0</v>
      </c>
      <c r="W3670">
        <v>0</v>
      </c>
      <c r="X3670">
        <v>1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0</v>
      </c>
      <c r="AI3670" t="s">
        <v>1665</v>
      </c>
      <c r="AJ3670">
        <v>38.804783999999998</v>
      </c>
      <c r="AK3670" t="s">
        <v>1666</v>
      </c>
      <c r="AL3670">
        <v>-87.604422999999997</v>
      </c>
      <c r="AM3670">
        <v>100</v>
      </c>
      <c r="AN3670">
        <v>1100</v>
      </c>
      <c r="AO3670" t="s">
        <v>118</v>
      </c>
      <c r="AP3670">
        <v>-15</v>
      </c>
      <c r="AQ3670">
        <v>-110</v>
      </c>
      <c r="AR3670">
        <v>-1408</v>
      </c>
      <c r="AZ3670">
        <v>4552</v>
      </c>
      <c r="BA3670">
        <v>1</v>
      </c>
      <c r="BB3670" t="str">
        <f t="shared" si="1605"/>
        <v xml:space="preserve">N607SR  </v>
      </c>
      <c r="BC3670">
        <v>1</v>
      </c>
      <c r="BE3670">
        <v>0</v>
      </c>
      <c r="BF3670">
        <v>0</v>
      </c>
      <c r="BG3670">
        <v>0</v>
      </c>
      <c r="BH3670">
        <v>875</v>
      </c>
      <c r="BI3670">
        <v>1</v>
      </c>
      <c r="BJ3670">
        <v>1</v>
      </c>
      <c r="BK3670">
        <v>1</v>
      </c>
      <c r="BL3670">
        <v>0</v>
      </c>
      <c r="BO3670">
        <v>0</v>
      </c>
      <c r="BP3670">
        <v>0</v>
      </c>
      <c r="BW3670" t="str">
        <f>"06:22:34.475"</f>
        <v>06:22:34.475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6</v>
      </c>
      <c r="CP3670" t="s">
        <v>119</v>
      </c>
      <c r="CQ3670">
        <v>457</v>
      </c>
      <c r="CR3670">
        <v>0</v>
      </c>
      <c r="CW3670">
        <v>15527439</v>
      </c>
      <c r="CY3670">
        <v>1</v>
      </c>
      <c r="CZ3670">
        <v>0</v>
      </c>
      <c r="DA3670">
        <v>1</v>
      </c>
      <c r="DB3670">
        <v>0</v>
      </c>
      <c r="DC3670">
        <v>0</v>
      </c>
      <c r="DD3670">
        <v>0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3">
      <c r="A3671" t="str">
        <f>"08/29/2020 06:22:31.229"</f>
        <v>08/29/2020 06:22:31.229</v>
      </c>
      <c r="C3671" t="str">
        <f t="shared" si="1603"/>
        <v>FFDFD3C0</v>
      </c>
      <c r="D3671" t="s">
        <v>121</v>
      </c>
      <c r="E3671">
        <v>13</v>
      </c>
      <c r="F3671">
        <v>1013</v>
      </c>
      <c r="G3671" t="s">
        <v>122</v>
      </c>
      <c r="J3671" t="s">
        <v>123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"06:22:34.469"</f>
        <v>06:22:34.469</v>
      </c>
      <c r="T3671" t="str">
        <f>"06:22:33.969"</f>
        <v>06:22:33.969</v>
      </c>
      <c r="U3671" t="str">
        <f t="shared" si="1604"/>
        <v>A7E2E0</v>
      </c>
      <c r="V3671">
        <v>0</v>
      </c>
      <c r="W3671">
        <v>0</v>
      </c>
      <c r="X3671">
        <v>1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3</v>
      </c>
      <c r="AG3671">
        <v>2</v>
      </c>
      <c r="AH3671">
        <v>0</v>
      </c>
      <c r="AI3671" t="s">
        <v>1665</v>
      </c>
      <c r="AJ3671">
        <v>38.804783999999998</v>
      </c>
      <c r="AK3671" t="s">
        <v>1666</v>
      </c>
      <c r="AL3671">
        <v>-87.604422999999997</v>
      </c>
      <c r="AM3671">
        <v>100</v>
      </c>
      <c r="AN3671">
        <v>1100</v>
      </c>
      <c r="AO3671" t="s">
        <v>118</v>
      </c>
      <c r="AP3671">
        <v>-15</v>
      </c>
      <c r="AQ3671">
        <v>-110</v>
      </c>
      <c r="AR3671">
        <v>-1408</v>
      </c>
      <c r="AZ3671">
        <v>4552</v>
      </c>
      <c r="BA3671">
        <v>1</v>
      </c>
      <c r="BB3671" t="str">
        <f t="shared" si="1605"/>
        <v xml:space="preserve">N607SR  </v>
      </c>
      <c r="BC3671">
        <v>1</v>
      </c>
      <c r="BE3671">
        <v>0</v>
      </c>
      <c r="BF3671">
        <v>0</v>
      </c>
      <c r="BG3671">
        <v>0</v>
      </c>
      <c r="BH3671">
        <v>875</v>
      </c>
      <c r="BI3671">
        <v>1</v>
      </c>
      <c r="BJ3671">
        <v>1</v>
      </c>
      <c r="BK3671">
        <v>1</v>
      </c>
      <c r="BL3671">
        <v>0</v>
      </c>
      <c r="BO3671">
        <v>0</v>
      </c>
      <c r="BP3671">
        <v>0</v>
      </c>
      <c r="BW3671" t="str">
        <f>"06:22:34.475"</f>
        <v>06:22:34.475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6</v>
      </c>
      <c r="CP3671" t="s">
        <v>119</v>
      </c>
      <c r="CQ3671">
        <v>457</v>
      </c>
      <c r="CR3671">
        <v>0</v>
      </c>
      <c r="CW3671">
        <v>15527439</v>
      </c>
      <c r="CY3671">
        <v>1</v>
      </c>
      <c r="CZ3671">
        <v>0</v>
      </c>
      <c r="DA3671">
        <v>1</v>
      </c>
      <c r="DB3671">
        <v>0</v>
      </c>
      <c r="DC3671">
        <v>0</v>
      </c>
      <c r="DD3671">
        <v>0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3">
      <c r="A3672" t="str">
        <f>"08/29/2020 06:22:31.229"</f>
        <v>08/29/2020 06:22:31.229</v>
      </c>
      <c r="C3672" t="str">
        <f t="shared" si="1603"/>
        <v>FFDFD3C0</v>
      </c>
      <c r="D3672" t="s">
        <v>121</v>
      </c>
      <c r="E3672">
        <v>10</v>
      </c>
      <c r="F3672">
        <v>1010</v>
      </c>
      <c r="G3672" t="s">
        <v>114</v>
      </c>
      <c r="J3672" t="s">
        <v>123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"06:22:34.469"</f>
        <v>06:22:34.469</v>
      </c>
      <c r="T3672" t="str">
        <f>"06:22:33.969"</f>
        <v>06:22:33.969</v>
      </c>
      <c r="U3672" t="str">
        <f t="shared" si="1604"/>
        <v>A7E2E0</v>
      </c>
      <c r="V3672">
        <v>0</v>
      </c>
      <c r="W3672">
        <v>0</v>
      </c>
      <c r="X3672">
        <v>1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0</v>
      </c>
      <c r="AI3672" t="s">
        <v>1665</v>
      </c>
      <c r="AJ3672">
        <v>38.804783999999998</v>
      </c>
      <c r="AK3672" t="s">
        <v>1666</v>
      </c>
      <c r="AL3672">
        <v>-87.604422999999997</v>
      </c>
      <c r="AM3672">
        <v>100</v>
      </c>
      <c r="AN3672">
        <v>1100</v>
      </c>
      <c r="AO3672" t="s">
        <v>118</v>
      </c>
      <c r="AP3672">
        <v>-15</v>
      </c>
      <c r="AQ3672">
        <v>-110</v>
      </c>
      <c r="AR3672">
        <v>-1408</v>
      </c>
      <c r="AZ3672">
        <v>4552</v>
      </c>
      <c r="BA3672">
        <v>1</v>
      </c>
      <c r="BB3672" t="str">
        <f t="shared" si="1605"/>
        <v xml:space="preserve">N607SR  </v>
      </c>
      <c r="BC3672">
        <v>1</v>
      </c>
      <c r="BE3672">
        <v>0</v>
      </c>
      <c r="BF3672">
        <v>0</v>
      </c>
      <c r="BG3672">
        <v>0</v>
      </c>
      <c r="BH3672">
        <v>875</v>
      </c>
      <c r="BI3672">
        <v>1</v>
      </c>
      <c r="BJ3672">
        <v>1</v>
      </c>
      <c r="BK3672">
        <v>1</v>
      </c>
      <c r="BL3672">
        <v>0</v>
      </c>
      <c r="BO3672">
        <v>0</v>
      </c>
      <c r="BP3672">
        <v>0</v>
      </c>
      <c r="BW3672" t="str">
        <f>"06:22:34.475"</f>
        <v>06:22:34.475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6</v>
      </c>
      <c r="CP3672" t="s">
        <v>119</v>
      </c>
      <c r="CQ3672">
        <v>457</v>
      </c>
      <c r="CR3672">
        <v>0</v>
      </c>
      <c r="CW3672">
        <v>15527439</v>
      </c>
      <c r="CY3672">
        <v>1</v>
      </c>
      <c r="CZ3672">
        <v>0</v>
      </c>
      <c r="DA3672">
        <v>1</v>
      </c>
      <c r="DB3672">
        <v>0</v>
      </c>
      <c r="DC3672">
        <v>0</v>
      </c>
      <c r="DD3672">
        <v>0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3">
      <c r="A3673" t="str">
        <f>"08/29/2020 06:22:31.229"</f>
        <v>08/29/2020 06:22:31.229</v>
      </c>
      <c r="C3673" t="str">
        <f t="shared" si="1603"/>
        <v>FFDFD3C0</v>
      </c>
      <c r="D3673" t="s">
        <v>113</v>
      </c>
      <c r="E3673">
        <v>5</v>
      </c>
      <c r="H3673">
        <v>163</v>
      </c>
      <c r="I3673" t="s">
        <v>114</v>
      </c>
      <c r="J3673" t="s">
        <v>115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"06:22:34.469"</f>
        <v>06:22:34.469</v>
      </c>
      <c r="T3673" t="str">
        <f>"06:22:33.969"</f>
        <v>06:22:33.969</v>
      </c>
      <c r="U3673" t="str">
        <f t="shared" si="1604"/>
        <v>A7E2E0</v>
      </c>
      <c r="V3673">
        <v>0</v>
      </c>
      <c r="W3673">
        <v>0</v>
      </c>
      <c r="X3673">
        <v>1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0</v>
      </c>
      <c r="AI3673" t="s">
        <v>1665</v>
      </c>
      <c r="AJ3673">
        <v>38.804783999999998</v>
      </c>
      <c r="AK3673" t="s">
        <v>1666</v>
      </c>
      <c r="AL3673">
        <v>-87.604422999999997</v>
      </c>
      <c r="AM3673">
        <v>100</v>
      </c>
      <c r="AN3673">
        <v>1100</v>
      </c>
      <c r="AO3673" t="s">
        <v>118</v>
      </c>
      <c r="AP3673">
        <v>-15</v>
      </c>
      <c r="AQ3673">
        <v>-110</v>
      </c>
      <c r="AR3673">
        <v>-1408</v>
      </c>
      <c r="AZ3673">
        <v>4552</v>
      </c>
      <c r="BA3673">
        <v>1</v>
      </c>
      <c r="BB3673" t="str">
        <f t="shared" si="1605"/>
        <v xml:space="preserve">N607SR  </v>
      </c>
      <c r="BC3673">
        <v>1</v>
      </c>
      <c r="BE3673">
        <v>0</v>
      </c>
      <c r="BF3673">
        <v>0</v>
      </c>
      <c r="BG3673">
        <v>0</v>
      </c>
      <c r="BH3673">
        <v>875</v>
      </c>
      <c r="BI3673">
        <v>1</v>
      </c>
      <c r="BJ3673">
        <v>1</v>
      </c>
      <c r="BK3673">
        <v>1</v>
      </c>
      <c r="BL3673">
        <v>0</v>
      </c>
      <c r="BO3673">
        <v>0</v>
      </c>
      <c r="BP3673">
        <v>0</v>
      </c>
      <c r="BW3673" t="str">
        <f>"06:22:34.475"</f>
        <v>06:22:34.475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6</v>
      </c>
      <c r="CP3673" t="s">
        <v>119</v>
      </c>
      <c r="CQ3673">
        <v>457</v>
      </c>
      <c r="CR3673">
        <v>0</v>
      </c>
      <c r="CW3673">
        <v>15527439</v>
      </c>
      <c r="CY3673">
        <v>1</v>
      </c>
      <c r="CZ3673">
        <v>0</v>
      </c>
      <c r="DA3673">
        <v>1</v>
      </c>
      <c r="DB3673">
        <v>0</v>
      </c>
      <c r="DC3673">
        <v>0</v>
      </c>
      <c r="DD3673">
        <v>0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3">
      <c r="A3674" t="str">
        <f>"08/29/2020 06:22:32.212"</f>
        <v>08/29/2020 06:22:32.212</v>
      </c>
      <c r="C3674" t="str">
        <f t="shared" si="1603"/>
        <v>FFDFD3C0</v>
      </c>
      <c r="D3674" t="s">
        <v>121</v>
      </c>
      <c r="E3674">
        <v>11</v>
      </c>
      <c r="F3674">
        <v>1011</v>
      </c>
      <c r="G3674" t="s">
        <v>125</v>
      </c>
      <c r="J3674" t="s">
        <v>123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"06:22:35.414"</f>
        <v>06:22:35.414</v>
      </c>
      <c r="T3674" t="str">
        <f>"06:22:34.514"</f>
        <v>06:22:34.514</v>
      </c>
      <c r="U3674" t="str">
        <f t="shared" si="1604"/>
        <v>A7E2E0</v>
      </c>
      <c r="V3674">
        <v>0</v>
      </c>
      <c r="W3674">
        <v>0</v>
      </c>
      <c r="X3674">
        <v>1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0</v>
      </c>
      <c r="AI3674" t="s">
        <v>1667</v>
      </c>
      <c r="AJ3674">
        <v>38.804268999999998</v>
      </c>
      <c r="AK3674" t="s">
        <v>1574</v>
      </c>
      <c r="AL3674">
        <v>-87.604487000000006</v>
      </c>
      <c r="AM3674">
        <v>100</v>
      </c>
      <c r="AN3674">
        <v>1100</v>
      </c>
      <c r="AO3674" t="s">
        <v>118</v>
      </c>
      <c r="AP3674">
        <v>-15</v>
      </c>
      <c r="AQ3674">
        <v>-110</v>
      </c>
      <c r="AR3674">
        <v>-1408</v>
      </c>
      <c r="AZ3674">
        <v>4552</v>
      </c>
      <c r="BA3674">
        <v>1</v>
      </c>
      <c r="BB3674" t="str">
        <f t="shared" si="1605"/>
        <v xml:space="preserve">N607SR  </v>
      </c>
      <c r="BC3674">
        <v>1</v>
      </c>
      <c r="BE3674">
        <v>0</v>
      </c>
      <c r="BF3674">
        <v>0</v>
      </c>
      <c r="BG3674">
        <v>0</v>
      </c>
      <c r="BH3674">
        <v>875</v>
      </c>
      <c r="BI3674">
        <v>1</v>
      </c>
      <c r="BJ3674">
        <v>1</v>
      </c>
      <c r="BK3674">
        <v>1</v>
      </c>
      <c r="BL3674">
        <v>0</v>
      </c>
      <c r="BO3674">
        <v>0</v>
      </c>
      <c r="BP3674">
        <v>0</v>
      </c>
      <c r="BW3674" t="str">
        <f>"06:22:35.416"</f>
        <v>06:22:35.416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6</v>
      </c>
      <c r="CP3674" t="s">
        <v>119</v>
      </c>
      <c r="CQ3674">
        <v>457</v>
      </c>
      <c r="CR3674">
        <v>0</v>
      </c>
      <c r="CW3674">
        <v>15527465</v>
      </c>
      <c r="CY3674">
        <v>1</v>
      </c>
      <c r="CZ3674">
        <v>0</v>
      </c>
      <c r="DA3674">
        <v>0</v>
      </c>
      <c r="DB3674">
        <v>0</v>
      </c>
      <c r="DC3674">
        <v>0</v>
      </c>
      <c r="DD3674">
        <v>0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3">
      <c r="A3675" t="str">
        <f>"08/29/2020 06:22:32.212"</f>
        <v>08/29/2020 06:22:32.212</v>
      </c>
      <c r="C3675" t="str">
        <f t="shared" si="1603"/>
        <v>FFDFD3C0</v>
      </c>
      <c r="D3675" t="s">
        <v>128</v>
      </c>
      <c r="E3675">
        <v>5</v>
      </c>
      <c r="H3675">
        <v>241</v>
      </c>
      <c r="I3675" t="s">
        <v>129</v>
      </c>
      <c r="J3675" t="s">
        <v>130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"06:22:35.414"</f>
        <v>06:22:35.414</v>
      </c>
      <c r="T3675" t="str">
        <f>"06:22:35.014"</f>
        <v>06:22:35.014</v>
      </c>
      <c r="U3675" t="str">
        <f t="shared" si="1604"/>
        <v>A7E2E0</v>
      </c>
      <c r="V3675">
        <v>0</v>
      </c>
      <c r="W3675">
        <v>0</v>
      </c>
      <c r="X3675">
        <v>1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0</v>
      </c>
      <c r="AI3675" t="s">
        <v>1667</v>
      </c>
      <c r="AJ3675">
        <v>38.804268999999998</v>
      </c>
      <c r="AK3675" t="s">
        <v>1574</v>
      </c>
      <c r="AL3675">
        <v>-87.604487000000006</v>
      </c>
      <c r="AM3675">
        <v>100</v>
      </c>
      <c r="AN3675">
        <v>1100</v>
      </c>
      <c r="AO3675" t="s">
        <v>118</v>
      </c>
      <c r="AP3675">
        <v>-15</v>
      </c>
      <c r="AQ3675">
        <v>-110</v>
      </c>
      <c r="AR3675">
        <v>-1344</v>
      </c>
      <c r="AZ3675">
        <v>4552</v>
      </c>
      <c r="BA3675">
        <v>1</v>
      </c>
      <c r="BB3675" t="str">
        <f t="shared" si="1605"/>
        <v xml:space="preserve">N607SR  </v>
      </c>
      <c r="BC3675">
        <v>1</v>
      </c>
      <c r="BE3675">
        <v>0</v>
      </c>
      <c r="BF3675">
        <v>0</v>
      </c>
      <c r="BG3675">
        <v>0</v>
      </c>
      <c r="BH3675">
        <v>850</v>
      </c>
      <c r="BI3675">
        <v>1</v>
      </c>
      <c r="BJ3675">
        <v>1</v>
      </c>
      <c r="BK3675">
        <v>1</v>
      </c>
      <c r="BL3675">
        <v>0</v>
      </c>
      <c r="BO3675">
        <v>0</v>
      </c>
      <c r="BP3675">
        <v>0</v>
      </c>
      <c r="BW3675" t="str">
        <f>"06:22:35.416"</f>
        <v>06:22:35.416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5</v>
      </c>
      <c r="CP3675" t="s">
        <v>119</v>
      </c>
      <c r="CQ3675">
        <v>517</v>
      </c>
      <c r="CR3675">
        <v>1</v>
      </c>
      <c r="CW3675">
        <v>2492131</v>
      </c>
      <c r="CY3675">
        <v>1</v>
      </c>
      <c r="CZ3675">
        <v>0</v>
      </c>
      <c r="DA3675">
        <v>1</v>
      </c>
      <c r="DB3675">
        <v>0</v>
      </c>
      <c r="DC3675">
        <v>0</v>
      </c>
      <c r="DD3675">
        <v>0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3">
      <c r="A3676" t="str">
        <f>"08/29/2020 06:22:32.212"</f>
        <v>08/29/2020 06:22:32.212</v>
      </c>
      <c r="C3676" t="str">
        <f t="shared" si="1603"/>
        <v>FFDFD3C0</v>
      </c>
      <c r="D3676" t="s">
        <v>113</v>
      </c>
      <c r="E3676">
        <v>5</v>
      </c>
      <c r="H3676">
        <v>163</v>
      </c>
      <c r="I3676" t="s">
        <v>114</v>
      </c>
      <c r="J3676" t="s">
        <v>115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"06:22:35.414"</f>
        <v>06:22:35.414</v>
      </c>
      <c r="T3676" t="str">
        <f>"06:22:35.014"</f>
        <v>06:22:35.014</v>
      </c>
      <c r="U3676" t="str">
        <f t="shared" si="1604"/>
        <v>A7E2E0</v>
      </c>
      <c r="V3676">
        <v>0</v>
      </c>
      <c r="W3676">
        <v>0</v>
      </c>
      <c r="X3676">
        <v>1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0</v>
      </c>
      <c r="AI3676" t="s">
        <v>1667</v>
      </c>
      <c r="AJ3676">
        <v>38.804268999999998</v>
      </c>
      <c r="AK3676" t="s">
        <v>1574</v>
      </c>
      <c r="AL3676">
        <v>-87.604487000000006</v>
      </c>
      <c r="AM3676">
        <v>100</v>
      </c>
      <c r="AN3676">
        <v>1100</v>
      </c>
      <c r="AO3676" t="s">
        <v>118</v>
      </c>
      <c r="AP3676">
        <v>-15</v>
      </c>
      <c r="AQ3676">
        <v>-110</v>
      </c>
      <c r="AR3676">
        <v>-1344</v>
      </c>
      <c r="AZ3676">
        <v>4552</v>
      </c>
      <c r="BA3676">
        <v>1</v>
      </c>
      <c r="BB3676" t="str">
        <f t="shared" si="1605"/>
        <v xml:space="preserve">N607SR  </v>
      </c>
      <c r="BC3676">
        <v>1</v>
      </c>
      <c r="BE3676">
        <v>0</v>
      </c>
      <c r="BF3676">
        <v>0</v>
      </c>
      <c r="BG3676">
        <v>0</v>
      </c>
      <c r="BH3676">
        <v>850</v>
      </c>
      <c r="BI3676">
        <v>1</v>
      </c>
      <c r="BJ3676">
        <v>1</v>
      </c>
      <c r="BK3676">
        <v>1</v>
      </c>
      <c r="BL3676">
        <v>0</v>
      </c>
      <c r="BO3676">
        <v>0</v>
      </c>
      <c r="BP3676">
        <v>0</v>
      </c>
      <c r="BW3676" t="str">
        <f>"06:22:35.416"</f>
        <v>06:22:35.416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5</v>
      </c>
      <c r="CP3676" t="s">
        <v>119</v>
      </c>
      <c r="CQ3676">
        <v>517</v>
      </c>
      <c r="CR3676">
        <v>1</v>
      </c>
      <c r="CW3676">
        <v>2492131</v>
      </c>
      <c r="CY3676">
        <v>1</v>
      </c>
      <c r="CZ3676">
        <v>0</v>
      </c>
      <c r="DA3676">
        <v>1</v>
      </c>
      <c r="DB3676">
        <v>0</v>
      </c>
      <c r="DC3676">
        <v>0</v>
      </c>
      <c r="DD3676">
        <v>0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3">
      <c r="A3677" t="str">
        <f>"08/29/2020 06:22:32.212"</f>
        <v>08/29/2020 06:22:32.212</v>
      </c>
      <c r="C3677" t="str">
        <f t="shared" si="1603"/>
        <v>FFDFD3C0</v>
      </c>
      <c r="D3677" t="s">
        <v>121</v>
      </c>
      <c r="E3677">
        <v>13</v>
      </c>
      <c r="F3677">
        <v>1013</v>
      </c>
      <c r="G3677" t="s">
        <v>122</v>
      </c>
      <c r="J3677" t="s">
        <v>123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"06:22:35.414"</f>
        <v>06:22:35.414</v>
      </c>
      <c r="T3677" t="str">
        <f>"06:22:35.014"</f>
        <v>06:22:35.014</v>
      </c>
      <c r="U3677" t="str">
        <f t="shared" si="1604"/>
        <v>A7E2E0</v>
      </c>
      <c r="V3677">
        <v>0</v>
      </c>
      <c r="W3677">
        <v>0</v>
      </c>
      <c r="X3677">
        <v>1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0</v>
      </c>
      <c r="AI3677" t="s">
        <v>1667</v>
      </c>
      <c r="AJ3677">
        <v>38.804268999999998</v>
      </c>
      <c r="AK3677" t="s">
        <v>1574</v>
      </c>
      <c r="AL3677">
        <v>-87.604487000000006</v>
      </c>
      <c r="AM3677">
        <v>100</v>
      </c>
      <c r="AN3677">
        <v>1100</v>
      </c>
      <c r="AO3677" t="s">
        <v>118</v>
      </c>
      <c r="AP3677">
        <v>-15</v>
      </c>
      <c r="AQ3677">
        <v>-110</v>
      </c>
      <c r="AR3677">
        <v>-1344</v>
      </c>
      <c r="AZ3677">
        <v>4552</v>
      </c>
      <c r="BA3677">
        <v>1</v>
      </c>
      <c r="BB3677" t="str">
        <f t="shared" si="1605"/>
        <v xml:space="preserve">N607SR  </v>
      </c>
      <c r="BC3677">
        <v>1</v>
      </c>
      <c r="BE3677">
        <v>0</v>
      </c>
      <c r="BF3677">
        <v>0</v>
      </c>
      <c r="BG3677">
        <v>0</v>
      </c>
      <c r="BH3677">
        <v>850</v>
      </c>
      <c r="BI3677">
        <v>1</v>
      </c>
      <c r="BJ3677">
        <v>1</v>
      </c>
      <c r="BK3677">
        <v>1</v>
      </c>
      <c r="BL3677">
        <v>0</v>
      </c>
      <c r="BO3677">
        <v>0</v>
      </c>
      <c r="BP3677">
        <v>0</v>
      </c>
      <c r="BW3677" t="str">
        <f>"06:22:35.416"</f>
        <v>06:22:35.416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5</v>
      </c>
      <c r="CP3677" t="s">
        <v>119</v>
      </c>
      <c r="CQ3677">
        <v>517</v>
      </c>
      <c r="CR3677">
        <v>1</v>
      </c>
      <c r="CW3677">
        <v>2492131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0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3">
      <c r="A3678" t="str">
        <f>"08/29/2020 06:22:32.212"</f>
        <v>08/29/2020 06:22:32.212</v>
      </c>
      <c r="C3678" t="str">
        <f t="shared" si="1603"/>
        <v>FFDFD3C0</v>
      </c>
      <c r="D3678" t="s">
        <v>121</v>
      </c>
      <c r="E3678">
        <v>10</v>
      </c>
      <c r="F3678">
        <v>1010</v>
      </c>
      <c r="G3678" t="s">
        <v>114</v>
      </c>
      <c r="J3678" t="s">
        <v>123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"06:22:35.414"</f>
        <v>06:22:35.414</v>
      </c>
      <c r="T3678" t="str">
        <f>"06:22:35.014"</f>
        <v>06:22:35.014</v>
      </c>
      <c r="U3678" t="str">
        <f t="shared" si="1604"/>
        <v>A7E2E0</v>
      </c>
      <c r="V3678">
        <v>0</v>
      </c>
      <c r="W3678">
        <v>0</v>
      </c>
      <c r="X3678">
        <v>1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0</v>
      </c>
      <c r="AI3678" t="s">
        <v>1667</v>
      </c>
      <c r="AJ3678">
        <v>38.804268999999998</v>
      </c>
      <c r="AK3678" t="s">
        <v>1574</v>
      </c>
      <c r="AL3678">
        <v>-87.604487000000006</v>
      </c>
      <c r="AM3678">
        <v>100</v>
      </c>
      <c r="AN3678">
        <v>1100</v>
      </c>
      <c r="AO3678" t="s">
        <v>118</v>
      </c>
      <c r="AP3678">
        <v>-15</v>
      </c>
      <c r="AQ3678">
        <v>-110</v>
      </c>
      <c r="AR3678">
        <v>-1344</v>
      </c>
      <c r="AZ3678">
        <v>4552</v>
      </c>
      <c r="BA3678">
        <v>1</v>
      </c>
      <c r="BB3678" t="str">
        <f t="shared" si="1605"/>
        <v xml:space="preserve">N607SR  </v>
      </c>
      <c r="BC3678">
        <v>1</v>
      </c>
      <c r="BE3678">
        <v>0</v>
      </c>
      <c r="BF3678">
        <v>0</v>
      </c>
      <c r="BG3678">
        <v>0</v>
      </c>
      <c r="BH3678">
        <v>850</v>
      </c>
      <c r="BI3678">
        <v>1</v>
      </c>
      <c r="BJ3678">
        <v>1</v>
      </c>
      <c r="BK3678">
        <v>1</v>
      </c>
      <c r="BL3678">
        <v>0</v>
      </c>
      <c r="BO3678">
        <v>0</v>
      </c>
      <c r="BP3678">
        <v>0</v>
      </c>
      <c r="BW3678" t="str">
        <f>"06:22:35.416"</f>
        <v>06:22:35.416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5</v>
      </c>
      <c r="CP3678" t="s">
        <v>119</v>
      </c>
      <c r="CQ3678">
        <v>517</v>
      </c>
      <c r="CR3678">
        <v>1</v>
      </c>
      <c r="CW3678">
        <v>2492131</v>
      </c>
      <c r="CY3678">
        <v>1</v>
      </c>
      <c r="CZ3678">
        <v>0</v>
      </c>
      <c r="DA3678">
        <v>1</v>
      </c>
      <c r="DB3678">
        <v>0</v>
      </c>
      <c r="DC3678">
        <v>0</v>
      </c>
      <c r="DD3678">
        <v>0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3">
      <c r="A3679" t="str">
        <f>"08/29/2020 06:22:33.023"</f>
        <v>08/29/2020 06:22:33.023</v>
      </c>
      <c r="C3679" t="str">
        <f t="shared" si="1603"/>
        <v>FFDFD3C0</v>
      </c>
      <c r="D3679" t="s">
        <v>121</v>
      </c>
      <c r="E3679">
        <v>11</v>
      </c>
      <c r="F3679">
        <v>1011</v>
      </c>
      <c r="G3679" t="s">
        <v>125</v>
      </c>
      <c r="J3679" t="s">
        <v>123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"06:22:36.242"</f>
        <v>06:22:36.242</v>
      </c>
      <c r="T3679" t="str">
        <f>"06:22:35.842"</f>
        <v>06:22:35.842</v>
      </c>
      <c r="U3679" t="str">
        <f t="shared" si="1604"/>
        <v>A7E2E0</v>
      </c>
      <c r="V3679">
        <v>0</v>
      </c>
      <c r="W3679">
        <v>0</v>
      </c>
      <c r="X3679">
        <v>1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3</v>
      </c>
      <c r="AG3679">
        <v>2</v>
      </c>
      <c r="AH3679">
        <v>0</v>
      </c>
      <c r="AI3679" t="s">
        <v>1668</v>
      </c>
      <c r="AJ3679">
        <v>38.803860999999998</v>
      </c>
      <c r="AK3679" t="s">
        <v>1669</v>
      </c>
      <c r="AL3679">
        <v>-87.604551000000001</v>
      </c>
      <c r="AM3679">
        <v>100</v>
      </c>
      <c r="AN3679">
        <v>1100</v>
      </c>
      <c r="AO3679" t="s">
        <v>118</v>
      </c>
      <c r="AP3679">
        <v>-15</v>
      </c>
      <c r="AQ3679">
        <v>-110</v>
      </c>
      <c r="AR3679">
        <v>-1216</v>
      </c>
      <c r="AZ3679">
        <v>4552</v>
      </c>
      <c r="BA3679">
        <v>1</v>
      </c>
      <c r="BB3679" t="str">
        <f t="shared" si="1605"/>
        <v xml:space="preserve">N607SR  </v>
      </c>
      <c r="BC3679">
        <v>1</v>
      </c>
      <c r="BE3679">
        <v>0</v>
      </c>
      <c r="BF3679">
        <v>0</v>
      </c>
      <c r="BG3679">
        <v>0</v>
      </c>
      <c r="BH3679">
        <v>850</v>
      </c>
      <c r="BI3679">
        <v>1</v>
      </c>
      <c r="BJ3679">
        <v>1</v>
      </c>
      <c r="BK3679">
        <v>1</v>
      </c>
      <c r="BL3679">
        <v>0</v>
      </c>
      <c r="BO3679">
        <v>0</v>
      </c>
      <c r="BP3679">
        <v>0</v>
      </c>
      <c r="BW3679" t="str">
        <f>"06:22:36.248"</f>
        <v>06:22:36.248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6</v>
      </c>
      <c r="CP3679" t="s">
        <v>119</v>
      </c>
      <c r="CQ3679">
        <v>457</v>
      </c>
      <c r="CR3679">
        <v>0</v>
      </c>
      <c r="CW3679">
        <v>15527493</v>
      </c>
      <c r="CY3679">
        <v>1</v>
      </c>
      <c r="CZ3679">
        <v>0</v>
      </c>
      <c r="DA3679">
        <v>0</v>
      </c>
      <c r="DB3679">
        <v>0</v>
      </c>
      <c r="DC3679">
        <v>0</v>
      </c>
      <c r="DD3679">
        <v>0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3">
      <c r="A3680" t="str">
        <f>"08/29/2020 06:22:33.023"</f>
        <v>08/29/2020 06:22:33.023</v>
      </c>
      <c r="C3680" t="str">
        <f t="shared" si="1603"/>
        <v>FFDFD3C0</v>
      </c>
      <c r="D3680" t="s">
        <v>121</v>
      </c>
      <c r="E3680">
        <v>10</v>
      </c>
      <c r="F3680">
        <v>1010</v>
      </c>
      <c r="G3680" t="s">
        <v>114</v>
      </c>
      <c r="J3680" t="s">
        <v>123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"06:22:36.242"</f>
        <v>06:22:36.242</v>
      </c>
      <c r="U3680" t="str">
        <f t="shared" si="1604"/>
        <v>A7E2E0</v>
      </c>
      <c r="V3680">
        <v>0</v>
      </c>
      <c r="W3680">
        <v>0</v>
      </c>
      <c r="X3680">
        <v>1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0</v>
      </c>
      <c r="AI3680" t="s">
        <v>1668</v>
      </c>
      <c r="AJ3680">
        <v>38.803860999999998</v>
      </c>
      <c r="AK3680" t="s">
        <v>1669</v>
      </c>
      <c r="AL3680">
        <v>-87.604551000000001</v>
      </c>
      <c r="AM3680">
        <v>100</v>
      </c>
      <c r="AN3680">
        <v>1100</v>
      </c>
      <c r="AO3680" t="s">
        <v>118</v>
      </c>
      <c r="AP3680">
        <v>-15</v>
      </c>
      <c r="AQ3680">
        <v>-110</v>
      </c>
      <c r="AR3680">
        <v>-1152</v>
      </c>
      <c r="AZ3680">
        <v>4552</v>
      </c>
      <c r="BA3680">
        <v>1</v>
      </c>
      <c r="BB3680" t="str">
        <f t="shared" si="1605"/>
        <v xml:space="preserve">N607SR  </v>
      </c>
      <c r="BC3680">
        <v>1</v>
      </c>
      <c r="BE3680">
        <v>0</v>
      </c>
      <c r="BF3680">
        <v>0</v>
      </c>
      <c r="BG3680">
        <v>0</v>
      </c>
      <c r="BH3680">
        <v>825</v>
      </c>
      <c r="BI3680">
        <v>1</v>
      </c>
      <c r="BJ3680">
        <v>1</v>
      </c>
      <c r="BK3680">
        <v>1</v>
      </c>
      <c r="BL3680">
        <v>0</v>
      </c>
      <c r="BO3680">
        <v>0</v>
      </c>
      <c r="BP3680">
        <v>0</v>
      </c>
      <c r="BW3680" t="str">
        <f>"06:22:36.248"</f>
        <v>06:22:36.248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4</v>
      </c>
      <c r="CP3680" t="s">
        <v>119</v>
      </c>
      <c r="CQ3680">
        <v>517</v>
      </c>
      <c r="CR3680">
        <v>1</v>
      </c>
      <c r="CW3680">
        <v>2492157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0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3">
      <c r="A3681" t="str">
        <f>"08/29/2020 06:22:33.023"</f>
        <v>08/29/2020 06:22:33.023</v>
      </c>
      <c r="C3681" t="str">
        <f t="shared" si="1603"/>
        <v>FFDFD3C0</v>
      </c>
      <c r="D3681" t="s">
        <v>121</v>
      </c>
      <c r="E3681">
        <v>13</v>
      </c>
      <c r="F3681">
        <v>1013</v>
      </c>
      <c r="G3681" t="s">
        <v>122</v>
      </c>
      <c r="J3681" t="s">
        <v>123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"06:22:36.242"</f>
        <v>06:22:36.242</v>
      </c>
      <c r="U3681" t="str">
        <f t="shared" si="1604"/>
        <v>A7E2E0</v>
      </c>
      <c r="V3681">
        <v>0</v>
      </c>
      <c r="W3681">
        <v>0</v>
      </c>
      <c r="X3681">
        <v>1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0</v>
      </c>
      <c r="AI3681" t="s">
        <v>1668</v>
      </c>
      <c r="AJ3681">
        <v>38.803860999999998</v>
      </c>
      <c r="AK3681" t="s">
        <v>1669</v>
      </c>
      <c r="AL3681">
        <v>-87.604551000000001</v>
      </c>
      <c r="AM3681">
        <v>100</v>
      </c>
      <c r="AN3681">
        <v>1100</v>
      </c>
      <c r="AO3681" t="s">
        <v>118</v>
      </c>
      <c r="AP3681">
        <v>-15</v>
      </c>
      <c r="AQ3681">
        <v>-110</v>
      </c>
      <c r="AR3681">
        <v>-1152</v>
      </c>
      <c r="AZ3681">
        <v>4552</v>
      </c>
      <c r="BA3681">
        <v>1</v>
      </c>
      <c r="BB3681" t="str">
        <f t="shared" si="1605"/>
        <v xml:space="preserve">N607SR  </v>
      </c>
      <c r="BC3681">
        <v>1</v>
      </c>
      <c r="BE3681">
        <v>0</v>
      </c>
      <c r="BF3681">
        <v>0</v>
      </c>
      <c r="BG3681">
        <v>0</v>
      </c>
      <c r="BH3681">
        <v>825</v>
      </c>
      <c r="BI3681">
        <v>1</v>
      </c>
      <c r="BJ3681">
        <v>1</v>
      </c>
      <c r="BK3681">
        <v>1</v>
      </c>
      <c r="BL3681">
        <v>0</v>
      </c>
      <c r="BO3681">
        <v>0</v>
      </c>
      <c r="BP3681">
        <v>0</v>
      </c>
      <c r="BW3681" t="str">
        <f>"06:22:36.248"</f>
        <v>06:22:36.248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4</v>
      </c>
      <c r="CP3681" t="s">
        <v>119</v>
      </c>
      <c r="CQ3681">
        <v>517</v>
      </c>
      <c r="CR3681">
        <v>1</v>
      </c>
      <c r="CW3681">
        <v>2492157</v>
      </c>
      <c r="CY3681">
        <v>1</v>
      </c>
      <c r="CZ3681">
        <v>0</v>
      </c>
      <c r="DA3681">
        <v>1</v>
      </c>
      <c r="DB3681">
        <v>0</v>
      </c>
      <c r="DC3681">
        <v>0</v>
      </c>
      <c r="DD3681">
        <v>0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3">
      <c r="A3682" t="str">
        <f>"08/29/2020 06:22:33.023"</f>
        <v>08/29/2020 06:22:33.023</v>
      </c>
      <c r="C3682" t="str">
        <f t="shared" si="1603"/>
        <v>FFDFD3C0</v>
      </c>
      <c r="D3682" t="s">
        <v>113</v>
      </c>
      <c r="E3682">
        <v>5</v>
      </c>
      <c r="H3682">
        <v>163</v>
      </c>
      <c r="I3682" t="s">
        <v>114</v>
      </c>
      <c r="J3682" t="s">
        <v>115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"06:22:36.242"</f>
        <v>06:22:36.242</v>
      </c>
      <c r="U3682" t="str">
        <f t="shared" si="1604"/>
        <v>A7E2E0</v>
      </c>
      <c r="V3682">
        <v>0</v>
      </c>
      <c r="W3682">
        <v>0</v>
      </c>
      <c r="X3682">
        <v>1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0</v>
      </c>
      <c r="AI3682" t="s">
        <v>1668</v>
      </c>
      <c r="AJ3682">
        <v>38.803860999999998</v>
      </c>
      <c r="AK3682" t="s">
        <v>1669</v>
      </c>
      <c r="AL3682">
        <v>-87.604551000000001</v>
      </c>
      <c r="AM3682">
        <v>100</v>
      </c>
      <c r="AN3682">
        <v>1100</v>
      </c>
      <c r="AO3682" t="s">
        <v>118</v>
      </c>
      <c r="AP3682">
        <v>-15</v>
      </c>
      <c r="AQ3682">
        <v>-110</v>
      </c>
      <c r="AR3682">
        <v>-1152</v>
      </c>
      <c r="AZ3682">
        <v>4552</v>
      </c>
      <c r="BA3682">
        <v>1</v>
      </c>
      <c r="BB3682" t="str">
        <f t="shared" si="1605"/>
        <v xml:space="preserve">N607SR  </v>
      </c>
      <c r="BC3682">
        <v>1</v>
      </c>
      <c r="BE3682">
        <v>0</v>
      </c>
      <c r="BF3682">
        <v>0</v>
      </c>
      <c r="BG3682">
        <v>0</v>
      </c>
      <c r="BH3682">
        <v>825</v>
      </c>
      <c r="BI3682">
        <v>1</v>
      </c>
      <c r="BJ3682">
        <v>1</v>
      </c>
      <c r="BK3682">
        <v>1</v>
      </c>
      <c r="BL3682">
        <v>0</v>
      </c>
      <c r="BO3682">
        <v>0</v>
      </c>
      <c r="BP3682">
        <v>0</v>
      </c>
      <c r="BW3682" t="str">
        <f>"06:22:36.248"</f>
        <v>06:22:36.248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4</v>
      </c>
      <c r="CP3682" t="s">
        <v>119</v>
      </c>
      <c r="CQ3682">
        <v>517</v>
      </c>
      <c r="CR3682">
        <v>1</v>
      </c>
      <c r="CW3682">
        <v>2492157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0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3">
      <c r="A3683" t="str">
        <f>"08/29/2020 06:22:33.023"</f>
        <v>08/29/2020 06:22:33.023</v>
      </c>
      <c r="C3683" t="str">
        <f t="shared" si="1603"/>
        <v>FFDFD3C0</v>
      </c>
      <c r="D3683" t="s">
        <v>128</v>
      </c>
      <c r="E3683">
        <v>5</v>
      </c>
      <c r="H3683">
        <v>241</v>
      </c>
      <c r="I3683" t="s">
        <v>129</v>
      </c>
      <c r="J3683" t="s">
        <v>130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"06:22:36.242"</f>
        <v>06:22:36.242</v>
      </c>
      <c r="U3683" t="str">
        <f t="shared" si="1604"/>
        <v>A7E2E0</v>
      </c>
      <c r="V3683">
        <v>0</v>
      </c>
      <c r="W3683">
        <v>0</v>
      </c>
      <c r="X3683">
        <v>1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0</v>
      </c>
      <c r="AI3683" t="s">
        <v>1668</v>
      </c>
      <c r="AJ3683">
        <v>38.803860999999998</v>
      </c>
      <c r="AK3683" t="s">
        <v>1669</v>
      </c>
      <c r="AL3683">
        <v>-87.604551000000001</v>
      </c>
      <c r="AM3683">
        <v>100</v>
      </c>
      <c r="AN3683">
        <v>1100</v>
      </c>
      <c r="AO3683" t="s">
        <v>118</v>
      </c>
      <c r="AP3683">
        <v>-15</v>
      </c>
      <c r="AQ3683">
        <v>-110</v>
      </c>
      <c r="AR3683">
        <v>-1152</v>
      </c>
      <c r="AZ3683">
        <v>4552</v>
      </c>
      <c r="BA3683">
        <v>1</v>
      </c>
      <c r="BB3683" t="str">
        <f t="shared" si="1605"/>
        <v xml:space="preserve">N607SR  </v>
      </c>
      <c r="BC3683">
        <v>1</v>
      </c>
      <c r="BE3683">
        <v>0</v>
      </c>
      <c r="BF3683">
        <v>0</v>
      </c>
      <c r="BG3683">
        <v>0</v>
      </c>
      <c r="BH3683">
        <v>825</v>
      </c>
      <c r="BI3683">
        <v>1</v>
      </c>
      <c r="BJ3683">
        <v>1</v>
      </c>
      <c r="BK3683">
        <v>1</v>
      </c>
      <c r="BL3683">
        <v>0</v>
      </c>
      <c r="BO3683">
        <v>0</v>
      </c>
      <c r="BP3683">
        <v>0</v>
      </c>
      <c r="BW3683" t="str">
        <f>"06:22:36.248"</f>
        <v>06:22:36.248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4</v>
      </c>
      <c r="CP3683" t="s">
        <v>119</v>
      </c>
      <c r="CQ3683">
        <v>517</v>
      </c>
      <c r="CR3683">
        <v>1</v>
      </c>
      <c r="CW3683">
        <v>2492157</v>
      </c>
      <c r="CY3683">
        <v>1</v>
      </c>
      <c r="CZ3683">
        <v>0</v>
      </c>
      <c r="DA3683">
        <v>1</v>
      </c>
      <c r="DB3683">
        <v>0</v>
      </c>
      <c r="DC3683">
        <v>0</v>
      </c>
      <c r="DD3683">
        <v>0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3">
      <c r="A3684" t="str">
        <f>"08/29/2020 06:22:33.988"</f>
        <v>08/29/2020 06:22:33.988</v>
      </c>
      <c r="C3684" t="str">
        <f t="shared" si="1603"/>
        <v>FFDFD3C0</v>
      </c>
      <c r="D3684" t="s">
        <v>121</v>
      </c>
      <c r="E3684">
        <v>11</v>
      </c>
      <c r="F3684">
        <v>1011</v>
      </c>
      <c r="G3684" t="s">
        <v>125</v>
      </c>
      <c r="J3684" t="s">
        <v>123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"06:22:37.180"</f>
        <v>06:22:37.180</v>
      </c>
      <c r="T3684" t="str">
        <f>"06:22:36.780"</f>
        <v>06:22:36.780</v>
      </c>
      <c r="U3684" t="str">
        <f t="shared" si="1604"/>
        <v>A7E2E0</v>
      </c>
      <c r="V3684">
        <v>0</v>
      </c>
      <c r="W3684">
        <v>0</v>
      </c>
      <c r="X3684">
        <v>1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0</v>
      </c>
      <c r="AI3684" t="s">
        <v>1670</v>
      </c>
      <c r="AJ3684">
        <v>38.803389000000003</v>
      </c>
      <c r="AK3684" t="s">
        <v>1570</v>
      </c>
      <c r="AL3684">
        <v>-87.604680000000002</v>
      </c>
      <c r="AM3684">
        <v>100</v>
      </c>
      <c r="AN3684">
        <v>1100</v>
      </c>
      <c r="AO3684" t="s">
        <v>118</v>
      </c>
      <c r="AP3684">
        <v>-15</v>
      </c>
      <c r="AQ3684">
        <v>-110</v>
      </c>
      <c r="AR3684">
        <v>-1088</v>
      </c>
      <c r="AZ3684">
        <v>4552</v>
      </c>
      <c r="BA3684">
        <v>1</v>
      </c>
      <c r="BB3684" t="str">
        <f t="shared" si="1605"/>
        <v xml:space="preserve">N607SR  </v>
      </c>
      <c r="BC3684">
        <v>1</v>
      </c>
      <c r="BE3684">
        <v>0</v>
      </c>
      <c r="BF3684">
        <v>0</v>
      </c>
      <c r="BG3684">
        <v>0</v>
      </c>
      <c r="BH3684">
        <v>825</v>
      </c>
      <c r="BI3684">
        <v>1</v>
      </c>
      <c r="BJ3684">
        <v>1</v>
      </c>
      <c r="BK3684">
        <v>1</v>
      </c>
      <c r="BL3684">
        <v>0</v>
      </c>
      <c r="BO3684">
        <v>0</v>
      </c>
      <c r="BP3684">
        <v>0</v>
      </c>
      <c r="BW3684" t="str">
        <f>"06:22:37.187"</f>
        <v>06:22:37.187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5</v>
      </c>
      <c r="CP3684" t="s">
        <v>119</v>
      </c>
      <c r="CQ3684">
        <v>457</v>
      </c>
      <c r="CR3684">
        <v>0</v>
      </c>
      <c r="CW3684">
        <v>15527523</v>
      </c>
      <c r="CY3684">
        <v>1</v>
      </c>
      <c r="CZ3684">
        <v>0</v>
      </c>
      <c r="DA3684">
        <v>0</v>
      </c>
      <c r="DB3684">
        <v>0</v>
      </c>
      <c r="DC3684">
        <v>0</v>
      </c>
      <c r="DD3684">
        <v>0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3">
      <c r="A3685" t="str">
        <f>"08/29/2020 06:22:33.988"</f>
        <v>08/29/2020 06:22:33.988</v>
      </c>
      <c r="C3685" t="str">
        <f t="shared" si="1603"/>
        <v>FFDFD3C0</v>
      </c>
      <c r="D3685" t="s">
        <v>121</v>
      </c>
      <c r="E3685">
        <v>13</v>
      </c>
      <c r="F3685">
        <v>1013</v>
      </c>
      <c r="G3685" t="s">
        <v>122</v>
      </c>
      <c r="J3685" t="s">
        <v>123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"06:22:37.180"</f>
        <v>06:22:37.180</v>
      </c>
      <c r="U3685" t="str">
        <f t="shared" si="1604"/>
        <v>A7E2E0</v>
      </c>
      <c r="V3685">
        <v>0</v>
      </c>
      <c r="W3685">
        <v>0</v>
      </c>
      <c r="X3685">
        <v>1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0</v>
      </c>
      <c r="AI3685" t="s">
        <v>1670</v>
      </c>
      <c r="AJ3685">
        <v>38.803389000000003</v>
      </c>
      <c r="AK3685" t="s">
        <v>1570</v>
      </c>
      <c r="AL3685">
        <v>-87.604680000000002</v>
      </c>
      <c r="AM3685">
        <v>100</v>
      </c>
      <c r="AN3685">
        <v>1100</v>
      </c>
      <c r="AO3685" t="s">
        <v>118</v>
      </c>
      <c r="AP3685">
        <v>-15</v>
      </c>
      <c r="AQ3685">
        <v>-110</v>
      </c>
      <c r="AR3685">
        <v>-1024</v>
      </c>
      <c r="AZ3685">
        <v>4552</v>
      </c>
      <c r="BA3685">
        <v>1</v>
      </c>
      <c r="BB3685" t="str">
        <f t="shared" si="1605"/>
        <v xml:space="preserve">N607SR  </v>
      </c>
      <c r="BC3685">
        <v>1</v>
      </c>
      <c r="BE3685">
        <v>0</v>
      </c>
      <c r="BF3685">
        <v>0</v>
      </c>
      <c r="BG3685">
        <v>0</v>
      </c>
      <c r="BH3685">
        <v>825</v>
      </c>
      <c r="BI3685">
        <v>1</v>
      </c>
      <c r="BJ3685">
        <v>1</v>
      </c>
      <c r="BK3685">
        <v>1</v>
      </c>
      <c r="BL3685">
        <v>0</v>
      </c>
      <c r="BO3685">
        <v>0</v>
      </c>
      <c r="BP3685">
        <v>0</v>
      </c>
      <c r="BW3685" t="str">
        <f>"06:22:37.187"</f>
        <v>06:22:37.187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4</v>
      </c>
      <c r="CP3685" t="s">
        <v>119</v>
      </c>
      <c r="CQ3685">
        <v>517</v>
      </c>
      <c r="CR3685">
        <v>1</v>
      </c>
      <c r="CW3685">
        <v>2492184</v>
      </c>
      <c r="CY3685">
        <v>1</v>
      </c>
      <c r="CZ3685">
        <v>0</v>
      </c>
      <c r="DA3685">
        <v>1</v>
      </c>
      <c r="DB3685">
        <v>0</v>
      </c>
      <c r="DC3685">
        <v>0</v>
      </c>
      <c r="DD3685">
        <v>0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3">
      <c r="A3686" t="str">
        <f>"08/29/2020 06:22:33.988"</f>
        <v>08/29/2020 06:22:33.988</v>
      </c>
      <c r="C3686" t="str">
        <f t="shared" si="1603"/>
        <v>FFDFD3C0</v>
      </c>
      <c r="D3686" t="s">
        <v>121</v>
      </c>
      <c r="E3686">
        <v>10</v>
      </c>
      <c r="F3686">
        <v>1010</v>
      </c>
      <c r="G3686" t="s">
        <v>114</v>
      </c>
      <c r="J3686" t="s">
        <v>123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"06:22:37.180"</f>
        <v>06:22:37.180</v>
      </c>
      <c r="U3686" t="str">
        <f t="shared" si="1604"/>
        <v>A7E2E0</v>
      </c>
      <c r="V3686">
        <v>0</v>
      </c>
      <c r="W3686">
        <v>0</v>
      </c>
      <c r="X3686">
        <v>1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0</v>
      </c>
      <c r="AI3686" t="s">
        <v>1670</v>
      </c>
      <c r="AJ3686">
        <v>38.803389000000003</v>
      </c>
      <c r="AK3686" t="s">
        <v>1570</v>
      </c>
      <c r="AL3686">
        <v>-87.604680000000002</v>
      </c>
      <c r="AM3686">
        <v>100</v>
      </c>
      <c r="AN3686">
        <v>1100</v>
      </c>
      <c r="AO3686" t="s">
        <v>118</v>
      </c>
      <c r="AP3686">
        <v>-15</v>
      </c>
      <c r="AQ3686">
        <v>-110</v>
      </c>
      <c r="AR3686">
        <v>-1024</v>
      </c>
      <c r="AZ3686">
        <v>4552</v>
      </c>
      <c r="BA3686">
        <v>1</v>
      </c>
      <c r="BB3686" t="str">
        <f t="shared" si="1605"/>
        <v xml:space="preserve">N607SR  </v>
      </c>
      <c r="BC3686">
        <v>1</v>
      </c>
      <c r="BE3686">
        <v>0</v>
      </c>
      <c r="BF3686">
        <v>0</v>
      </c>
      <c r="BG3686">
        <v>0</v>
      </c>
      <c r="BH3686">
        <v>825</v>
      </c>
      <c r="BI3686">
        <v>1</v>
      </c>
      <c r="BJ3686">
        <v>1</v>
      </c>
      <c r="BK3686">
        <v>1</v>
      </c>
      <c r="BL3686">
        <v>0</v>
      </c>
      <c r="BO3686">
        <v>0</v>
      </c>
      <c r="BP3686">
        <v>0</v>
      </c>
      <c r="BW3686" t="str">
        <f>"06:22:37.187"</f>
        <v>06:22:37.187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4</v>
      </c>
      <c r="CP3686" t="s">
        <v>119</v>
      </c>
      <c r="CQ3686">
        <v>517</v>
      </c>
      <c r="CR3686">
        <v>1</v>
      </c>
      <c r="CW3686">
        <v>2492184</v>
      </c>
      <c r="CY3686">
        <v>1</v>
      </c>
      <c r="CZ3686">
        <v>0</v>
      </c>
      <c r="DA3686">
        <v>1</v>
      </c>
      <c r="DB3686">
        <v>0</v>
      </c>
      <c r="DC3686">
        <v>0</v>
      </c>
      <c r="DD3686">
        <v>0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3">
      <c r="A3687" t="str">
        <f>"08/29/2020 06:22:33.988"</f>
        <v>08/29/2020 06:22:33.988</v>
      </c>
      <c r="C3687" t="str">
        <f t="shared" si="1603"/>
        <v>FFDFD3C0</v>
      </c>
      <c r="D3687" t="s">
        <v>113</v>
      </c>
      <c r="E3687">
        <v>5</v>
      </c>
      <c r="H3687">
        <v>163</v>
      </c>
      <c r="I3687" t="s">
        <v>114</v>
      </c>
      <c r="J3687" t="s">
        <v>115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"06:22:37.180"</f>
        <v>06:22:37.180</v>
      </c>
      <c r="U3687" t="str">
        <f t="shared" si="1604"/>
        <v>A7E2E0</v>
      </c>
      <c r="V3687">
        <v>0</v>
      </c>
      <c r="W3687">
        <v>0</v>
      </c>
      <c r="X3687">
        <v>1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0</v>
      </c>
      <c r="AI3687" t="s">
        <v>1670</v>
      </c>
      <c r="AJ3687">
        <v>38.803389000000003</v>
      </c>
      <c r="AK3687" t="s">
        <v>1570</v>
      </c>
      <c r="AL3687">
        <v>-87.604680000000002</v>
      </c>
      <c r="AM3687">
        <v>100</v>
      </c>
      <c r="AN3687">
        <v>1100</v>
      </c>
      <c r="AO3687" t="s">
        <v>118</v>
      </c>
      <c r="AP3687">
        <v>-15</v>
      </c>
      <c r="AQ3687">
        <v>-110</v>
      </c>
      <c r="AR3687">
        <v>-1024</v>
      </c>
      <c r="AZ3687">
        <v>4552</v>
      </c>
      <c r="BA3687">
        <v>1</v>
      </c>
      <c r="BB3687" t="str">
        <f t="shared" si="1605"/>
        <v xml:space="preserve">N607SR  </v>
      </c>
      <c r="BC3687">
        <v>1</v>
      </c>
      <c r="BE3687">
        <v>0</v>
      </c>
      <c r="BF3687">
        <v>0</v>
      </c>
      <c r="BG3687">
        <v>0</v>
      </c>
      <c r="BH3687">
        <v>825</v>
      </c>
      <c r="BI3687">
        <v>1</v>
      </c>
      <c r="BJ3687">
        <v>1</v>
      </c>
      <c r="BK3687">
        <v>1</v>
      </c>
      <c r="BL3687">
        <v>0</v>
      </c>
      <c r="BO3687">
        <v>0</v>
      </c>
      <c r="BP3687">
        <v>0</v>
      </c>
      <c r="BW3687" t="str">
        <f>"06:22:37.187"</f>
        <v>06:22:37.187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4</v>
      </c>
      <c r="CP3687" t="s">
        <v>119</v>
      </c>
      <c r="CQ3687">
        <v>517</v>
      </c>
      <c r="CR3687">
        <v>1</v>
      </c>
      <c r="CW3687">
        <v>2492184</v>
      </c>
      <c r="CY3687">
        <v>1</v>
      </c>
      <c r="CZ3687">
        <v>0</v>
      </c>
      <c r="DA3687">
        <v>1</v>
      </c>
      <c r="DB3687">
        <v>0</v>
      </c>
      <c r="DC3687">
        <v>0</v>
      </c>
      <c r="DD3687">
        <v>0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3">
      <c r="A3688" t="str">
        <f>"08/29/2020 06:22:33.988"</f>
        <v>08/29/2020 06:22:33.988</v>
      </c>
      <c r="C3688" t="str">
        <f t="shared" si="1603"/>
        <v>FFDFD3C0</v>
      </c>
      <c r="D3688" t="s">
        <v>128</v>
      </c>
      <c r="E3688">
        <v>5</v>
      </c>
      <c r="H3688">
        <v>241</v>
      </c>
      <c r="I3688" t="s">
        <v>129</v>
      </c>
      <c r="J3688" t="s">
        <v>130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"06:22:37.180"</f>
        <v>06:22:37.180</v>
      </c>
      <c r="U3688" t="str">
        <f t="shared" si="1604"/>
        <v>A7E2E0</v>
      </c>
      <c r="V3688">
        <v>0</v>
      </c>
      <c r="W3688">
        <v>0</v>
      </c>
      <c r="X3688">
        <v>1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3</v>
      </c>
      <c r="AG3688">
        <v>2</v>
      </c>
      <c r="AH3688">
        <v>0</v>
      </c>
      <c r="AI3688" t="s">
        <v>1670</v>
      </c>
      <c r="AJ3688">
        <v>38.803389000000003</v>
      </c>
      <c r="AK3688" t="s">
        <v>1570</v>
      </c>
      <c r="AL3688">
        <v>-87.604680000000002</v>
      </c>
      <c r="AM3688">
        <v>100</v>
      </c>
      <c r="AN3688">
        <v>1100</v>
      </c>
      <c r="AO3688" t="s">
        <v>118</v>
      </c>
      <c r="AP3688">
        <v>-15</v>
      </c>
      <c r="AQ3688">
        <v>-110</v>
      </c>
      <c r="AR3688">
        <v>-1024</v>
      </c>
      <c r="AZ3688">
        <v>4552</v>
      </c>
      <c r="BA3688">
        <v>1</v>
      </c>
      <c r="BB3688" t="str">
        <f t="shared" si="1605"/>
        <v xml:space="preserve">N607SR  </v>
      </c>
      <c r="BC3688">
        <v>1</v>
      </c>
      <c r="BE3688">
        <v>0</v>
      </c>
      <c r="BF3688">
        <v>0</v>
      </c>
      <c r="BG3688">
        <v>0</v>
      </c>
      <c r="BH3688">
        <v>825</v>
      </c>
      <c r="BI3688">
        <v>1</v>
      </c>
      <c r="BJ3688">
        <v>1</v>
      </c>
      <c r="BK3688">
        <v>1</v>
      </c>
      <c r="BL3688">
        <v>0</v>
      </c>
      <c r="BO3688">
        <v>0</v>
      </c>
      <c r="BP3688">
        <v>0</v>
      </c>
      <c r="BW3688" t="str">
        <f>"06:22:37.187"</f>
        <v>06:22:37.187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4</v>
      </c>
      <c r="CP3688" t="s">
        <v>119</v>
      </c>
      <c r="CQ3688">
        <v>517</v>
      </c>
      <c r="CR3688">
        <v>1</v>
      </c>
      <c r="CW3688">
        <v>2492184</v>
      </c>
      <c r="CY3688">
        <v>1</v>
      </c>
      <c r="CZ3688">
        <v>0</v>
      </c>
      <c r="DA3688">
        <v>1</v>
      </c>
      <c r="DB3688">
        <v>0</v>
      </c>
      <c r="DC3688">
        <v>0</v>
      </c>
      <c r="DD3688">
        <v>0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3">
      <c r="A3689" t="str">
        <f>"08/29/2020 06:22:35.123"</f>
        <v>08/29/2020 06:22:35.123</v>
      </c>
      <c r="C3689" t="str">
        <f t="shared" si="1603"/>
        <v>FFDFD3C0</v>
      </c>
      <c r="D3689" t="s">
        <v>113</v>
      </c>
      <c r="E3689">
        <v>5</v>
      </c>
      <c r="H3689">
        <v>163</v>
      </c>
      <c r="I3689" t="s">
        <v>114</v>
      </c>
      <c r="J3689" t="s">
        <v>115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"06:22:38.313"</f>
        <v>06:22:38.313</v>
      </c>
      <c r="T3689" t="str">
        <f>"06:22:37.813"</f>
        <v>06:22:37.813</v>
      </c>
      <c r="U3689" t="str">
        <f t="shared" si="1604"/>
        <v>A7E2E0</v>
      </c>
      <c r="V3689">
        <v>0</v>
      </c>
      <c r="W3689">
        <v>0</v>
      </c>
      <c r="X3689">
        <v>1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0</v>
      </c>
      <c r="AI3689" t="s">
        <v>1671</v>
      </c>
      <c r="AJ3689">
        <v>38.802788</v>
      </c>
      <c r="AK3689" t="s">
        <v>1672</v>
      </c>
      <c r="AL3689">
        <v>-87.604743999999997</v>
      </c>
      <c r="AM3689">
        <v>100</v>
      </c>
      <c r="AN3689">
        <v>1000</v>
      </c>
      <c r="AO3689" t="s">
        <v>118</v>
      </c>
      <c r="AP3689">
        <v>-15</v>
      </c>
      <c r="AQ3689">
        <v>-109</v>
      </c>
      <c r="AR3689">
        <v>-960</v>
      </c>
      <c r="AZ3689">
        <v>4552</v>
      </c>
      <c r="BA3689">
        <v>1</v>
      </c>
      <c r="BB3689" t="str">
        <f t="shared" si="1605"/>
        <v xml:space="preserve">N607SR  </v>
      </c>
      <c r="BC3689">
        <v>1</v>
      </c>
      <c r="BE3689">
        <v>0</v>
      </c>
      <c r="BF3689">
        <v>0</v>
      </c>
      <c r="BG3689">
        <v>0</v>
      </c>
      <c r="BH3689">
        <v>700</v>
      </c>
      <c r="BI3689">
        <v>1</v>
      </c>
      <c r="BJ3689">
        <v>1</v>
      </c>
      <c r="BK3689">
        <v>1</v>
      </c>
      <c r="BL3689">
        <v>0</v>
      </c>
      <c r="BO3689">
        <v>0</v>
      </c>
      <c r="BP3689">
        <v>0</v>
      </c>
      <c r="BW3689" t="str">
        <f>"06:22:38.318"</f>
        <v>06:22:38.318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6</v>
      </c>
      <c r="CP3689" t="s">
        <v>119</v>
      </c>
      <c r="CQ3689">
        <v>457</v>
      </c>
      <c r="CR3689">
        <v>0</v>
      </c>
      <c r="CW3689">
        <v>15527558</v>
      </c>
      <c r="CY3689">
        <v>1</v>
      </c>
      <c r="CZ3689">
        <v>0</v>
      </c>
      <c r="DA3689">
        <v>0</v>
      </c>
      <c r="DB3689">
        <v>0</v>
      </c>
      <c r="DC3689">
        <v>0</v>
      </c>
      <c r="DD3689">
        <v>0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3">
      <c r="A3690" t="str">
        <f>"08/29/2020 06:22:35.123"</f>
        <v>08/29/2020 06:22:35.123</v>
      </c>
      <c r="C3690" t="str">
        <f t="shared" si="1603"/>
        <v>FFDFD3C0</v>
      </c>
      <c r="D3690" t="s">
        <v>128</v>
      </c>
      <c r="E3690">
        <v>5</v>
      </c>
      <c r="H3690">
        <v>241</v>
      </c>
      <c r="I3690" t="s">
        <v>129</v>
      </c>
      <c r="J3690" t="s">
        <v>130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"06:22:38.313"</f>
        <v>06:22:38.313</v>
      </c>
      <c r="T3690" t="str">
        <f>"06:22:37.813"</f>
        <v>06:22:37.813</v>
      </c>
      <c r="U3690" t="str">
        <f t="shared" si="1604"/>
        <v>A7E2E0</v>
      </c>
      <c r="V3690">
        <v>0</v>
      </c>
      <c r="W3690">
        <v>0</v>
      </c>
      <c r="X3690">
        <v>1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0</v>
      </c>
      <c r="AI3690" t="s">
        <v>1671</v>
      </c>
      <c r="AJ3690">
        <v>38.802788</v>
      </c>
      <c r="AK3690" t="s">
        <v>1672</v>
      </c>
      <c r="AL3690">
        <v>-87.604743999999997</v>
      </c>
      <c r="AM3690">
        <v>100</v>
      </c>
      <c r="AN3690">
        <v>1000</v>
      </c>
      <c r="AO3690" t="s">
        <v>118</v>
      </c>
      <c r="AP3690">
        <v>-15</v>
      </c>
      <c r="AQ3690">
        <v>-109</v>
      </c>
      <c r="AR3690">
        <v>-960</v>
      </c>
      <c r="AZ3690">
        <v>4552</v>
      </c>
      <c r="BA3690">
        <v>1</v>
      </c>
      <c r="BB3690" t="str">
        <f t="shared" si="1605"/>
        <v xml:space="preserve">N607SR  </v>
      </c>
      <c r="BC3690">
        <v>1</v>
      </c>
      <c r="BE3690">
        <v>0</v>
      </c>
      <c r="BF3690">
        <v>0</v>
      </c>
      <c r="BG3690">
        <v>0</v>
      </c>
      <c r="BH3690">
        <v>700</v>
      </c>
      <c r="BI3690">
        <v>1</v>
      </c>
      <c r="BJ3690">
        <v>1</v>
      </c>
      <c r="BK3690">
        <v>1</v>
      </c>
      <c r="BL3690">
        <v>0</v>
      </c>
      <c r="BO3690">
        <v>0</v>
      </c>
      <c r="BP3690">
        <v>0</v>
      </c>
      <c r="BW3690" t="str">
        <f>"06:22:38.318"</f>
        <v>06:22:38.318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6</v>
      </c>
      <c r="CP3690" t="s">
        <v>119</v>
      </c>
      <c r="CQ3690">
        <v>457</v>
      </c>
      <c r="CR3690">
        <v>0</v>
      </c>
      <c r="CW3690">
        <v>15527558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0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3">
      <c r="A3691" t="str">
        <f>"08/29/2020 06:22:35.123"</f>
        <v>08/29/2020 06:22:35.123</v>
      </c>
      <c r="C3691" t="str">
        <f t="shared" si="1603"/>
        <v>FFDFD3C0</v>
      </c>
      <c r="D3691" t="s">
        <v>121</v>
      </c>
      <c r="E3691">
        <v>10</v>
      </c>
      <c r="F3691">
        <v>1010</v>
      </c>
      <c r="G3691" t="s">
        <v>114</v>
      </c>
      <c r="J3691" t="s">
        <v>123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"06:22:38.313"</f>
        <v>06:22:38.313</v>
      </c>
      <c r="T3691" t="str">
        <f>"06:22:37.813"</f>
        <v>06:22:37.813</v>
      </c>
      <c r="U3691" t="str">
        <f t="shared" si="1604"/>
        <v>A7E2E0</v>
      </c>
      <c r="V3691">
        <v>0</v>
      </c>
      <c r="W3691">
        <v>0</v>
      </c>
      <c r="X3691">
        <v>1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0</v>
      </c>
      <c r="AI3691" t="s">
        <v>1671</v>
      </c>
      <c r="AJ3691">
        <v>38.802788</v>
      </c>
      <c r="AK3691" t="s">
        <v>1672</v>
      </c>
      <c r="AL3691">
        <v>-87.604743999999997</v>
      </c>
      <c r="AM3691">
        <v>100</v>
      </c>
      <c r="AN3691">
        <v>1000</v>
      </c>
      <c r="AO3691" t="s">
        <v>118</v>
      </c>
      <c r="AP3691">
        <v>-15</v>
      </c>
      <c r="AQ3691">
        <v>-109</v>
      </c>
      <c r="AR3691">
        <v>-960</v>
      </c>
      <c r="AZ3691">
        <v>4552</v>
      </c>
      <c r="BA3691">
        <v>1</v>
      </c>
      <c r="BB3691" t="str">
        <f t="shared" si="1605"/>
        <v xml:space="preserve">N607SR  </v>
      </c>
      <c r="BC3691">
        <v>1</v>
      </c>
      <c r="BE3691">
        <v>0</v>
      </c>
      <c r="BF3691">
        <v>0</v>
      </c>
      <c r="BG3691">
        <v>0</v>
      </c>
      <c r="BH3691">
        <v>700</v>
      </c>
      <c r="BI3691">
        <v>1</v>
      </c>
      <c r="BJ3691">
        <v>1</v>
      </c>
      <c r="BK3691">
        <v>1</v>
      </c>
      <c r="BL3691">
        <v>0</v>
      </c>
      <c r="BO3691">
        <v>0</v>
      </c>
      <c r="BP3691">
        <v>0</v>
      </c>
      <c r="BW3691" t="str">
        <f>"06:22:38.318"</f>
        <v>06:22:38.318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6</v>
      </c>
      <c r="CP3691" t="s">
        <v>119</v>
      </c>
      <c r="CQ3691">
        <v>457</v>
      </c>
      <c r="CR3691">
        <v>0</v>
      </c>
      <c r="CW3691">
        <v>15527558</v>
      </c>
      <c r="CY3691">
        <v>1</v>
      </c>
      <c r="CZ3691">
        <v>0</v>
      </c>
      <c r="DA3691">
        <v>1</v>
      </c>
      <c r="DB3691">
        <v>0</v>
      </c>
      <c r="DC3691">
        <v>0</v>
      </c>
      <c r="DD3691">
        <v>0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3">
      <c r="A3692" t="str">
        <f>"08/29/2020 06:22:35.123"</f>
        <v>08/29/2020 06:22:35.123</v>
      </c>
      <c r="C3692" t="str">
        <f t="shared" si="1603"/>
        <v>FFDFD3C0</v>
      </c>
      <c r="D3692" t="s">
        <v>121</v>
      </c>
      <c r="E3692">
        <v>13</v>
      </c>
      <c r="F3692">
        <v>1013</v>
      </c>
      <c r="G3692" t="s">
        <v>122</v>
      </c>
      <c r="J3692" t="s">
        <v>123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"06:22:38.313"</f>
        <v>06:22:38.313</v>
      </c>
      <c r="T3692" t="str">
        <f>"06:22:37.813"</f>
        <v>06:22:37.813</v>
      </c>
      <c r="U3692" t="str">
        <f t="shared" si="1604"/>
        <v>A7E2E0</v>
      </c>
      <c r="V3692">
        <v>0</v>
      </c>
      <c r="W3692">
        <v>0</v>
      </c>
      <c r="X3692">
        <v>1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0</v>
      </c>
      <c r="AI3692" t="s">
        <v>1671</v>
      </c>
      <c r="AJ3692">
        <v>38.802788</v>
      </c>
      <c r="AK3692" t="s">
        <v>1672</v>
      </c>
      <c r="AL3692">
        <v>-87.604743999999997</v>
      </c>
      <c r="AM3692">
        <v>100</v>
      </c>
      <c r="AN3692">
        <v>1000</v>
      </c>
      <c r="AO3692" t="s">
        <v>118</v>
      </c>
      <c r="AP3692">
        <v>-15</v>
      </c>
      <c r="AQ3692">
        <v>-109</v>
      </c>
      <c r="AR3692">
        <v>-960</v>
      </c>
      <c r="AZ3692">
        <v>4552</v>
      </c>
      <c r="BA3692">
        <v>1</v>
      </c>
      <c r="BB3692" t="str">
        <f t="shared" si="1605"/>
        <v xml:space="preserve">N607SR  </v>
      </c>
      <c r="BC3692">
        <v>1</v>
      </c>
      <c r="BE3692">
        <v>0</v>
      </c>
      <c r="BF3692">
        <v>0</v>
      </c>
      <c r="BG3692">
        <v>0</v>
      </c>
      <c r="BH3692">
        <v>700</v>
      </c>
      <c r="BI3692">
        <v>1</v>
      </c>
      <c r="BJ3692">
        <v>1</v>
      </c>
      <c r="BK3692">
        <v>1</v>
      </c>
      <c r="BL3692">
        <v>0</v>
      </c>
      <c r="BO3692">
        <v>0</v>
      </c>
      <c r="BP3692">
        <v>0</v>
      </c>
      <c r="BW3692" t="str">
        <f>"06:22:38.318"</f>
        <v>06:22:38.318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6</v>
      </c>
      <c r="CP3692" t="s">
        <v>119</v>
      </c>
      <c r="CQ3692">
        <v>457</v>
      </c>
      <c r="CR3692">
        <v>0</v>
      </c>
      <c r="CW3692">
        <v>15527558</v>
      </c>
      <c r="CY3692">
        <v>1</v>
      </c>
      <c r="CZ3692">
        <v>0</v>
      </c>
      <c r="DA3692">
        <v>1</v>
      </c>
      <c r="DB3692">
        <v>0</v>
      </c>
      <c r="DC3692">
        <v>0</v>
      </c>
      <c r="DD3692">
        <v>0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3">
      <c r="A3693" t="str">
        <f>"08/29/2020 06:22:35.123"</f>
        <v>08/29/2020 06:22:35.123</v>
      </c>
      <c r="C3693" t="str">
        <f t="shared" si="1603"/>
        <v>FFDFD3C0</v>
      </c>
      <c r="D3693" t="s">
        <v>121</v>
      </c>
      <c r="E3693">
        <v>11</v>
      </c>
      <c r="F3693">
        <v>1011</v>
      </c>
      <c r="G3693" t="s">
        <v>125</v>
      </c>
      <c r="J3693" t="s">
        <v>123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"06:22:38.313"</f>
        <v>06:22:38.313</v>
      </c>
      <c r="T3693" t="str">
        <f>"06:22:37.813"</f>
        <v>06:22:37.813</v>
      </c>
      <c r="U3693" t="str">
        <f t="shared" si="1604"/>
        <v>A7E2E0</v>
      </c>
      <c r="V3693">
        <v>0</v>
      </c>
      <c r="W3693">
        <v>0</v>
      </c>
      <c r="X3693">
        <v>1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0</v>
      </c>
      <c r="AI3693" t="s">
        <v>1671</v>
      </c>
      <c r="AJ3693">
        <v>38.802788</v>
      </c>
      <c r="AK3693" t="s">
        <v>1672</v>
      </c>
      <c r="AL3693">
        <v>-87.604743999999997</v>
      </c>
      <c r="AM3693">
        <v>100</v>
      </c>
      <c r="AN3693">
        <v>1000</v>
      </c>
      <c r="AO3693" t="s">
        <v>118</v>
      </c>
      <c r="AP3693">
        <v>-15</v>
      </c>
      <c r="AQ3693">
        <v>-109</v>
      </c>
      <c r="AR3693">
        <v>-960</v>
      </c>
      <c r="AZ3693">
        <v>4552</v>
      </c>
      <c r="BA3693">
        <v>1</v>
      </c>
      <c r="BB3693" t="str">
        <f t="shared" si="1605"/>
        <v xml:space="preserve">N607SR  </v>
      </c>
      <c r="BC3693">
        <v>1</v>
      </c>
      <c r="BE3693">
        <v>0</v>
      </c>
      <c r="BF3693">
        <v>0</v>
      </c>
      <c r="BG3693">
        <v>0</v>
      </c>
      <c r="BH3693">
        <v>700</v>
      </c>
      <c r="BI3693">
        <v>1</v>
      </c>
      <c r="BJ3693">
        <v>1</v>
      </c>
      <c r="BK3693">
        <v>1</v>
      </c>
      <c r="BL3693">
        <v>0</v>
      </c>
      <c r="BO3693">
        <v>0</v>
      </c>
      <c r="BP3693">
        <v>0</v>
      </c>
      <c r="BW3693" t="str">
        <f>"06:22:38.318"</f>
        <v>06:22:38.318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6</v>
      </c>
      <c r="CP3693" t="s">
        <v>119</v>
      </c>
      <c r="CQ3693">
        <v>457</v>
      </c>
      <c r="CR3693">
        <v>0</v>
      </c>
      <c r="CW3693">
        <v>15527558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0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3">
      <c r="A3694" t="str">
        <f>"08/29/2020 06:22:36.188"</f>
        <v>08/29/2020 06:22:36.188</v>
      </c>
      <c r="C3694" t="str">
        <f t="shared" si="1603"/>
        <v>FFDFD3C0</v>
      </c>
      <c r="D3694" t="s">
        <v>113</v>
      </c>
      <c r="E3694">
        <v>5</v>
      </c>
      <c r="H3694">
        <v>163</v>
      </c>
      <c r="I3694" t="s">
        <v>114</v>
      </c>
      <c r="J3694" t="s">
        <v>115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"06:22:39.391"</f>
        <v>06:22:39.391</v>
      </c>
      <c r="T3694" t="str">
        <f>"06:22:38.891"</f>
        <v>06:22:38.891</v>
      </c>
      <c r="U3694" t="str">
        <f t="shared" si="1604"/>
        <v>A7E2E0</v>
      </c>
      <c r="V3694">
        <v>0</v>
      </c>
      <c r="W3694">
        <v>0</v>
      </c>
      <c r="X3694">
        <v>1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0</v>
      </c>
      <c r="AI3694" t="s">
        <v>1673</v>
      </c>
      <c r="AJ3694">
        <v>38.802295000000001</v>
      </c>
      <c r="AK3694" t="s">
        <v>1674</v>
      </c>
      <c r="AL3694">
        <v>-87.604851999999994</v>
      </c>
      <c r="AM3694">
        <v>100</v>
      </c>
      <c r="AN3694">
        <v>1000</v>
      </c>
      <c r="AO3694" t="s">
        <v>118</v>
      </c>
      <c r="AP3694">
        <v>-15</v>
      </c>
      <c r="AQ3694">
        <v>-109</v>
      </c>
      <c r="AR3694">
        <v>-896</v>
      </c>
      <c r="AZ3694">
        <v>4552</v>
      </c>
      <c r="BA3694">
        <v>1</v>
      </c>
      <c r="BB3694" t="str">
        <f t="shared" si="1605"/>
        <v xml:space="preserve">N607SR  </v>
      </c>
      <c r="BC3694">
        <v>1</v>
      </c>
      <c r="BE3694">
        <v>0</v>
      </c>
      <c r="BF3694">
        <v>0</v>
      </c>
      <c r="BG3694">
        <v>0</v>
      </c>
      <c r="BH3694">
        <v>800</v>
      </c>
      <c r="BI3694">
        <v>1</v>
      </c>
      <c r="BJ3694">
        <v>1</v>
      </c>
      <c r="BK3694">
        <v>1</v>
      </c>
      <c r="BL3694">
        <v>0</v>
      </c>
      <c r="BO3694">
        <v>0</v>
      </c>
      <c r="BP3694">
        <v>0</v>
      </c>
      <c r="BW3694" t="str">
        <f>"06:22:39.392"</f>
        <v>06:22:39.392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5</v>
      </c>
      <c r="CP3694" t="s">
        <v>119</v>
      </c>
      <c r="CQ3694">
        <v>457</v>
      </c>
      <c r="CR3694">
        <v>0</v>
      </c>
      <c r="CW3694">
        <v>15527587</v>
      </c>
      <c r="CY3694">
        <v>1</v>
      </c>
      <c r="CZ3694">
        <v>0</v>
      </c>
      <c r="DA3694">
        <v>0</v>
      </c>
      <c r="DB3694">
        <v>0</v>
      </c>
      <c r="DC3694">
        <v>0</v>
      </c>
      <c r="DD3694">
        <v>0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3">
      <c r="A3695" t="str">
        <f>"08/29/2020 06:22:36.188"</f>
        <v>08/29/2020 06:22:36.188</v>
      </c>
      <c r="C3695" t="str">
        <f t="shared" si="1603"/>
        <v>FFDFD3C0</v>
      </c>
      <c r="D3695" t="s">
        <v>128</v>
      </c>
      <c r="E3695">
        <v>5</v>
      </c>
      <c r="H3695">
        <v>241</v>
      </c>
      <c r="I3695" t="s">
        <v>129</v>
      </c>
      <c r="J3695" t="s">
        <v>130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"06:22:39.391"</f>
        <v>06:22:39.391</v>
      </c>
      <c r="T3695" t="str">
        <f>"06:22:38.891"</f>
        <v>06:22:38.891</v>
      </c>
      <c r="U3695" t="str">
        <f t="shared" si="1604"/>
        <v>A7E2E0</v>
      </c>
      <c r="V3695">
        <v>0</v>
      </c>
      <c r="W3695">
        <v>0</v>
      </c>
      <c r="X3695">
        <v>1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3</v>
      </c>
      <c r="AG3695">
        <v>2</v>
      </c>
      <c r="AH3695">
        <v>0</v>
      </c>
      <c r="AI3695" t="s">
        <v>1673</v>
      </c>
      <c r="AJ3695">
        <v>38.802295000000001</v>
      </c>
      <c r="AK3695" t="s">
        <v>1674</v>
      </c>
      <c r="AL3695">
        <v>-87.604851999999994</v>
      </c>
      <c r="AM3695">
        <v>100</v>
      </c>
      <c r="AN3695">
        <v>1000</v>
      </c>
      <c r="AO3695" t="s">
        <v>118</v>
      </c>
      <c r="AP3695">
        <v>-15</v>
      </c>
      <c r="AQ3695">
        <v>-109</v>
      </c>
      <c r="AR3695">
        <v>-896</v>
      </c>
      <c r="AZ3695">
        <v>4552</v>
      </c>
      <c r="BA3695">
        <v>1</v>
      </c>
      <c r="BB3695" t="str">
        <f t="shared" si="1605"/>
        <v xml:space="preserve">N607SR  </v>
      </c>
      <c r="BC3695">
        <v>1</v>
      </c>
      <c r="BE3695">
        <v>0</v>
      </c>
      <c r="BF3695">
        <v>0</v>
      </c>
      <c r="BG3695">
        <v>0</v>
      </c>
      <c r="BH3695">
        <v>800</v>
      </c>
      <c r="BI3695">
        <v>1</v>
      </c>
      <c r="BJ3695">
        <v>1</v>
      </c>
      <c r="BK3695">
        <v>1</v>
      </c>
      <c r="BL3695">
        <v>0</v>
      </c>
      <c r="BO3695">
        <v>0</v>
      </c>
      <c r="BP3695">
        <v>0</v>
      </c>
      <c r="BW3695" t="str">
        <f>"06:22:39.392"</f>
        <v>06:22:39.392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5</v>
      </c>
      <c r="CP3695" t="s">
        <v>119</v>
      </c>
      <c r="CQ3695">
        <v>457</v>
      </c>
      <c r="CR3695">
        <v>0</v>
      </c>
      <c r="CW3695">
        <v>15527587</v>
      </c>
      <c r="CY3695">
        <v>1</v>
      </c>
      <c r="CZ3695">
        <v>0</v>
      </c>
      <c r="DA3695">
        <v>1</v>
      </c>
      <c r="DB3695">
        <v>0</v>
      </c>
      <c r="DC3695">
        <v>0</v>
      </c>
      <c r="DD3695">
        <v>0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3">
      <c r="A3696" t="str">
        <f>"08/29/2020 06:22:36.188"</f>
        <v>08/29/2020 06:22:36.188</v>
      </c>
      <c r="C3696" t="str">
        <f t="shared" si="1603"/>
        <v>FFDFD3C0</v>
      </c>
      <c r="D3696" t="s">
        <v>121</v>
      </c>
      <c r="E3696">
        <v>10</v>
      </c>
      <c r="F3696">
        <v>1010</v>
      </c>
      <c r="G3696" t="s">
        <v>114</v>
      </c>
      <c r="J3696" t="s">
        <v>123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"06:22:39.391"</f>
        <v>06:22:39.391</v>
      </c>
      <c r="T3696" t="str">
        <f>"06:22:38.891"</f>
        <v>06:22:38.891</v>
      </c>
      <c r="U3696" t="str">
        <f t="shared" si="1604"/>
        <v>A7E2E0</v>
      </c>
      <c r="V3696">
        <v>0</v>
      </c>
      <c r="W3696">
        <v>0</v>
      </c>
      <c r="X3696">
        <v>1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0</v>
      </c>
      <c r="AI3696" t="s">
        <v>1673</v>
      </c>
      <c r="AJ3696">
        <v>38.802295000000001</v>
      </c>
      <c r="AK3696" t="s">
        <v>1674</v>
      </c>
      <c r="AL3696">
        <v>-87.604851999999994</v>
      </c>
      <c r="AM3696">
        <v>100</v>
      </c>
      <c r="AN3696">
        <v>1000</v>
      </c>
      <c r="AO3696" t="s">
        <v>118</v>
      </c>
      <c r="AP3696">
        <v>-15</v>
      </c>
      <c r="AQ3696">
        <v>-109</v>
      </c>
      <c r="AR3696">
        <v>-896</v>
      </c>
      <c r="AZ3696">
        <v>4552</v>
      </c>
      <c r="BA3696">
        <v>1</v>
      </c>
      <c r="BB3696" t="str">
        <f t="shared" si="1605"/>
        <v xml:space="preserve">N607SR  </v>
      </c>
      <c r="BC3696">
        <v>1</v>
      </c>
      <c r="BE3696">
        <v>0</v>
      </c>
      <c r="BF3696">
        <v>0</v>
      </c>
      <c r="BG3696">
        <v>0</v>
      </c>
      <c r="BH3696">
        <v>800</v>
      </c>
      <c r="BI3696">
        <v>1</v>
      </c>
      <c r="BJ3696">
        <v>1</v>
      </c>
      <c r="BK3696">
        <v>1</v>
      </c>
      <c r="BL3696">
        <v>0</v>
      </c>
      <c r="BO3696">
        <v>0</v>
      </c>
      <c r="BP3696">
        <v>0</v>
      </c>
      <c r="BW3696" t="str">
        <f>"06:22:39.392"</f>
        <v>06:22:39.392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5</v>
      </c>
      <c r="CP3696" t="s">
        <v>119</v>
      </c>
      <c r="CQ3696">
        <v>457</v>
      </c>
      <c r="CR3696">
        <v>0</v>
      </c>
      <c r="CW3696">
        <v>15527587</v>
      </c>
      <c r="CY3696">
        <v>1</v>
      </c>
      <c r="CZ3696">
        <v>0</v>
      </c>
      <c r="DA3696">
        <v>1</v>
      </c>
      <c r="DB3696">
        <v>0</v>
      </c>
      <c r="DC3696">
        <v>0</v>
      </c>
      <c r="DD3696">
        <v>0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3">
      <c r="A3697" t="str">
        <f>"08/29/2020 06:22:36.188"</f>
        <v>08/29/2020 06:22:36.188</v>
      </c>
      <c r="C3697" t="str">
        <f t="shared" si="1603"/>
        <v>FFDFD3C0</v>
      </c>
      <c r="D3697" t="s">
        <v>121</v>
      </c>
      <c r="E3697">
        <v>13</v>
      </c>
      <c r="F3697">
        <v>1013</v>
      </c>
      <c r="G3697" t="s">
        <v>122</v>
      </c>
      <c r="J3697" t="s">
        <v>123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"06:22:39.391"</f>
        <v>06:22:39.391</v>
      </c>
      <c r="T3697" t="str">
        <f>"06:22:38.891"</f>
        <v>06:22:38.891</v>
      </c>
      <c r="U3697" t="str">
        <f t="shared" si="1604"/>
        <v>A7E2E0</v>
      </c>
      <c r="V3697">
        <v>0</v>
      </c>
      <c r="W3697">
        <v>0</v>
      </c>
      <c r="X3697">
        <v>1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3</v>
      </c>
      <c r="AG3697">
        <v>2</v>
      </c>
      <c r="AH3697">
        <v>0</v>
      </c>
      <c r="AI3697" t="s">
        <v>1673</v>
      </c>
      <c r="AJ3697">
        <v>38.802295000000001</v>
      </c>
      <c r="AK3697" t="s">
        <v>1674</v>
      </c>
      <c r="AL3697">
        <v>-87.604851999999994</v>
      </c>
      <c r="AM3697">
        <v>100</v>
      </c>
      <c r="AN3697">
        <v>1000</v>
      </c>
      <c r="AO3697" t="s">
        <v>118</v>
      </c>
      <c r="AP3697">
        <v>-15</v>
      </c>
      <c r="AQ3697">
        <v>-109</v>
      </c>
      <c r="AR3697">
        <v>-896</v>
      </c>
      <c r="AZ3697">
        <v>4552</v>
      </c>
      <c r="BA3697">
        <v>1</v>
      </c>
      <c r="BB3697" t="str">
        <f t="shared" si="1605"/>
        <v xml:space="preserve">N607SR  </v>
      </c>
      <c r="BC3697">
        <v>1</v>
      </c>
      <c r="BE3697">
        <v>0</v>
      </c>
      <c r="BF3697">
        <v>0</v>
      </c>
      <c r="BG3697">
        <v>0</v>
      </c>
      <c r="BH3697">
        <v>800</v>
      </c>
      <c r="BI3697">
        <v>1</v>
      </c>
      <c r="BJ3697">
        <v>1</v>
      </c>
      <c r="BK3697">
        <v>1</v>
      </c>
      <c r="BL3697">
        <v>0</v>
      </c>
      <c r="BO3697">
        <v>0</v>
      </c>
      <c r="BP3697">
        <v>0</v>
      </c>
      <c r="BW3697" t="str">
        <f>"06:22:39.392"</f>
        <v>06:22:39.392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5</v>
      </c>
      <c r="CP3697" t="s">
        <v>119</v>
      </c>
      <c r="CQ3697">
        <v>457</v>
      </c>
      <c r="CR3697">
        <v>0</v>
      </c>
      <c r="CW3697">
        <v>15527587</v>
      </c>
      <c r="CY3697">
        <v>1</v>
      </c>
      <c r="CZ3697">
        <v>0</v>
      </c>
      <c r="DA3697">
        <v>1</v>
      </c>
      <c r="DB3697">
        <v>0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3">
      <c r="A3698" t="str">
        <f>"08/29/2020 06:22:36.188"</f>
        <v>08/29/2020 06:22:36.188</v>
      </c>
      <c r="C3698" t="str">
        <f t="shared" si="1603"/>
        <v>FFDFD3C0</v>
      </c>
      <c r="D3698" t="s">
        <v>121</v>
      </c>
      <c r="E3698">
        <v>11</v>
      </c>
      <c r="F3698">
        <v>1011</v>
      </c>
      <c r="G3698" t="s">
        <v>125</v>
      </c>
      <c r="J3698" t="s">
        <v>123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"06:22:39.391"</f>
        <v>06:22:39.391</v>
      </c>
      <c r="T3698" t="str">
        <f>"06:22:38.891"</f>
        <v>06:22:38.891</v>
      </c>
      <c r="U3698" t="str">
        <f t="shared" si="1604"/>
        <v>A7E2E0</v>
      </c>
      <c r="V3698">
        <v>0</v>
      </c>
      <c r="W3698">
        <v>0</v>
      </c>
      <c r="X3698">
        <v>1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0</v>
      </c>
      <c r="AI3698" t="s">
        <v>1673</v>
      </c>
      <c r="AJ3698">
        <v>38.802295000000001</v>
      </c>
      <c r="AK3698" t="s">
        <v>1674</v>
      </c>
      <c r="AL3698">
        <v>-87.604851999999994</v>
      </c>
      <c r="AM3698">
        <v>100</v>
      </c>
      <c r="AN3698">
        <v>1000</v>
      </c>
      <c r="AO3698" t="s">
        <v>118</v>
      </c>
      <c r="AP3698">
        <v>-15</v>
      </c>
      <c r="AQ3698">
        <v>-109</v>
      </c>
      <c r="AR3698">
        <v>-896</v>
      </c>
      <c r="AZ3698">
        <v>4552</v>
      </c>
      <c r="BA3698">
        <v>1</v>
      </c>
      <c r="BB3698" t="str">
        <f t="shared" si="1605"/>
        <v xml:space="preserve">N607SR  </v>
      </c>
      <c r="BC3698">
        <v>1</v>
      </c>
      <c r="BE3698">
        <v>0</v>
      </c>
      <c r="BF3698">
        <v>0</v>
      </c>
      <c r="BG3698">
        <v>0</v>
      </c>
      <c r="BH3698">
        <v>800</v>
      </c>
      <c r="BI3698">
        <v>1</v>
      </c>
      <c r="BJ3698">
        <v>1</v>
      </c>
      <c r="BK3698">
        <v>1</v>
      </c>
      <c r="BL3698">
        <v>0</v>
      </c>
      <c r="BO3698">
        <v>0</v>
      </c>
      <c r="BP3698">
        <v>0</v>
      </c>
      <c r="BW3698" t="str">
        <f>"06:22:39.392"</f>
        <v>06:22:39.392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5</v>
      </c>
      <c r="CP3698" t="s">
        <v>119</v>
      </c>
      <c r="CQ3698">
        <v>457</v>
      </c>
      <c r="CR3698">
        <v>0</v>
      </c>
      <c r="CW3698">
        <v>15527587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3">
      <c r="A3699" t="str">
        <f>"08/29/2020 06:22:37.150"</f>
        <v>08/29/2020 06:22:37.150</v>
      </c>
      <c r="C3699" t="str">
        <f t="shared" si="1603"/>
        <v>FFDFD3C0</v>
      </c>
      <c r="D3699" t="s">
        <v>113</v>
      </c>
      <c r="E3699">
        <v>5</v>
      </c>
      <c r="H3699">
        <v>163</v>
      </c>
      <c r="I3699" t="s">
        <v>114</v>
      </c>
      <c r="J3699" t="s">
        <v>115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"06:22:40.359"</f>
        <v>06:22:40.359</v>
      </c>
      <c r="T3699" t="str">
        <f>"06:22:39.859"</f>
        <v>06:22:39.859</v>
      </c>
      <c r="U3699" t="str">
        <f t="shared" si="1604"/>
        <v>A7E2E0</v>
      </c>
      <c r="V3699">
        <v>0</v>
      </c>
      <c r="W3699">
        <v>0</v>
      </c>
      <c r="X3699">
        <v>1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0</v>
      </c>
      <c r="AI3699" t="s">
        <v>1675</v>
      </c>
      <c r="AJ3699">
        <v>38.801780000000001</v>
      </c>
      <c r="AK3699" t="s">
        <v>1224</v>
      </c>
      <c r="AL3699">
        <v>-87.604916000000003</v>
      </c>
      <c r="AM3699">
        <v>100</v>
      </c>
      <c r="AN3699">
        <v>1000</v>
      </c>
      <c r="AO3699" t="s">
        <v>118</v>
      </c>
      <c r="AP3699">
        <v>-15</v>
      </c>
      <c r="AQ3699">
        <v>-108</v>
      </c>
      <c r="AR3699">
        <v>-832</v>
      </c>
      <c r="AZ3699">
        <v>4552</v>
      </c>
      <c r="BA3699">
        <v>1</v>
      </c>
      <c r="BB3699" t="str">
        <f t="shared" si="1605"/>
        <v xml:space="preserve">N607SR  </v>
      </c>
      <c r="BC3699">
        <v>1</v>
      </c>
      <c r="BE3699">
        <v>0</v>
      </c>
      <c r="BF3699">
        <v>0</v>
      </c>
      <c r="BG3699">
        <v>0</v>
      </c>
      <c r="BH3699">
        <v>775</v>
      </c>
      <c r="BI3699">
        <v>1</v>
      </c>
      <c r="BJ3699">
        <v>1</v>
      </c>
      <c r="BK3699">
        <v>1</v>
      </c>
      <c r="BL3699">
        <v>0</v>
      </c>
      <c r="BO3699">
        <v>0</v>
      </c>
      <c r="BP3699">
        <v>0</v>
      </c>
      <c r="BW3699" t="str">
        <f>"06:22:40.366"</f>
        <v>06:22:40.366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5</v>
      </c>
      <c r="CP3699" t="s">
        <v>119</v>
      </c>
      <c r="CQ3699">
        <v>457</v>
      </c>
      <c r="CR3699">
        <v>0</v>
      </c>
      <c r="CW3699">
        <v>15527620</v>
      </c>
      <c r="CY3699">
        <v>1</v>
      </c>
      <c r="CZ3699">
        <v>0</v>
      </c>
      <c r="DA3699">
        <v>0</v>
      </c>
      <c r="DB3699">
        <v>0</v>
      </c>
      <c r="DC3699">
        <v>0</v>
      </c>
      <c r="DD3699">
        <v>0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3">
      <c r="A3700" t="str">
        <f>"08/29/2020 06:22:37.150"</f>
        <v>08/29/2020 06:22:37.150</v>
      </c>
      <c r="C3700" t="str">
        <f t="shared" si="1603"/>
        <v>FFDFD3C0</v>
      </c>
      <c r="D3700" t="s">
        <v>128</v>
      </c>
      <c r="E3700">
        <v>5</v>
      </c>
      <c r="H3700">
        <v>241</v>
      </c>
      <c r="I3700" t="s">
        <v>129</v>
      </c>
      <c r="J3700" t="s">
        <v>130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"06:22:40.359"</f>
        <v>06:22:40.359</v>
      </c>
      <c r="T3700" t="str">
        <f>"06:22:39.859"</f>
        <v>06:22:39.859</v>
      </c>
      <c r="U3700" t="str">
        <f t="shared" si="1604"/>
        <v>A7E2E0</v>
      </c>
      <c r="V3700">
        <v>0</v>
      </c>
      <c r="W3700">
        <v>0</v>
      </c>
      <c r="X3700">
        <v>1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0</v>
      </c>
      <c r="AI3700" t="s">
        <v>1675</v>
      </c>
      <c r="AJ3700">
        <v>38.801780000000001</v>
      </c>
      <c r="AK3700" t="s">
        <v>1224</v>
      </c>
      <c r="AL3700">
        <v>-87.604916000000003</v>
      </c>
      <c r="AM3700">
        <v>100</v>
      </c>
      <c r="AN3700">
        <v>1000</v>
      </c>
      <c r="AO3700" t="s">
        <v>118</v>
      </c>
      <c r="AP3700">
        <v>-15</v>
      </c>
      <c r="AQ3700">
        <v>-108</v>
      </c>
      <c r="AR3700">
        <v>-832</v>
      </c>
      <c r="AZ3700">
        <v>4552</v>
      </c>
      <c r="BA3700">
        <v>1</v>
      </c>
      <c r="BB3700" t="str">
        <f t="shared" si="1605"/>
        <v xml:space="preserve">N607SR  </v>
      </c>
      <c r="BC3700">
        <v>1</v>
      </c>
      <c r="BE3700">
        <v>0</v>
      </c>
      <c r="BF3700">
        <v>0</v>
      </c>
      <c r="BG3700">
        <v>0</v>
      </c>
      <c r="BH3700">
        <v>775</v>
      </c>
      <c r="BI3700">
        <v>1</v>
      </c>
      <c r="BJ3700">
        <v>1</v>
      </c>
      <c r="BK3700">
        <v>1</v>
      </c>
      <c r="BL3700">
        <v>0</v>
      </c>
      <c r="BO3700">
        <v>0</v>
      </c>
      <c r="BP3700">
        <v>0</v>
      </c>
      <c r="BW3700" t="str">
        <f>"06:22:40.366"</f>
        <v>06:22:40.366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5</v>
      </c>
      <c r="CP3700" t="s">
        <v>119</v>
      </c>
      <c r="CQ3700">
        <v>457</v>
      </c>
      <c r="CR3700">
        <v>0</v>
      </c>
      <c r="CW3700">
        <v>15527620</v>
      </c>
      <c r="CY3700">
        <v>1</v>
      </c>
      <c r="CZ3700">
        <v>0</v>
      </c>
      <c r="DA3700">
        <v>1</v>
      </c>
      <c r="DB3700">
        <v>0</v>
      </c>
      <c r="DC3700">
        <v>0</v>
      </c>
      <c r="DD3700">
        <v>0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3">
      <c r="A3701" t="str">
        <f>"08/29/2020 06:22:37.150"</f>
        <v>08/29/2020 06:22:37.150</v>
      </c>
      <c r="C3701" t="str">
        <f t="shared" si="1603"/>
        <v>FFDFD3C0</v>
      </c>
      <c r="D3701" t="s">
        <v>121</v>
      </c>
      <c r="E3701">
        <v>10</v>
      </c>
      <c r="F3701">
        <v>1010</v>
      </c>
      <c r="G3701" t="s">
        <v>114</v>
      </c>
      <c r="J3701" t="s">
        <v>123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"06:22:40.359"</f>
        <v>06:22:40.359</v>
      </c>
      <c r="T3701" t="str">
        <f>"06:22:39.859"</f>
        <v>06:22:39.859</v>
      </c>
      <c r="U3701" t="str">
        <f t="shared" si="1604"/>
        <v>A7E2E0</v>
      </c>
      <c r="V3701">
        <v>0</v>
      </c>
      <c r="W3701">
        <v>0</v>
      </c>
      <c r="X3701">
        <v>1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0</v>
      </c>
      <c r="AI3701" t="s">
        <v>1675</v>
      </c>
      <c r="AJ3701">
        <v>38.801780000000001</v>
      </c>
      <c r="AK3701" t="s">
        <v>1224</v>
      </c>
      <c r="AL3701">
        <v>-87.604916000000003</v>
      </c>
      <c r="AM3701">
        <v>100</v>
      </c>
      <c r="AN3701">
        <v>1000</v>
      </c>
      <c r="AO3701" t="s">
        <v>118</v>
      </c>
      <c r="AP3701">
        <v>-15</v>
      </c>
      <c r="AQ3701">
        <v>-108</v>
      </c>
      <c r="AR3701">
        <v>-832</v>
      </c>
      <c r="AZ3701">
        <v>4552</v>
      </c>
      <c r="BA3701">
        <v>1</v>
      </c>
      <c r="BB3701" t="str">
        <f t="shared" si="1605"/>
        <v xml:space="preserve">N607SR  </v>
      </c>
      <c r="BC3701">
        <v>1</v>
      </c>
      <c r="BE3701">
        <v>0</v>
      </c>
      <c r="BF3701">
        <v>0</v>
      </c>
      <c r="BG3701">
        <v>0</v>
      </c>
      <c r="BH3701">
        <v>775</v>
      </c>
      <c r="BI3701">
        <v>1</v>
      </c>
      <c r="BJ3701">
        <v>1</v>
      </c>
      <c r="BK3701">
        <v>1</v>
      </c>
      <c r="BL3701">
        <v>0</v>
      </c>
      <c r="BO3701">
        <v>0</v>
      </c>
      <c r="BP3701">
        <v>0</v>
      </c>
      <c r="BW3701" t="str">
        <f>"06:22:40.366"</f>
        <v>06:22:40.366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5</v>
      </c>
      <c r="CP3701" t="s">
        <v>119</v>
      </c>
      <c r="CQ3701">
        <v>457</v>
      </c>
      <c r="CR3701">
        <v>0</v>
      </c>
      <c r="CW3701">
        <v>15527620</v>
      </c>
      <c r="CY3701">
        <v>1</v>
      </c>
      <c r="CZ3701">
        <v>0</v>
      </c>
      <c r="DA3701">
        <v>1</v>
      </c>
      <c r="DB3701">
        <v>0</v>
      </c>
      <c r="DC3701">
        <v>0</v>
      </c>
      <c r="DD3701">
        <v>0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3">
      <c r="A3702" t="str">
        <f>"08/29/2020 06:22:37.150"</f>
        <v>08/29/2020 06:22:37.150</v>
      </c>
      <c r="C3702" t="str">
        <f t="shared" si="1603"/>
        <v>FFDFD3C0</v>
      </c>
      <c r="D3702" t="s">
        <v>121</v>
      </c>
      <c r="E3702">
        <v>11</v>
      </c>
      <c r="F3702">
        <v>1011</v>
      </c>
      <c r="G3702" t="s">
        <v>125</v>
      </c>
      <c r="J3702" t="s">
        <v>123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"06:22:40.359"</f>
        <v>06:22:40.359</v>
      </c>
      <c r="T3702" t="str">
        <f>"06:22:39.859"</f>
        <v>06:22:39.859</v>
      </c>
      <c r="U3702" t="str">
        <f t="shared" si="1604"/>
        <v>A7E2E0</v>
      </c>
      <c r="V3702">
        <v>0</v>
      </c>
      <c r="W3702">
        <v>0</v>
      </c>
      <c r="X3702">
        <v>1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0</v>
      </c>
      <c r="AI3702" t="s">
        <v>1675</v>
      </c>
      <c r="AJ3702">
        <v>38.801780000000001</v>
      </c>
      <c r="AK3702" t="s">
        <v>1224</v>
      </c>
      <c r="AL3702">
        <v>-87.604916000000003</v>
      </c>
      <c r="AM3702">
        <v>100</v>
      </c>
      <c r="AN3702">
        <v>1000</v>
      </c>
      <c r="AO3702" t="s">
        <v>118</v>
      </c>
      <c r="AP3702">
        <v>-15</v>
      </c>
      <c r="AQ3702">
        <v>-108</v>
      </c>
      <c r="AR3702">
        <v>-832</v>
      </c>
      <c r="AZ3702">
        <v>4552</v>
      </c>
      <c r="BA3702">
        <v>1</v>
      </c>
      <c r="BB3702" t="str">
        <f t="shared" si="1605"/>
        <v xml:space="preserve">N607SR  </v>
      </c>
      <c r="BC3702">
        <v>1</v>
      </c>
      <c r="BE3702">
        <v>0</v>
      </c>
      <c r="BF3702">
        <v>0</v>
      </c>
      <c r="BG3702">
        <v>0</v>
      </c>
      <c r="BH3702">
        <v>775</v>
      </c>
      <c r="BI3702">
        <v>1</v>
      </c>
      <c r="BJ3702">
        <v>1</v>
      </c>
      <c r="BK3702">
        <v>1</v>
      </c>
      <c r="BL3702">
        <v>0</v>
      </c>
      <c r="BO3702">
        <v>0</v>
      </c>
      <c r="BP3702">
        <v>0</v>
      </c>
      <c r="BW3702" t="str">
        <f>"06:22:40.366"</f>
        <v>06:22:40.366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5</v>
      </c>
      <c r="CP3702" t="s">
        <v>119</v>
      </c>
      <c r="CQ3702">
        <v>457</v>
      </c>
      <c r="CR3702">
        <v>0</v>
      </c>
      <c r="CW3702">
        <v>15527620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0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3">
      <c r="A3703" t="str">
        <f>"08/29/2020 06:22:37.150"</f>
        <v>08/29/2020 06:22:37.150</v>
      </c>
      <c r="C3703" t="str">
        <f t="shared" si="1603"/>
        <v>FFDFD3C0</v>
      </c>
      <c r="D3703" t="s">
        <v>121</v>
      </c>
      <c r="E3703">
        <v>13</v>
      </c>
      <c r="F3703">
        <v>1013</v>
      </c>
      <c r="G3703" t="s">
        <v>122</v>
      </c>
      <c r="J3703" t="s">
        <v>123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"06:22:40.359"</f>
        <v>06:22:40.359</v>
      </c>
      <c r="T3703" t="str">
        <f>"06:22:39.859"</f>
        <v>06:22:39.859</v>
      </c>
      <c r="U3703" t="str">
        <f t="shared" si="1604"/>
        <v>A7E2E0</v>
      </c>
      <c r="V3703">
        <v>0</v>
      </c>
      <c r="W3703">
        <v>0</v>
      </c>
      <c r="X3703">
        <v>1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0</v>
      </c>
      <c r="AI3703" t="s">
        <v>1675</v>
      </c>
      <c r="AJ3703">
        <v>38.801780000000001</v>
      </c>
      <c r="AK3703" t="s">
        <v>1224</v>
      </c>
      <c r="AL3703">
        <v>-87.604916000000003</v>
      </c>
      <c r="AM3703">
        <v>100</v>
      </c>
      <c r="AN3703">
        <v>1000</v>
      </c>
      <c r="AO3703" t="s">
        <v>118</v>
      </c>
      <c r="AP3703">
        <v>-15</v>
      </c>
      <c r="AQ3703">
        <v>-108</v>
      </c>
      <c r="AR3703">
        <v>-832</v>
      </c>
      <c r="AZ3703">
        <v>4552</v>
      </c>
      <c r="BA3703">
        <v>1</v>
      </c>
      <c r="BB3703" t="str">
        <f t="shared" si="1605"/>
        <v xml:space="preserve">N607SR  </v>
      </c>
      <c r="BC3703">
        <v>1</v>
      </c>
      <c r="BE3703">
        <v>0</v>
      </c>
      <c r="BF3703">
        <v>0</v>
      </c>
      <c r="BG3703">
        <v>0</v>
      </c>
      <c r="BH3703">
        <v>775</v>
      </c>
      <c r="BI3703">
        <v>1</v>
      </c>
      <c r="BJ3703">
        <v>1</v>
      </c>
      <c r="BK3703">
        <v>1</v>
      </c>
      <c r="BL3703">
        <v>0</v>
      </c>
      <c r="BO3703">
        <v>0</v>
      </c>
      <c r="BP3703">
        <v>0</v>
      </c>
      <c r="BW3703" t="str">
        <f>"06:22:40.366"</f>
        <v>06:22:40.366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5</v>
      </c>
      <c r="CP3703" t="s">
        <v>119</v>
      </c>
      <c r="CQ3703">
        <v>457</v>
      </c>
      <c r="CR3703">
        <v>0</v>
      </c>
      <c r="CW3703">
        <v>15527620</v>
      </c>
      <c r="CY3703">
        <v>1</v>
      </c>
      <c r="CZ3703">
        <v>0</v>
      </c>
      <c r="DA3703">
        <v>1</v>
      </c>
      <c r="DB3703">
        <v>0</v>
      </c>
      <c r="DC3703">
        <v>0</v>
      </c>
      <c r="DD3703">
        <v>0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3">
      <c r="A3704" t="str">
        <f>"08/29/2020 06:22:38.201"</f>
        <v>08/29/2020 06:22:38.201</v>
      </c>
      <c r="C3704" t="str">
        <f t="shared" si="1603"/>
        <v>FFDFD3C0</v>
      </c>
      <c r="D3704" t="s">
        <v>121</v>
      </c>
      <c r="E3704">
        <v>11</v>
      </c>
      <c r="F3704">
        <v>1011</v>
      </c>
      <c r="G3704" t="s">
        <v>125</v>
      </c>
      <c r="J3704" t="s">
        <v>123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"06:22:41.406"</f>
        <v>06:22:41.406</v>
      </c>
      <c r="T3704" t="str">
        <f>"06:22:41.006"</f>
        <v>06:22:41.006</v>
      </c>
      <c r="U3704" t="str">
        <f t="shared" si="1604"/>
        <v>A7E2E0</v>
      </c>
      <c r="V3704">
        <v>0</v>
      </c>
      <c r="W3704">
        <v>0</v>
      </c>
      <c r="X3704">
        <v>1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0</v>
      </c>
      <c r="AI3704" t="s">
        <v>1676</v>
      </c>
      <c r="AJ3704">
        <v>38.801285999999998</v>
      </c>
      <c r="AK3704" t="s">
        <v>1677</v>
      </c>
      <c r="AL3704">
        <v>-87.605045000000004</v>
      </c>
      <c r="AM3704">
        <v>100</v>
      </c>
      <c r="AN3704">
        <v>1000</v>
      </c>
      <c r="AO3704" t="s">
        <v>118</v>
      </c>
      <c r="AP3704">
        <v>-15</v>
      </c>
      <c r="AQ3704">
        <v>-107</v>
      </c>
      <c r="AR3704">
        <v>-832</v>
      </c>
      <c r="AZ3704">
        <v>4552</v>
      </c>
      <c r="BA3704">
        <v>1</v>
      </c>
      <c r="BB3704" t="str">
        <f t="shared" si="1605"/>
        <v xml:space="preserve">N607SR  </v>
      </c>
      <c r="BC3704">
        <v>1</v>
      </c>
      <c r="BE3704">
        <v>0</v>
      </c>
      <c r="BF3704">
        <v>0</v>
      </c>
      <c r="BG3704">
        <v>0</v>
      </c>
      <c r="BH3704">
        <v>750</v>
      </c>
      <c r="BI3704">
        <v>1</v>
      </c>
      <c r="BJ3704">
        <v>1</v>
      </c>
      <c r="BK3704">
        <v>1</v>
      </c>
      <c r="BL3704">
        <v>0</v>
      </c>
      <c r="BO3704">
        <v>0</v>
      </c>
      <c r="BP3704">
        <v>0</v>
      </c>
      <c r="BW3704" t="str">
        <f>"06:22:41.411"</f>
        <v>06:22:41.411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5</v>
      </c>
      <c r="CP3704" t="s">
        <v>119</v>
      </c>
      <c r="CQ3704">
        <v>457</v>
      </c>
      <c r="CR3704">
        <v>0</v>
      </c>
      <c r="CW3704">
        <v>15527648</v>
      </c>
      <c r="CY3704">
        <v>1</v>
      </c>
      <c r="CZ3704">
        <v>0</v>
      </c>
      <c r="DA3704">
        <v>0</v>
      </c>
      <c r="DB3704">
        <v>0</v>
      </c>
      <c r="DC3704">
        <v>0</v>
      </c>
      <c r="DD3704">
        <v>0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3">
      <c r="A3705" t="str">
        <f>"08/29/2020 06:22:38.201"</f>
        <v>08/29/2020 06:22:38.201</v>
      </c>
      <c r="C3705" t="str">
        <f t="shared" si="1603"/>
        <v>FFDFD3C0</v>
      </c>
      <c r="D3705" t="s">
        <v>128</v>
      </c>
      <c r="E3705">
        <v>5</v>
      </c>
      <c r="H3705">
        <v>241</v>
      </c>
      <c r="I3705" t="s">
        <v>129</v>
      </c>
      <c r="J3705" t="s">
        <v>130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"06:22:41.406"</f>
        <v>06:22:41.406</v>
      </c>
      <c r="U3705" t="str">
        <f t="shared" si="1604"/>
        <v>A7E2E0</v>
      </c>
      <c r="V3705">
        <v>0</v>
      </c>
      <c r="W3705">
        <v>0</v>
      </c>
      <c r="X3705">
        <v>1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0</v>
      </c>
      <c r="AI3705" t="s">
        <v>1676</v>
      </c>
      <c r="AJ3705">
        <v>38.801285999999998</v>
      </c>
      <c r="AK3705" t="s">
        <v>1677</v>
      </c>
      <c r="AL3705">
        <v>-87.605045000000004</v>
      </c>
      <c r="AM3705">
        <v>100</v>
      </c>
      <c r="AN3705">
        <v>1000</v>
      </c>
      <c r="AO3705" t="s">
        <v>118</v>
      </c>
      <c r="AP3705">
        <v>-14</v>
      </c>
      <c r="AQ3705">
        <v>-107</v>
      </c>
      <c r="AR3705">
        <v>-832</v>
      </c>
      <c r="AZ3705">
        <v>4552</v>
      </c>
      <c r="BA3705">
        <v>1</v>
      </c>
      <c r="BB3705" t="str">
        <f t="shared" si="1605"/>
        <v xml:space="preserve">N607SR  </v>
      </c>
      <c r="BC3705">
        <v>1</v>
      </c>
      <c r="BE3705">
        <v>0</v>
      </c>
      <c r="BF3705">
        <v>0</v>
      </c>
      <c r="BG3705">
        <v>0</v>
      </c>
      <c r="BH3705">
        <v>750</v>
      </c>
      <c r="BI3705">
        <v>1</v>
      </c>
      <c r="BJ3705">
        <v>1</v>
      </c>
      <c r="BK3705">
        <v>1</v>
      </c>
      <c r="BL3705">
        <v>0</v>
      </c>
      <c r="BO3705">
        <v>0</v>
      </c>
      <c r="BP3705">
        <v>0</v>
      </c>
      <c r="BW3705" t="str">
        <f>"06:22:41.411"</f>
        <v>06:22:41.411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3</v>
      </c>
      <c r="CP3705" t="s">
        <v>119</v>
      </c>
      <c r="CQ3705">
        <v>517</v>
      </c>
      <c r="CR3705">
        <v>1</v>
      </c>
      <c r="CW3705">
        <v>2492316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0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3">
      <c r="A3706" t="str">
        <f>"08/29/2020 06:22:38.201"</f>
        <v>08/29/2020 06:22:38.201</v>
      </c>
      <c r="C3706" t="str">
        <f t="shared" si="1603"/>
        <v>FFDFD3C0</v>
      </c>
      <c r="D3706" t="s">
        <v>121</v>
      </c>
      <c r="E3706">
        <v>10</v>
      </c>
      <c r="F3706">
        <v>1010</v>
      </c>
      <c r="G3706" t="s">
        <v>114</v>
      </c>
      <c r="J3706" t="s">
        <v>123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>"06:22:41.406"</f>
        <v>06:22:41.406</v>
      </c>
      <c r="U3706" t="str">
        <f t="shared" si="1604"/>
        <v>A7E2E0</v>
      </c>
      <c r="V3706">
        <v>0</v>
      </c>
      <c r="W3706">
        <v>0</v>
      </c>
      <c r="X3706">
        <v>1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0</v>
      </c>
      <c r="AI3706" t="s">
        <v>1676</v>
      </c>
      <c r="AJ3706">
        <v>38.801285999999998</v>
      </c>
      <c r="AK3706" t="s">
        <v>1677</v>
      </c>
      <c r="AL3706">
        <v>-87.605045000000004</v>
      </c>
      <c r="AM3706">
        <v>100</v>
      </c>
      <c r="AN3706">
        <v>1000</v>
      </c>
      <c r="AO3706" t="s">
        <v>118</v>
      </c>
      <c r="AP3706">
        <v>-14</v>
      </c>
      <c r="AQ3706">
        <v>-107</v>
      </c>
      <c r="AR3706">
        <v>-832</v>
      </c>
      <c r="AZ3706">
        <v>4552</v>
      </c>
      <c r="BA3706">
        <v>1</v>
      </c>
      <c r="BB3706" t="str">
        <f t="shared" si="1605"/>
        <v xml:space="preserve">N607SR  </v>
      </c>
      <c r="BC3706">
        <v>1</v>
      </c>
      <c r="BE3706">
        <v>0</v>
      </c>
      <c r="BF3706">
        <v>0</v>
      </c>
      <c r="BG3706">
        <v>0</v>
      </c>
      <c r="BH3706">
        <v>750</v>
      </c>
      <c r="BI3706">
        <v>1</v>
      </c>
      <c r="BJ3706">
        <v>1</v>
      </c>
      <c r="BK3706">
        <v>1</v>
      </c>
      <c r="BL3706">
        <v>0</v>
      </c>
      <c r="BO3706">
        <v>0</v>
      </c>
      <c r="BP3706">
        <v>0</v>
      </c>
      <c r="BW3706" t="str">
        <f>"06:22:41.411"</f>
        <v>06:22:41.411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3</v>
      </c>
      <c r="CP3706" t="s">
        <v>119</v>
      </c>
      <c r="CQ3706">
        <v>517</v>
      </c>
      <c r="CR3706">
        <v>1</v>
      </c>
      <c r="CW3706">
        <v>2492316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0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3">
      <c r="A3707" t="str">
        <f>"08/29/2020 06:22:38.201"</f>
        <v>08/29/2020 06:22:38.201</v>
      </c>
      <c r="C3707" t="str">
        <f t="shared" si="1603"/>
        <v>FFDFD3C0</v>
      </c>
      <c r="D3707" t="s">
        <v>121</v>
      </c>
      <c r="E3707">
        <v>13</v>
      </c>
      <c r="F3707">
        <v>1013</v>
      </c>
      <c r="G3707" t="s">
        <v>122</v>
      </c>
      <c r="J3707" t="s">
        <v>123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>"06:22:41.406"</f>
        <v>06:22:41.406</v>
      </c>
      <c r="U3707" t="str">
        <f t="shared" si="1604"/>
        <v>A7E2E0</v>
      </c>
      <c r="V3707">
        <v>0</v>
      </c>
      <c r="W3707">
        <v>0</v>
      </c>
      <c r="X3707">
        <v>1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0</v>
      </c>
      <c r="AI3707" t="s">
        <v>1676</v>
      </c>
      <c r="AJ3707">
        <v>38.801285999999998</v>
      </c>
      <c r="AK3707" t="s">
        <v>1677</v>
      </c>
      <c r="AL3707">
        <v>-87.605045000000004</v>
      </c>
      <c r="AM3707">
        <v>100</v>
      </c>
      <c r="AN3707">
        <v>1000</v>
      </c>
      <c r="AO3707" t="s">
        <v>118</v>
      </c>
      <c r="AP3707">
        <v>-14</v>
      </c>
      <c r="AQ3707">
        <v>-107</v>
      </c>
      <c r="AR3707">
        <v>-832</v>
      </c>
      <c r="AZ3707">
        <v>4552</v>
      </c>
      <c r="BA3707">
        <v>1</v>
      </c>
      <c r="BB3707" t="str">
        <f t="shared" si="1605"/>
        <v xml:space="preserve">N607SR  </v>
      </c>
      <c r="BC3707">
        <v>1</v>
      </c>
      <c r="BE3707">
        <v>0</v>
      </c>
      <c r="BF3707">
        <v>0</v>
      </c>
      <c r="BG3707">
        <v>0</v>
      </c>
      <c r="BH3707">
        <v>750</v>
      </c>
      <c r="BI3707">
        <v>1</v>
      </c>
      <c r="BJ3707">
        <v>1</v>
      </c>
      <c r="BK3707">
        <v>1</v>
      </c>
      <c r="BL3707">
        <v>0</v>
      </c>
      <c r="BO3707">
        <v>0</v>
      </c>
      <c r="BP3707">
        <v>0</v>
      </c>
      <c r="BW3707" t="str">
        <f>"06:22:41.411"</f>
        <v>06:22:41.411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3</v>
      </c>
      <c r="CP3707" t="s">
        <v>119</v>
      </c>
      <c r="CQ3707">
        <v>517</v>
      </c>
      <c r="CR3707">
        <v>1</v>
      </c>
      <c r="CW3707">
        <v>2492316</v>
      </c>
      <c r="CY3707">
        <v>1</v>
      </c>
      <c r="CZ3707">
        <v>0</v>
      </c>
      <c r="DA3707">
        <v>1</v>
      </c>
      <c r="DB3707">
        <v>0</v>
      </c>
      <c r="DC3707">
        <v>0</v>
      </c>
      <c r="DD3707">
        <v>0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3">
      <c r="A3708" t="str">
        <f>"08/29/2020 06:22:38.201"</f>
        <v>08/29/2020 06:22:38.201</v>
      </c>
      <c r="C3708" t="str">
        <f t="shared" si="1603"/>
        <v>FFDFD3C0</v>
      </c>
      <c r="D3708" t="s">
        <v>113</v>
      </c>
      <c r="E3708">
        <v>5</v>
      </c>
      <c r="H3708">
        <v>163</v>
      </c>
      <c r="I3708" t="s">
        <v>114</v>
      </c>
      <c r="J3708" t="s">
        <v>115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>"06:22:41.406"</f>
        <v>06:22:41.406</v>
      </c>
      <c r="U3708" t="str">
        <f t="shared" si="1604"/>
        <v>A7E2E0</v>
      </c>
      <c r="V3708">
        <v>0</v>
      </c>
      <c r="W3708">
        <v>0</v>
      </c>
      <c r="X3708">
        <v>1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0</v>
      </c>
      <c r="AI3708" t="s">
        <v>1676</v>
      </c>
      <c r="AJ3708">
        <v>38.801285999999998</v>
      </c>
      <c r="AK3708" t="s">
        <v>1677</v>
      </c>
      <c r="AL3708">
        <v>-87.605045000000004</v>
      </c>
      <c r="AM3708">
        <v>100</v>
      </c>
      <c r="AN3708">
        <v>1000</v>
      </c>
      <c r="AO3708" t="s">
        <v>118</v>
      </c>
      <c r="AP3708">
        <v>-14</v>
      </c>
      <c r="AQ3708">
        <v>-107</v>
      </c>
      <c r="AR3708">
        <v>-832</v>
      </c>
      <c r="AZ3708">
        <v>4552</v>
      </c>
      <c r="BA3708">
        <v>1</v>
      </c>
      <c r="BB3708" t="str">
        <f t="shared" si="1605"/>
        <v xml:space="preserve">N607SR  </v>
      </c>
      <c r="BC3708">
        <v>1</v>
      </c>
      <c r="BE3708">
        <v>0</v>
      </c>
      <c r="BF3708">
        <v>0</v>
      </c>
      <c r="BG3708">
        <v>0</v>
      </c>
      <c r="BH3708">
        <v>750</v>
      </c>
      <c r="BI3708">
        <v>1</v>
      </c>
      <c r="BJ3708">
        <v>1</v>
      </c>
      <c r="BK3708">
        <v>1</v>
      </c>
      <c r="BL3708">
        <v>0</v>
      </c>
      <c r="BO3708">
        <v>0</v>
      </c>
      <c r="BP3708">
        <v>0</v>
      </c>
      <c r="BW3708" t="str">
        <f>"06:22:41.411"</f>
        <v>06:22:41.411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3</v>
      </c>
      <c r="CP3708" t="s">
        <v>119</v>
      </c>
      <c r="CQ3708">
        <v>517</v>
      </c>
      <c r="CR3708">
        <v>1</v>
      </c>
      <c r="CW3708">
        <v>2492316</v>
      </c>
      <c r="CY3708">
        <v>1</v>
      </c>
      <c r="CZ3708">
        <v>0</v>
      </c>
      <c r="DA3708">
        <v>1</v>
      </c>
      <c r="DB3708">
        <v>0</v>
      </c>
      <c r="DC3708">
        <v>0</v>
      </c>
      <c r="DD3708">
        <v>0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3">
      <c r="A3709" t="str">
        <f>"08/29/2020 06:22:39.164"</f>
        <v>08/29/2020 06:22:39.164</v>
      </c>
      <c r="C3709" t="str">
        <f t="shared" si="1603"/>
        <v>FFDFD3C0</v>
      </c>
      <c r="D3709" t="s">
        <v>121</v>
      </c>
      <c r="E3709">
        <v>11</v>
      </c>
      <c r="F3709">
        <v>1011</v>
      </c>
      <c r="G3709" t="s">
        <v>125</v>
      </c>
      <c r="J3709" t="s">
        <v>123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>"06:22:42.383"</f>
        <v>06:22:42.383</v>
      </c>
      <c r="T3709" t="str">
        <f>"06:22:41.883"</f>
        <v>06:22:41.883</v>
      </c>
      <c r="U3709" t="str">
        <f t="shared" si="1604"/>
        <v>A7E2E0</v>
      </c>
      <c r="V3709">
        <v>0</v>
      </c>
      <c r="W3709">
        <v>0</v>
      </c>
      <c r="X3709">
        <v>1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3</v>
      </c>
      <c r="AG3709">
        <v>2</v>
      </c>
      <c r="AH3709">
        <v>0</v>
      </c>
      <c r="AI3709" t="s">
        <v>1678</v>
      </c>
      <c r="AJ3709">
        <v>38.800835999999997</v>
      </c>
      <c r="AK3709" t="s">
        <v>1565</v>
      </c>
      <c r="AL3709">
        <v>-87.605108999999999</v>
      </c>
      <c r="AM3709">
        <v>100</v>
      </c>
      <c r="AN3709">
        <v>1000</v>
      </c>
      <c r="AO3709" t="s">
        <v>118</v>
      </c>
      <c r="AP3709">
        <v>-14</v>
      </c>
      <c r="AQ3709">
        <v>-106</v>
      </c>
      <c r="AR3709">
        <v>-768</v>
      </c>
      <c r="AZ3709">
        <v>4552</v>
      </c>
      <c r="BA3709">
        <v>1</v>
      </c>
      <c r="BB3709" t="str">
        <f t="shared" si="1605"/>
        <v xml:space="preserve">N607SR  </v>
      </c>
      <c r="BC3709">
        <v>1</v>
      </c>
      <c r="BE3709">
        <v>0</v>
      </c>
      <c r="BF3709">
        <v>0</v>
      </c>
      <c r="BG3709">
        <v>0</v>
      </c>
      <c r="BH3709">
        <v>750</v>
      </c>
      <c r="BI3709">
        <v>1</v>
      </c>
      <c r="BJ3709">
        <v>1</v>
      </c>
      <c r="BK3709">
        <v>1</v>
      </c>
      <c r="BL3709">
        <v>0</v>
      </c>
      <c r="BO3709">
        <v>0</v>
      </c>
      <c r="BP3709">
        <v>0</v>
      </c>
      <c r="BW3709" t="str">
        <f>"06:22:42.387"</f>
        <v>06:22:42.387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5</v>
      </c>
      <c r="CP3709" t="s">
        <v>119</v>
      </c>
      <c r="CQ3709">
        <v>457</v>
      </c>
      <c r="CR3709">
        <v>0</v>
      </c>
      <c r="CW3709">
        <v>15527678</v>
      </c>
      <c r="CY3709">
        <v>1</v>
      </c>
      <c r="CZ3709">
        <v>0</v>
      </c>
      <c r="DA3709">
        <v>0</v>
      </c>
      <c r="DB3709">
        <v>0</v>
      </c>
      <c r="DC3709">
        <v>0</v>
      </c>
      <c r="DD3709">
        <v>0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3">
      <c r="A3710" t="str">
        <f>"08/29/2020 06:22:39.164"</f>
        <v>08/29/2020 06:22:39.164</v>
      </c>
      <c r="C3710" t="str">
        <f t="shared" si="1603"/>
        <v>FFDFD3C0</v>
      </c>
      <c r="D3710" t="s">
        <v>113</v>
      </c>
      <c r="E3710">
        <v>5</v>
      </c>
      <c r="H3710">
        <v>163</v>
      </c>
      <c r="I3710" t="s">
        <v>114</v>
      </c>
      <c r="J3710" t="s">
        <v>115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"06:22:42.383"</f>
        <v>06:22:42.383</v>
      </c>
      <c r="T3710" t="str">
        <f>"06:22:41.883"</f>
        <v>06:22:41.883</v>
      </c>
      <c r="U3710" t="str">
        <f t="shared" si="1604"/>
        <v>A7E2E0</v>
      </c>
      <c r="V3710">
        <v>0</v>
      </c>
      <c r="W3710">
        <v>0</v>
      </c>
      <c r="X3710">
        <v>1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0</v>
      </c>
      <c r="AI3710" t="s">
        <v>1678</v>
      </c>
      <c r="AJ3710">
        <v>38.800835999999997</v>
      </c>
      <c r="AK3710" t="s">
        <v>1565</v>
      </c>
      <c r="AL3710">
        <v>-87.605108999999999</v>
      </c>
      <c r="AM3710">
        <v>100</v>
      </c>
      <c r="AN3710">
        <v>1000</v>
      </c>
      <c r="AO3710" t="s">
        <v>118</v>
      </c>
      <c r="AP3710">
        <v>-14</v>
      </c>
      <c r="AQ3710">
        <v>-106</v>
      </c>
      <c r="AR3710">
        <v>-768</v>
      </c>
      <c r="AZ3710">
        <v>4552</v>
      </c>
      <c r="BA3710">
        <v>1</v>
      </c>
      <c r="BB3710" t="str">
        <f t="shared" si="1605"/>
        <v xml:space="preserve">N607SR  </v>
      </c>
      <c r="BC3710">
        <v>1</v>
      </c>
      <c r="BE3710">
        <v>0</v>
      </c>
      <c r="BF3710">
        <v>0</v>
      </c>
      <c r="BG3710">
        <v>0</v>
      </c>
      <c r="BH3710">
        <v>750</v>
      </c>
      <c r="BI3710">
        <v>1</v>
      </c>
      <c r="BJ3710">
        <v>1</v>
      </c>
      <c r="BK3710">
        <v>1</v>
      </c>
      <c r="BL3710">
        <v>0</v>
      </c>
      <c r="BO3710">
        <v>0</v>
      </c>
      <c r="BP3710">
        <v>0</v>
      </c>
      <c r="BW3710" t="str">
        <f>"06:22:42.387"</f>
        <v>06:22:42.387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5</v>
      </c>
      <c r="CP3710" t="s">
        <v>119</v>
      </c>
      <c r="CQ3710">
        <v>457</v>
      </c>
      <c r="CR3710">
        <v>0</v>
      </c>
      <c r="CW3710">
        <v>15527678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0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3">
      <c r="A3711" t="str">
        <f>"08/29/2020 06:22:39.164"</f>
        <v>08/29/2020 06:22:39.164</v>
      </c>
      <c r="C3711" t="str">
        <f t="shared" si="1603"/>
        <v>FFDFD3C0</v>
      </c>
      <c r="D3711" t="s">
        <v>128</v>
      </c>
      <c r="E3711">
        <v>5</v>
      </c>
      <c r="H3711">
        <v>241</v>
      </c>
      <c r="I3711" t="s">
        <v>129</v>
      </c>
      <c r="J3711" t="s">
        <v>130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"06:22:42.383"</f>
        <v>06:22:42.383</v>
      </c>
      <c r="T3711" t="str">
        <f>"06:22:41.883"</f>
        <v>06:22:41.883</v>
      </c>
      <c r="U3711" t="str">
        <f t="shared" si="1604"/>
        <v>A7E2E0</v>
      </c>
      <c r="V3711">
        <v>0</v>
      </c>
      <c r="W3711">
        <v>0</v>
      </c>
      <c r="X3711">
        <v>1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0</v>
      </c>
      <c r="AI3711" t="s">
        <v>1678</v>
      </c>
      <c r="AJ3711">
        <v>38.800835999999997</v>
      </c>
      <c r="AK3711" t="s">
        <v>1565</v>
      </c>
      <c r="AL3711">
        <v>-87.605108999999999</v>
      </c>
      <c r="AM3711">
        <v>100</v>
      </c>
      <c r="AN3711">
        <v>1000</v>
      </c>
      <c r="AO3711" t="s">
        <v>118</v>
      </c>
      <c r="AP3711">
        <v>-14</v>
      </c>
      <c r="AQ3711">
        <v>-106</v>
      </c>
      <c r="AR3711">
        <v>-768</v>
      </c>
      <c r="AZ3711">
        <v>4552</v>
      </c>
      <c r="BA3711">
        <v>1</v>
      </c>
      <c r="BB3711" t="str">
        <f t="shared" si="1605"/>
        <v xml:space="preserve">N607SR  </v>
      </c>
      <c r="BC3711">
        <v>1</v>
      </c>
      <c r="BE3711">
        <v>0</v>
      </c>
      <c r="BF3711">
        <v>0</v>
      </c>
      <c r="BG3711">
        <v>0</v>
      </c>
      <c r="BH3711">
        <v>750</v>
      </c>
      <c r="BI3711">
        <v>1</v>
      </c>
      <c r="BJ3711">
        <v>1</v>
      </c>
      <c r="BK3711">
        <v>1</v>
      </c>
      <c r="BL3711">
        <v>0</v>
      </c>
      <c r="BO3711">
        <v>0</v>
      </c>
      <c r="BP3711">
        <v>0</v>
      </c>
      <c r="BW3711" t="str">
        <f>"06:22:42.387"</f>
        <v>06:22:42.387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5</v>
      </c>
      <c r="CP3711" t="s">
        <v>119</v>
      </c>
      <c r="CQ3711">
        <v>457</v>
      </c>
      <c r="CR3711">
        <v>0</v>
      </c>
      <c r="CW3711">
        <v>15527678</v>
      </c>
      <c r="CY3711">
        <v>1</v>
      </c>
      <c r="CZ3711">
        <v>0</v>
      </c>
      <c r="DA3711">
        <v>1</v>
      </c>
      <c r="DB3711">
        <v>0</v>
      </c>
      <c r="DC3711">
        <v>0</v>
      </c>
      <c r="DD3711">
        <v>0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3">
      <c r="A3712" t="str">
        <f>"08/29/2020 06:22:39.164"</f>
        <v>08/29/2020 06:22:39.164</v>
      </c>
      <c r="C3712" t="str">
        <f t="shared" si="1603"/>
        <v>FFDFD3C0</v>
      </c>
      <c r="D3712" t="s">
        <v>121</v>
      </c>
      <c r="E3712">
        <v>10</v>
      </c>
      <c r="F3712">
        <v>1010</v>
      </c>
      <c r="G3712" t="s">
        <v>114</v>
      </c>
      <c r="J3712" t="s">
        <v>123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"06:22:42.383"</f>
        <v>06:22:42.383</v>
      </c>
      <c r="T3712" t="str">
        <f>"06:22:41.883"</f>
        <v>06:22:41.883</v>
      </c>
      <c r="U3712" t="str">
        <f t="shared" si="1604"/>
        <v>A7E2E0</v>
      </c>
      <c r="V3712">
        <v>0</v>
      </c>
      <c r="W3712">
        <v>0</v>
      </c>
      <c r="X3712">
        <v>1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0</v>
      </c>
      <c r="AI3712" t="s">
        <v>1678</v>
      </c>
      <c r="AJ3712">
        <v>38.800835999999997</v>
      </c>
      <c r="AK3712" t="s">
        <v>1565</v>
      </c>
      <c r="AL3712">
        <v>-87.605108999999999</v>
      </c>
      <c r="AM3712">
        <v>100</v>
      </c>
      <c r="AN3712">
        <v>1000</v>
      </c>
      <c r="AO3712" t="s">
        <v>118</v>
      </c>
      <c r="AP3712">
        <v>-14</v>
      </c>
      <c r="AQ3712">
        <v>-106</v>
      </c>
      <c r="AR3712">
        <v>-768</v>
      </c>
      <c r="AZ3712">
        <v>4552</v>
      </c>
      <c r="BA3712">
        <v>1</v>
      </c>
      <c r="BB3712" t="str">
        <f t="shared" si="1605"/>
        <v xml:space="preserve">N607SR  </v>
      </c>
      <c r="BC3712">
        <v>1</v>
      </c>
      <c r="BE3712">
        <v>0</v>
      </c>
      <c r="BF3712">
        <v>0</v>
      </c>
      <c r="BG3712">
        <v>0</v>
      </c>
      <c r="BH3712">
        <v>750</v>
      </c>
      <c r="BI3712">
        <v>1</v>
      </c>
      <c r="BJ3712">
        <v>1</v>
      </c>
      <c r="BK3712">
        <v>1</v>
      </c>
      <c r="BL3712">
        <v>0</v>
      </c>
      <c r="BO3712">
        <v>0</v>
      </c>
      <c r="BP3712">
        <v>0</v>
      </c>
      <c r="BW3712" t="str">
        <f>"06:22:42.387"</f>
        <v>06:22:42.387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5</v>
      </c>
      <c r="CP3712" t="s">
        <v>119</v>
      </c>
      <c r="CQ3712">
        <v>457</v>
      </c>
      <c r="CR3712">
        <v>0</v>
      </c>
      <c r="CW3712">
        <v>15527678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0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3">
      <c r="A3713" t="str">
        <f>"08/29/2020 06:22:39.164"</f>
        <v>08/29/2020 06:22:39.164</v>
      </c>
      <c r="C3713" t="str">
        <f t="shared" si="1603"/>
        <v>FFDFD3C0</v>
      </c>
      <c r="D3713" t="s">
        <v>121</v>
      </c>
      <c r="E3713">
        <v>13</v>
      </c>
      <c r="F3713">
        <v>1013</v>
      </c>
      <c r="G3713" t="s">
        <v>122</v>
      </c>
      <c r="J3713" t="s">
        <v>123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"06:22:42.383"</f>
        <v>06:22:42.383</v>
      </c>
      <c r="T3713" t="str">
        <f>"06:22:41.883"</f>
        <v>06:22:41.883</v>
      </c>
      <c r="U3713" t="str">
        <f t="shared" si="1604"/>
        <v>A7E2E0</v>
      </c>
      <c r="V3713">
        <v>0</v>
      </c>
      <c r="W3713">
        <v>0</v>
      </c>
      <c r="X3713">
        <v>1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0</v>
      </c>
      <c r="AI3713" t="s">
        <v>1678</v>
      </c>
      <c r="AJ3713">
        <v>38.800835999999997</v>
      </c>
      <c r="AK3713" t="s">
        <v>1565</v>
      </c>
      <c r="AL3713">
        <v>-87.605108999999999</v>
      </c>
      <c r="AM3713">
        <v>100</v>
      </c>
      <c r="AN3713">
        <v>1000</v>
      </c>
      <c r="AO3713" t="s">
        <v>118</v>
      </c>
      <c r="AP3713">
        <v>-14</v>
      </c>
      <c r="AQ3713">
        <v>-106</v>
      </c>
      <c r="AR3713">
        <v>-768</v>
      </c>
      <c r="AZ3713">
        <v>4552</v>
      </c>
      <c r="BA3713">
        <v>1</v>
      </c>
      <c r="BB3713" t="str">
        <f t="shared" si="1605"/>
        <v xml:space="preserve">N607SR  </v>
      </c>
      <c r="BC3713">
        <v>1</v>
      </c>
      <c r="BE3713">
        <v>0</v>
      </c>
      <c r="BF3713">
        <v>0</v>
      </c>
      <c r="BG3713">
        <v>0</v>
      </c>
      <c r="BH3713">
        <v>750</v>
      </c>
      <c r="BI3713">
        <v>1</v>
      </c>
      <c r="BJ3713">
        <v>1</v>
      </c>
      <c r="BK3713">
        <v>1</v>
      </c>
      <c r="BL3713">
        <v>0</v>
      </c>
      <c r="BO3713">
        <v>0</v>
      </c>
      <c r="BP3713">
        <v>0</v>
      </c>
      <c r="BW3713" t="str">
        <f>"06:22:42.387"</f>
        <v>06:22:42.387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5</v>
      </c>
      <c r="CP3713" t="s">
        <v>119</v>
      </c>
      <c r="CQ3713">
        <v>457</v>
      </c>
      <c r="CR3713">
        <v>0</v>
      </c>
      <c r="CW3713">
        <v>15527678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0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3">
      <c r="A3714" t="str">
        <f>"08/29/2020 06:22:40.069"</f>
        <v>08/29/2020 06:22:40.069</v>
      </c>
      <c r="C3714" t="str">
        <f t="shared" ref="C3714:C3760" si="1609">"FFDFD3C0"</f>
        <v>FFDFD3C0</v>
      </c>
      <c r="D3714" t="s">
        <v>121</v>
      </c>
      <c r="E3714">
        <v>13</v>
      </c>
      <c r="F3714">
        <v>1013</v>
      </c>
      <c r="G3714" t="s">
        <v>122</v>
      </c>
      <c r="J3714" t="s">
        <v>123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"06:22:43.273"</f>
        <v>06:22:43.273</v>
      </c>
      <c r="T3714" t="str">
        <f>"06:22:42.873"</f>
        <v>06:22:42.873</v>
      </c>
      <c r="U3714" t="str">
        <f t="shared" ref="U3714:U3760" si="1610">"A7E2E0"</f>
        <v>A7E2E0</v>
      </c>
      <c r="V3714">
        <v>0</v>
      </c>
      <c r="W3714">
        <v>0</v>
      </c>
      <c r="X3714">
        <v>1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3</v>
      </c>
      <c r="AG3714">
        <v>2</v>
      </c>
      <c r="AH3714">
        <v>0</v>
      </c>
      <c r="AI3714" t="s">
        <v>1679</v>
      </c>
      <c r="AJ3714">
        <v>38.800364000000002</v>
      </c>
      <c r="AK3714" t="s">
        <v>1680</v>
      </c>
      <c r="AL3714">
        <v>-87.605174000000005</v>
      </c>
      <c r="AM3714">
        <v>100</v>
      </c>
      <c r="AN3714">
        <v>1000</v>
      </c>
      <c r="AO3714" t="s">
        <v>118</v>
      </c>
      <c r="AP3714">
        <v>-12</v>
      </c>
      <c r="AQ3714">
        <v>-106</v>
      </c>
      <c r="AR3714">
        <v>-768</v>
      </c>
      <c r="AZ3714">
        <v>4552</v>
      </c>
      <c r="BA3714">
        <v>1</v>
      </c>
      <c r="BB3714" t="str">
        <f t="shared" ref="BB3714:BB3760" si="1611">"N607SR  "</f>
        <v xml:space="preserve">N607SR  </v>
      </c>
      <c r="BC3714">
        <v>1</v>
      </c>
      <c r="BE3714">
        <v>0</v>
      </c>
      <c r="BF3714">
        <v>0</v>
      </c>
      <c r="BG3714">
        <v>0</v>
      </c>
      <c r="BH3714">
        <v>725</v>
      </c>
      <c r="BI3714">
        <v>1</v>
      </c>
      <c r="BJ3714">
        <v>1</v>
      </c>
      <c r="BK3714">
        <v>1</v>
      </c>
      <c r="BL3714">
        <v>0</v>
      </c>
      <c r="BO3714">
        <v>0</v>
      </c>
      <c r="BP3714">
        <v>0</v>
      </c>
      <c r="BW3714" t="str">
        <f>"06:22:43.279"</f>
        <v>06:22:43.279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5</v>
      </c>
      <c r="CP3714" t="s">
        <v>119</v>
      </c>
      <c r="CQ3714">
        <v>457</v>
      </c>
      <c r="CR3714">
        <v>0</v>
      </c>
      <c r="CW3714">
        <v>15527708</v>
      </c>
      <c r="CY3714">
        <v>1</v>
      </c>
      <c r="CZ3714">
        <v>0</v>
      </c>
      <c r="DA3714">
        <v>0</v>
      </c>
      <c r="DB3714">
        <v>0</v>
      </c>
      <c r="DC3714">
        <v>0</v>
      </c>
      <c r="DD3714">
        <v>0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3">
      <c r="A3715" t="str">
        <f>"08/29/2020 06:22:40.069"</f>
        <v>08/29/2020 06:22:40.069</v>
      </c>
      <c r="C3715" t="str">
        <f t="shared" si="1609"/>
        <v>FFDFD3C0</v>
      </c>
      <c r="D3715" t="s">
        <v>121</v>
      </c>
      <c r="E3715">
        <v>11</v>
      </c>
      <c r="F3715">
        <v>1011</v>
      </c>
      <c r="G3715" t="s">
        <v>125</v>
      </c>
      <c r="J3715" t="s">
        <v>123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"06:22:43.273"</f>
        <v>06:22:43.273</v>
      </c>
      <c r="T3715" t="str">
        <f>"06:22:42.873"</f>
        <v>06:22:42.873</v>
      </c>
      <c r="U3715" t="str">
        <f t="shared" si="1610"/>
        <v>A7E2E0</v>
      </c>
      <c r="V3715">
        <v>0</v>
      </c>
      <c r="W3715">
        <v>0</v>
      </c>
      <c r="X3715">
        <v>1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0</v>
      </c>
      <c r="AI3715" t="s">
        <v>1679</v>
      </c>
      <c r="AJ3715">
        <v>38.800364000000002</v>
      </c>
      <c r="AK3715" t="s">
        <v>1680</v>
      </c>
      <c r="AL3715">
        <v>-87.605174000000005</v>
      </c>
      <c r="AM3715">
        <v>100</v>
      </c>
      <c r="AN3715">
        <v>1000</v>
      </c>
      <c r="AO3715" t="s">
        <v>118</v>
      </c>
      <c r="AP3715">
        <v>-12</v>
      </c>
      <c r="AQ3715">
        <v>-106</v>
      </c>
      <c r="AR3715">
        <v>-768</v>
      </c>
      <c r="AZ3715">
        <v>4552</v>
      </c>
      <c r="BA3715">
        <v>1</v>
      </c>
      <c r="BB3715" t="str">
        <f t="shared" si="1611"/>
        <v xml:space="preserve">N607SR  </v>
      </c>
      <c r="BC3715">
        <v>1</v>
      </c>
      <c r="BE3715">
        <v>0</v>
      </c>
      <c r="BF3715">
        <v>0</v>
      </c>
      <c r="BG3715">
        <v>0</v>
      </c>
      <c r="BH3715">
        <v>725</v>
      </c>
      <c r="BI3715">
        <v>1</v>
      </c>
      <c r="BJ3715">
        <v>1</v>
      </c>
      <c r="BK3715">
        <v>1</v>
      </c>
      <c r="BL3715">
        <v>0</v>
      </c>
      <c r="BO3715">
        <v>0</v>
      </c>
      <c r="BP3715">
        <v>0</v>
      </c>
      <c r="BW3715" t="str">
        <f>"06:22:43.279"</f>
        <v>06:22:43.279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5</v>
      </c>
      <c r="CP3715" t="s">
        <v>119</v>
      </c>
      <c r="CQ3715">
        <v>457</v>
      </c>
      <c r="CR3715">
        <v>0</v>
      </c>
      <c r="CW3715">
        <v>15527708</v>
      </c>
      <c r="CY3715">
        <v>1</v>
      </c>
      <c r="CZ3715">
        <v>0</v>
      </c>
      <c r="DA3715">
        <v>1</v>
      </c>
      <c r="DB3715">
        <v>0</v>
      </c>
      <c r="DC3715">
        <v>0</v>
      </c>
      <c r="DD3715">
        <v>0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3">
      <c r="A3716" t="str">
        <f>"08/29/2020 06:22:40.069"</f>
        <v>08/29/2020 06:22:40.069</v>
      </c>
      <c r="C3716" t="str">
        <f t="shared" si="1609"/>
        <v>FFDFD3C0</v>
      </c>
      <c r="D3716" t="s">
        <v>113</v>
      </c>
      <c r="E3716">
        <v>5</v>
      </c>
      <c r="H3716">
        <v>163</v>
      </c>
      <c r="I3716" t="s">
        <v>114</v>
      </c>
      <c r="J3716" t="s">
        <v>115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"06:22:43.273"</f>
        <v>06:22:43.273</v>
      </c>
      <c r="T3716" t="str">
        <f>"06:22:42.873"</f>
        <v>06:22:42.873</v>
      </c>
      <c r="U3716" t="str">
        <f t="shared" si="1610"/>
        <v>A7E2E0</v>
      </c>
      <c r="V3716">
        <v>0</v>
      </c>
      <c r="W3716">
        <v>0</v>
      </c>
      <c r="X3716">
        <v>1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0</v>
      </c>
      <c r="AI3716" t="s">
        <v>1679</v>
      </c>
      <c r="AJ3716">
        <v>38.800364000000002</v>
      </c>
      <c r="AK3716" t="s">
        <v>1680</v>
      </c>
      <c r="AL3716">
        <v>-87.605174000000005</v>
      </c>
      <c r="AM3716">
        <v>100</v>
      </c>
      <c r="AN3716">
        <v>1000</v>
      </c>
      <c r="AO3716" t="s">
        <v>118</v>
      </c>
      <c r="AP3716">
        <v>-12</v>
      </c>
      <c r="AQ3716">
        <v>-106</v>
      </c>
      <c r="AR3716">
        <v>-768</v>
      </c>
      <c r="AZ3716">
        <v>4552</v>
      </c>
      <c r="BA3716">
        <v>1</v>
      </c>
      <c r="BB3716" t="str">
        <f t="shared" si="1611"/>
        <v xml:space="preserve">N607SR  </v>
      </c>
      <c r="BC3716">
        <v>1</v>
      </c>
      <c r="BE3716">
        <v>0</v>
      </c>
      <c r="BF3716">
        <v>0</v>
      </c>
      <c r="BG3716">
        <v>0</v>
      </c>
      <c r="BH3716">
        <v>725</v>
      </c>
      <c r="BI3716">
        <v>1</v>
      </c>
      <c r="BJ3716">
        <v>1</v>
      </c>
      <c r="BK3716">
        <v>1</v>
      </c>
      <c r="BL3716">
        <v>0</v>
      </c>
      <c r="BO3716">
        <v>0</v>
      </c>
      <c r="BP3716">
        <v>0</v>
      </c>
      <c r="BW3716" t="str">
        <f>"06:22:43.279"</f>
        <v>06:22:43.279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5</v>
      </c>
      <c r="CP3716" t="s">
        <v>119</v>
      </c>
      <c r="CQ3716">
        <v>457</v>
      </c>
      <c r="CR3716">
        <v>0</v>
      </c>
      <c r="CW3716">
        <v>15527708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0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3">
      <c r="A3717" t="str">
        <f>"08/29/2020 06:22:40.069"</f>
        <v>08/29/2020 06:22:40.069</v>
      </c>
      <c r="C3717" t="str">
        <f t="shared" si="1609"/>
        <v>FFDFD3C0</v>
      </c>
      <c r="D3717" t="s">
        <v>121</v>
      </c>
      <c r="E3717">
        <v>10</v>
      </c>
      <c r="F3717">
        <v>1010</v>
      </c>
      <c r="G3717" t="s">
        <v>114</v>
      </c>
      <c r="J3717" t="s">
        <v>123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"06:22:43.273"</f>
        <v>06:22:43.273</v>
      </c>
      <c r="T3717" t="str">
        <f>"06:22:42.873"</f>
        <v>06:22:42.873</v>
      </c>
      <c r="U3717" t="str">
        <f t="shared" si="1610"/>
        <v>A7E2E0</v>
      </c>
      <c r="V3717">
        <v>0</v>
      </c>
      <c r="W3717">
        <v>0</v>
      </c>
      <c r="X3717">
        <v>1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0</v>
      </c>
      <c r="AI3717" t="s">
        <v>1679</v>
      </c>
      <c r="AJ3717">
        <v>38.800364000000002</v>
      </c>
      <c r="AK3717" t="s">
        <v>1680</v>
      </c>
      <c r="AL3717">
        <v>-87.605174000000005</v>
      </c>
      <c r="AM3717">
        <v>100</v>
      </c>
      <c r="AN3717">
        <v>1000</v>
      </c>
      <c r="AO3717" t="s">
        <v>118</v>
      </c>
      <c r="AP3717">
        <v>-12</v>
      </c>
      <c r="AQ3717">
        <v>-106</v>
      </c>
      <c r="AR3717">
        <v>-768</v>
      </c>
      <c r="AZ3717">
        <v>4552</v>
      </c>
      <c r="BA3717">
        <v>1</v>
      </c>
      <c r="BB3717" t="str">
        <f t="shared" si="1611"/>
        <v xml:space="preserve">N607SR  </v>
      </c>
      <c r="BC3717">
        <v>1</v>
      </c>
      <c r="BE3717">
        <v>0</v>
      </c>
      <c r="BF3717">
        <v>0</v>
      </c>
      <c r="BG3717">
        <v>0</v>
      </c>
      <c r="BH3717">
        <v>725</v>
      </c>
      <c r="BI3717">
        <v>1</v>
      </c>
      <c r="BJ3717">
        <v>1</v>
      </c>
      <c r="BK3717">
        <v>1</v>
      </c>
      <c r="BL3717">
        <v>0</v>
      </c>
      <c r="BO3717">
        <v>0</v>
      </c>
      <c r="BP3717">
        <v>0</v>
      </c>
      <c r="BW3717" t="str">
        <f>"06:22:43.279"</f>
        <v>06:22:43.279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5</v>
      </c>
      <c r="CP3717" t="s">
        <v>119</v>
      </c>
      <c r="CQ3717">
        <v>457</v>
      </c>
      <c r="CR3717">
        <v>0</v>
      </c>
      <c r="CW3717">
        <v>15527708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3">
      <c r="A3718" t="str">
        <f>"08/29/2020 06:22:40.069"</f>
        <v>08/29/2020 06:22:40.069</v>
      </c>
      <c r="C3718" t="str">
        <f t="shared" si="1609"/>
        <v>FFDFD3C0</v>
      </c>
      <c r="D3718" t="s">
        <v>128</v>
      </c>
      <c r="E3718">
        <v>5</v>
      </c>
      <c r="H3718">
        <v>241</v>
      </c>
      <c r="I3718" t="s">
        <v>129</v>
      </c>
      <c r="J3718" t="s">
        <v>130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"06:22:43.273"</f>
        <v>06:22:43.273</v>
      </c>
      <c r="T3718" t="str">
        <f>"06:22:42.873"</f>
        <v>06:22:42.873</v>
      </c>
      <c r="U3718" t="str">
        <f t="shared" si="1610"/>
        <v>A7E2E0</v>
      </c>
      <c r="V3718">
        <v>0</v>
      </c>
      <c r="W3718">
        <v>0</v>
      </c>
      <c r="X3718">
        <v>1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3</v>
      </c>
      <c r="AG3718">
        <v>2</v>
      </c>
      <c r="AH3718">
        <v>0</v>
      </c>
      <c r="AI3718" t="s">
        <v>1679</v>
      </c>
      <c r="AJ3718">
        <v>38.800364000000002</v>
      </c>
      <c r="AK3718" t="s">
        <v>1680</v>
      </c>
      <c r="AL3718">
        <v>-87.605174000000005</v>
      </c>
      <c r="AM3718">
        <v>100</v>
      </c>
      <c r="AN3718">
        <v>1000</v>
      </c>
      <c r="AO3718" t="s">
        <v>118</v>
      </c>
      <c r="AP3718">
        <v>-12</v>
      </c>
      <c r="AQ3718">
        <v>-106</v>
      </c>
      <c r="AR3718">
        <v>-768</v>
      </c>
      <c r="AZ3718">
        <v>4552</v>
      </c>
      <c r="BA3718">
        <v>1</v>
      </c>
      <c r="BB3718" t="str">
        <f t="shared" si="1611"/>
        <v xml:space="preserve">N607SR  </v>
      </c>
      <c r="BC3718">
        <v>1</v>
      </c>
      <c r="BE3718">
        <v>0</v>
      </c>
      <c r="BF3718">
        <v>0</v>
      </c>
      <c r="BG3718">
        <v>0</v>
      </c>
      <c r="BH3718">
        <v>725</v>
      </c>
      <c r="BI3718">
        <v>1</v>
      </c>
      <c r="BJ3718">
        <v>1</v>
      </c>
      <c r="BK3718">
        <v>1</v>
      </c>
      <c r="BL3718">
        <v>0</v>
      </c>
      <c r="BO3718">
        <v>0</v>
      </c>
      <c r="BP3718">
        <v>0</v>
      </c>
      <c r="BW3718" t="str">
        <f>"06:22:43.279"</f>
        <v>06:22:43.279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5</v>
      </c>
      <c r="CP3718" t="s">
        <v>119</v>
      </c>
      <c r="CQ3718">
        <v>457</v>
      </c>
      <c r="CR3718">
        <v>0</v>
      </c>
      <c r="CW3718">
        <v>15527708</v>
      </c>
      <c r="CY3718">
        <v>1</v>
      </c>
      <c r="CZ3718">
        <v>0</v>
      </c>
      <c r="DA3718">
        <v>1</v>
      </c>
      <c r="DB3718">
        <v>0</v>
      </c>
      <c r="DC3718">
        <v>0</v>
      </c>
      <c r="DD3718">
        <v>0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3">
      <c r="A3719" t="str">
        <f>"08/29/2020 06:22:41.233"</f>
        <v>08/29/2020 06:22:41.233</v>
      </c>
      <c r="C3719" t="str">
        <f t="shared" si="1609"/>
        <v>FFDFD3C0</v>
      </c>
      <c r="D3719" t="s">
        <v>121</v>
      </c>
      <c r="E3719">
        <v>13</v>
      </c>
      <c r="F3719">
        <v>1013</v>
      </c>
      <c r="G3719" t="s">
        <v>122</v>
      </c>
      <c r="J3719" t="s">
        <v>123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"06:22:44.445"</f>
        <v>06:22:44.445</v>
      </c>
      <c r="T3719" t="str">
        <f>"06:22:43.945"</f>
        <v>06:22:43.945</v>
      </c>
      <c r="U3719" t="str">
        <f t="shared" si="1610"/>
        <v>A7E2E0</v>
      </c>
      <c r="V3719">
        <v>0</v>
      </c>
      <c r="W3719">
        <v>0</v>
      </c>
      <c r="X3719">
        <v>1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0</v>
      </c>
      <c r="AI3719" t="s">
        <v>1681</v>
      </c>
      <c r="AJ3719">
        <v>38.799805999999997</v>
      </c>
      <c r="AK3719" t="s">
        <v>1563</v>
      </c>
      <c r="AL3719">
        <v>-87.605216999999996</v>
      </c>
      <c r="AM3719">
        <v>100</v>
      </c>
      <c r="AN3719">
        <v>1000</v>
      </c>
      <c r="AO3719" t="s">
        <v>118</v>
      </c>
      <c r="AP3719">
        <v>-10</v>
      </c>
      <c r="AQ3719">
        <v>-105</v>
      </c>
      <c r="AR3719">
        <v>-768</v>
      </c>
      <c r="AZ3719">
        <v>4552</v>
      </c>
      <c r="BA3719">
        <v>1</v>
      </c>
      <c r="BB3719" t="str">
        <f t="shared" si="1611"/>
        <v xml:space="preserve">N607SR  </v>
      </c>
      <c r="BC3719">
        <v>1</v>
      </c>
      <c r="BE3719">
        <v>0</v>
      </c>
      <c r="BF3719">
        <v>0</v>
      </c>
      <c r="BG3719">
        <v>0</v>
      </c>
      <c r="BH3719">
        <v>725</v>
      </c>
      <c r="BI3719">
        <v>1</v>
      </c>
      <c r="BJ3719">
        <v>1</v>
      </c>
      <c r="BK3719">
        <v>1</v>
      </c>
      <c r="BL3719">
        <v>0</v>
      </c>
      <c r="BO3719">
        <v>0</v>
      </c>
      <c r="BP3719">
        <v>0</v>
      </c>
      <c r="BW3719" t="str">
        <f>"06:22:44.450"</f>
        <v>06:22:44.450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5</v>
      </c>
      <c r="CP3719" t="s">
        <v>119</v>
      </c>
      <c r="CQ3719">
        <v>457</v>
      </c>
      <c r="CR3719">
        <v>0</v>
      </c>
      <c r="CW3719">
        <v>15527744</v>
      </c>
      <c r="CY3719">
        <v>1</v>
      </c>
      <c r="CZ3719">
        <v>0</v>
      </c>
      <c r="DA3719">
        <v>0</v>
      </c>
      <c r="DB3719">
        <v>0</v>
      </c>
      <c r="DC3719">
        <v>0</v>
      </c>
      <c r="DD3719">
        <v>0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3">
      <c r="A3720" t="str">
        <f>"08/29/2020 06:22:41.233"</f>
        <v>08/29/2020 06:22:41.233</v>
      </c>
      <c r="C3720" t="str">
        <f t="shared" si="1609"/>
        <v>FFDFD3C0</v>
      </c>
      <c r="D3720" t="s">
        <v>121</v>
      </c>
      <c r="E3720">
        <v>11</v>
      </c>
      <c r="F3720">
        <v>1011</v>
      </c>
      <c r="G3720" t="s">
        <v>125</v>
      </c>
      <c r="J3720" t="s">
        <v>123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"06:22:44.445"</f>
        <v>06:22:44.445</v>
      </c>
      <c r="T3720" t="str">
        <f>"06:22:43.945"</f>
        <v>06:22:43.945</v>
      </c>
      <c r="U3720" t="str">
        <f t="shared" si="1610"/>
        <v>A7E2E0</v>
      </c>
      <c r="V3720">
        <v>0</v>
      </c>
      <c r="W3720">
        <v>0</v>
      </c>
      <c r="X3720">
        <v>1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0</v>
      </c>
      <c r="AI3720" t="s">
        <v>1681</v>
      </c>
      <c r="AJ3720">
        <v>38.799805999999997</v>
      </c>
      <c r="AK3720" t="s">
        <v>1563</v>
      </c>
      <c r="AL3720">
        <v>-87.605216999999996</v>
      </c>
      <c r="AM3720">
        <v>100</v>
      </c>
      <c r="AN3720">
        <v>1000</v>
      </c>
      <c r="AO3720" t="s">
        <v>118</v>
      </c>
      <c r="AP3720">
        <v>-10</v>
      </c>
      <c r="AQ3720">
        <v>-105</v>
      </c>
      <c r="AR3720">
        <v>-768</v>
      </c>
      <c r="AZ3720">
        <v>4552</v>
      </c>
      <c r="BA3720">
        <v>1</v>
      </c>
      <c r="BB3720" t="str">
        <f t="shared" si="1611"/>
        <v xml:space="preserve">N607SR  </v>
      </c>
      <c r="BC3720">
        <v>1</v>
      </c>
      <c r="BE3720">
        <v>0</v>
      </c>
      <c r="BF3720">
        <v>0</v>
      </c>
      <c r="BG3720">
        <v>0</v>
      </c>
      <c r="BH3720">
        <v>725</v>
      </c>
      <c r="BI3720">
        <v>1</v>
      </c>
      <c r="BJ3720">
        <v>1</v>
      </c>
      <c r="BK3720">
        <v>1</v>
      </c>
      <c r="BL3720">
        <v>0</v>
      </c>
      <c r="BO3720">
        <v>0</v>
      </c>
      <c r="BP3720">
        <v>0</v>
      </c>
      <c r="BW3720" t="str">
        <f>"06:22:44.450"</f>
        <v>06:22:44.450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5</v>
      </c>
      <c r="CP3720" t="s">
        <v>119</v>
      </c>
      <c r="CQ3720">
        <v>457</v>
      </c>
      <c r="CR3720">
        <v>0</v>
      </c>
      <c r="CW3720">
        <v>15527744</v>
      </c>
      <c r="CY3720">
        <v>1</v>
      </c>
      <c r="CZ3720">
        <v>0</v>
      </c>
      <c r="DA3720">
        <v>1</v>
      </c>
      <c r="DB3720">
        <v>0</v>
      </c>
      <c r="DC3720">
        <v>0</v>
      </c>
      <c r="DD3720">
        <v>0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3">
      <c r="A3721" t="str">
        <f>"08/29/2020 06:22:41.233"</f>
        <v>08/29/2020 06:22:41.233</v>
      </c>
      <c r="C3721" t="str">
        <f t="shared" si="1609"/>
        <v>FFDFD3C0</v>
      </c>
      <c r="D3721" t="s">
        <v>113</v>
      </c>
      <c r="E3721">
        <v>5</v>
      </c>
      <c r="H3721">
        <v>163</v>
      </c>
      <c r="I3721" t="s">
        <v>114</v>
      </c>
      <c r="J3721" t="s">
        <v>115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"06:22:44.445"</f>
        <v>06:22:44.445</v>
      </c>
      <c r="T3721" t="str">
        <f>"06:22:43.945"</f>
        <v>06:22:43.945</v>
      </c>
      <c r="U3721" t="str">
        <f t="shared" si="1610"/>
        <v>A7E2E0</v>
      </c>
      <c r="V3721">
        <v>0</v>
      </c>
      <c r="W3721">
        <v>0</v>
      </c>
      <c r="X3721">
        <v>1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0</v>
      </c>
      <c r="AI3721" t="s">
        <v>1681</v>
      </c>
      <c r="AJ3721">
        <v>38.799805999999997</v>
      </c>
      <c r="AK3721" t="s">
        <v>1563</v>
      </c>
      <c r="AL3721">
        <v>-87.605216999999996</v>
      </c>
      <c r="AM3721">
        <v>100</v>
      </c>
      <c r="AN3721">
        <v>1000</v>
      </c>
      <c r="AO3721" t="s">
        <v>118</v>
      </c>
      <c r="AP3721">
        <v>-10</v>
      </c>
      <c r="AQ3721">
        <v>-105</v>
      </c>
      <c r="AR3721">
        <v>-768</v>
      </c>
      <c r="AZ3721">
        <v>4552</v>
      </c>
      <c r="BA3721">
        <v>1</v>
      </c>
      <c r="BB3721" t="str">
        <f t="shared" si="1611"/>
        <v xml:space="preserve">N607SR  </v>
      </c>
      <c r="BC3721">
        <v>1</v>
      </c>
      <c r="BE3721">
        <v>0</v>
      </c>
      <c r="BF3721">
        <v>0</v>
      </c>
      <c r="BG3721">
        <v>0</v>
      </c>
      <c r="BH3721">
        <v>725</v>
      </c>
      <c r="BI3721">
        <v>1</v>
      </c>
      <c r="BJ3721">
        <v>1</v>
      </c>
      <c r="BK3721">
        <v>1</v>
      </c>
      <c r="BL3721">
        <v>0</v>
      </c>
      <c r="BO3721">
        <v>0</v>
      </c>
      <c r="BP3721">
        <v>0</v>
      </c>
      <c r="BW3721" t="str">
        <f>"06:22:44.450"</f>
        <v>06:22:44.450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5</v>
      </c>
      <c r="CP3721" t="s">
        <v>119</v>
      </c>
      <c r="CQ3721">
        <v>457</v>
      </c>
      <c r="CR3721">
        <v>0</v>
      </c>
      <c r="CW3721">
        <v>15527744</v>
      </c>
      <c r="CY3721">
        <v>1</v>
      </c>
      <c r="CZ3721">
        <v>0</v>
      </c>
      <c r="DA3721">
        <v>1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3">
      <c r="A3722" t="str">
        <f>"08/29/2020 06:22:41.233"</f>
        <v>08/29/2020 06:22:41.233</v>
      </c>
      <c r="C3722" t="str">
        <f t="shared" si="1609"/>
        <v>FFDFD3C0</v>
      </c>
      <c r="D3722" t="s">
        <v>121</v>
      </c>
      <c r="E3722">
        <v>10</v>
      </c>
      <c r="F3722">
        <v>1010</v>
      </c>
      <c r="G3722" t="s">
        <v>114</v>
      </c>
      <c r="J3722" t="s">
        <v>123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"06:22:44.445"</f>
        <v>06:22:44.445</v>
      </c>
      <c r="T3722" t="str">
        <f>"06:22:43.945"</f>
        <v>06:22:43.945</v>
      </c>
      <c r="U3722" t="str">
        <f t="shared" si="1610"/>
        <v>A7E2E0</v>
      </c>
      <c r="V3722">
        <v>0</v>
      </c>
      <c r="W3722">
        <v>0</v>
      </c>
      <c r="X3722">
        <v>1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0</v>
      </c>
      <c r="AI3722" t="s">
        <v>1681</v>
      </c>
      <c r="AJ3722">
        <v>38.799805999999997</v>
      </c>
      <c r="AK3722" t="s">
        <v>1563</v>
      </c>
      <c r="AL3722">
        <v>-87.605216999999996</v>
      </c>
      <c r="AM3722">
        <v>100</v>
      </c>
      <c r="AN3722">
        <v>1000</v>
      </c>
      <c r="AO3722" t="s">
        <v>118</v>
      </c>
      <c r="AP3722">
        <v>-10</v>
      </c>
      <c r="AQ3722">
        <v>-105</v>
      </c>
      <c r="AR3722">
        <v>-768</v>
      </c>
      <c r="AZ3722">
        <v>4552</v>
      </c>
      <c r="BA3722">
        <v>1</v>
      </c>
      <c r="BB3722" t="str">
        <f t="shared" si="1611"/>
        <v xml:space="preserve">N607SR  </v>
      </c>
      <c r="BC3722">
        <v>1</v>
      </c>
      <c r="BE3722">
        <v>0</v>
      </c>
      <c r="BF3722">
        <v>0</v>
      </c>
      <c r="BG3722">
        <v>0</v>
      </c>
      <c r="BH3722">
        <v>725</v>
      </c>
      <c r="BI3722">
        <v>1</v>
      </c>
      <c r="BJ3722">
        <v>1</v>
      </c>
      <c r="BK3722">
        <v>1</v>
      </c>
      <c r="BL3722">
        <v>0</v>
      </c>
      <c r="BO3722">
        <v>0</v>
      </c>
      <c r="BP3722">
        <v>0</v>
      </c>
      <c r="BW3722" t="str">
        <f>"06:22:44.450"</f>
        <v>06:22:44.450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5</v>
      </c>
      <c r="CP3722" t="s">
        <v>119</v>
      </c>
      <c r="CQ3722">
        <v>457</v>
      </c>
      <c r="CR3722">
        <v>0</v>
      </c>
      <c r="CW3722">
        <v>15527744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0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3">
      <c r="A3723" t="str">
        <f>"08/29/2020 06:22:41.233"</f>
        <v>08/29/2020 06:22:41.233</v>
      </c>
      <c r="C3723" t="str">
        <f t="shared" si="1609"/>
        <v>FFDFD3C0</v>
      </c>
      <c r="D3723" t="s">
        <v>128</v>
      </c>
      <c r="E3723">
        <v>5</v>
      </c>
      <c r="H3723">
        <v>241</v>
      </c>
      <c r="I3723" t="s">
        <v>129</v>
      </c>
      <c r="J3723" t="s">
        <v>130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"06:22:44.445"</f>
        <v>06:22:44.445</v>
      </c>
      <c r="T3723" t="str">
        <f>"06:22:43.945"</f>
        <v>06:22:43.945</v>
      </c>
      <c r="U3723" t="str">
        <f t="shared" si="1610"/>
        <v>A7E2E0</v>
      </c>
      <c r="V3723">
        <v>0</v>
      </c>
      <c r="W3723">
        <v>0</v>
      </c>
      <c r="X3723">
        <v>1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0</v>
      </c>
      <c r="AI3723" t="s">
        <v>1681</v>
      </c>
      <c r="AJ3723">
        <v>38.799805999999997</v>
      </c>
      <c r="AK3723" t="s">
        <v>1563</v>
      </c>
      <c r="AL3723">
        <v>-87.605216999999996</v>
      </c>
      <c r="AM3723">
        <v>100</v>
      </c>
      <c r="AN3723">
        <v>1000</v>
      </c>
      <c r="AO3723" t="s">
        <v>118</v>
      </c>
      <c r="AP3723">
        <v>-10</v>
      </c>
      <c r="AQ3723">
        <v>-105</v>
      </c>
      <c r="AR3723">
        <v>-768</v>
      </c>
      <c r="AZ3723">
        <v>4552</v>
      </c>
      <c r="BA3723">
        <v>1</v>
      </c>
      <c r="BB3723" t="str">
        <f t="shared" si="1611"/>
        <v xml:space="preserve">N607SR  </v>
      </c>
      <c r="BC3723">
        <v>1</v>
      </c>
      <c r="BE3723">
        <v>0</v>
      </c>
      <c r="BF3723">
        <v>0</v>
      </c>
      <c r="BG3723">
        <v>0</v>
      </c>
      <c r="BH3723">
        <v>725</v>
      </c>
      <c r="BI3723">
        <v>1</v>
      </c>
      <c r="BJ3723">
        <v>1</v>
      </c>
      <c r="BK3723">
        <v>1</v>
      </c>
      <c r="BL3723">
        <v>0</v>
      </c>
      <c r="BO3723">
        <v>0</v>
      </c>
      <c r="BP3723">
        <v>0</v>
      </c>
      <c r="BW3723" t="str">
        <f>"06:22:44.450"</f>
        <v>06:22:44.450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5</v>
      </c>
      <c r="CP3723" t="s">
        <v>119</v>
      </c>
      <c r="CQ3723">
        <v>457</v>
      </c>
      <c r="CR3723">
        <v>0</v>
      </c>
      <c r="CW3723">
        <v>15527744</v>
      </c>
      <c r="CY3723">
        <v>1</v>
      </c>
      <c r="CZ3723">
        <v>0</v>
      </c>
      <c r="DA3723">
        <v>1</v>
      </c>
      <c r="DB3723">
        <v>0</v>
      </c>
      <c r="DC3723">
        <v>0</v>
      </c>
      <c r="DD3723">
        <v>0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3">
      <c r="A3724" t="str">
        <f>"08/29/2020 06:22:42.121"</f>
        <v>08/29/2020 06:22:42.121</v>
      </c>
      <c r="C3724" t="str">
        <f t="shared" si="1609"/>
        <v>FFDFD3C0</v>
      </c>
      <c r="D3724" t="s">
        <v>113</v>
      </c>
      <c r="E3724">
        <v>5</v>
      </c>
      <c r="H3724">
        <v>163</v>
      </c>
      <c r="I3724" t="s">
        <v>114</v>
      </c>
      <c r="J3724" t="s">
        <v>115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"06:22:45.375"</f>
        <v>06:22:45.375</v>
      </c>
      <c r="T3724" t="str">
        <f>"06:22:44.975"</f>
        <v>06:22:44.975</v>
      </c>
      <c r="U3724" t="str">
        <f t="shared" si="1610"/>
        <v>A7E2E0</v>
      </c>
      <c r="V3724">
        <v>0</v>
      </c>
      <c r="W3724">
        <v>0</v>
      </c>
      <c r="X3724">
        <v>1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0</v>
      </c>
      <c r="AI3724" t="s">
        <v>1682</v>
      </c>
      <c r="AJ3724">
        <v>38.799354999999998</v>
      </c>
      <c r="AK3724" t="s">
        <v>1561</v>
      </c>
      <c r="AL3724">
        <v>-87.605281000000005</v>
      </c>
      <c r="AM3724">
        <v>100</v>
      </c>
      <c r="AN3724">
        <v>1000</v>
      </c>
      <c r="AO3724" t="s">
        <v>118</v>
      </c>
      <c r="AP3724">
        <v>-8</v>
      </c>
      <c r="AQ3724">
        <v>-105</v>
      </c>
      <c r="AR3724">
        <v>-832</v>
      </c>
      <c r="AZ3724">
        <v>4552</v>
      </c>
      <c r="BA3724">
        <v>1</v>
      </c>
      <c r="BB3724" t="str">
        <f t="shared" si="1611"/>
        <v xml:space="preserve">N607SR  </v>
      </c>
      <c r="BC3724">
        <v>1</v>
      </c>
      <c r="BE3724">
        <v>0</v>
      </c>
      <c r="BF3724">
        <v>0</v>
      </c>
      <c r="BG3724">
        <v>0</v>
      </c>
      <c r="BH3724">
        <v>700</v>
      </c>
      <c r="BI3724">
        <v>1</v>
      </c>
      <c r="BJ3724">
        <v>1</v>
      </c>
      <c r="BK3724">
        <v>1</v>
      </c>
      <c r="BL3724">
        <v>0</v>
      </c>
      <c r="BO3724">
        <v>0</v>
      </c>
      <c r="BP3724">
        <v>0</v>
      </c>
      <c r="BW3724" t="str">
        <f>"06:22:45.376"</f>
        <v>06:22:45.376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5</v>
      </c>
      <c r="CP3724" t="s">
        <v>119</v>
      </c>
      <c r="CQ3724">
        <v>457</v>
      </c>
      <c r="CR3724">
        <v>0</v>
      </c>
      <c r="CW3724">
        <v>15527773</v>
      </c>
      <c r="CY3724">
        <v>1</v>
      </c>
      <c r="CZ3724">
        <v>0</v>
      </c>
      <c r="DA3724">
        <v>0</v>
      </c>
      <c r="DB3724">
        <v>0</v>
      </c>
      <c r="DC3724">
        <v>0</v>
      </c>
      <c r="DD3724">
        <v>0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3">
      <c r="A3725" t="str">
        <f>"08/29/2020 06:22:42.121"</f>
        <v>08/29/2020 06:22:42.121</v>
      </c>
      <c r="C3725" t="str">
        <f t="shared" si="1609"/>
        <v>FFDFD3C0</v>
      </c>
      <c r="D3725" t="s">
        <v>121</v>
      </c>
      <c r="E3725">
        <v>10</v>
      </c>
      <c r="F3725">
        <v>1010</v>
      </c>
      <c r="G3725" t="s">
        <v>114</v>
      </c>
      <c r="J3725" t="s">
        <v>123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"06:22:45.375"</f>
        <v>06:22:45.375</v>
      </c>
      <c r="T3725" t="str">
        <f>"06:22:44.975"</f>
        <v>06:22:44.975</v>
      </c>
      <c r="U3725" t="str">
        <f t="shared" si="1610"/>
        <v>A7E2E0</v>
      </c>
      <c r="V3725">
        <v>0</v>
      </c>
      <c r="W3725">
        <v>0</v>
      </c>
      <c r="X3725">
        <v>1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0</v>
      </c>
      <c r="AI3725" t="s">
        <v>1682</v>
      </c>
      <c r="AJ3725">
        <v>38.799354999999998</v>
      </c>
      <c r="AK3725" t="s">
        <v>1561</v>
      </c>
      <c r="AL3725">
        <v>-87.605281000000005</v>
      </c>
      <c r="AM3725">
        <v>100</v>
      </c>
      <c r="AN3725">
        <v>1000</v>
      </c>
      <c r="AO3725" t="s">
        <v>118</v>
      </c>
      <c r="AP3725">
        <v>-8</v>
      </c>
      <c r="AQ3725">
        <v>-105</v>
      </c>
      <c r="AR3725">
        <v>-832</v>
      </c>
      <c r="AZ3725">
        <v>4552</v>
      </c>
      <c r="BA3725">
        <v>1</v>
      </c>
      <c r="BB3725" t="str">
        <f t="shared" si="1611"/>
        <v xml:space="preserve">N607SR  </v>
      </c>
      <c r="BC3725">
        <v>1</v>
      </c>
      <c r="BE3725">
        <v>0</v>
      </c>
      <c r="BF3725">
        <v>0</v>
      </c>
      <c r="BG3725">
        <v>0</v>
      </c>
      <c r="BH3725">
        <v>700</v>
      </c>
      <c r="BI3725">
        <v>1</v>
      </c>
      <c r="BJ3725">
        <v>1</v>
      </c>
      <c r="BK3725">
        <v>1</v>
      </c>
      <c r="BL3725">
        <v>0</v>
      </c>
      <c r="BO3725">
        <v>0</v>
      </c>
      <c r="BP3725">
        <v>0</v>
      </c>
      <c r="BW3725" t="str">
        <f>"06:22:45.376"</f>
        <v>06:22:45.376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5</v>
      </c>
      <c r="CP3725" t="s">
        <v>119</v>
      </c>
      <c r="CQ3725">
        <v>457</v>
      </c>
      <c r="CR3725">
        <v>0</v>
      </c>
      <c r="CW3725">
        <v>15527773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0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3">
      <c r="A3726" t="str">
        <f>"08/29/2020 06:22:42.121"</f>
        <v>08/29/2020 06:22:42.121</v>
      </c>
      <c r="C3726" t="str">
        <f t="shared" si="1609"/>
        <v>FFDFD3C0</v>
      </c>
      <c r="D3726" t="s">
        <v>128</v>
      </c>
      <c r="E3726">
        <v>5</v>
      </c>
      <c r="H3726">
        <v>241</v>
      </c>
      <c r="I3726" t="s">
        <v>129</v>
      </c>
      <c r="J3726" t="s">
        <v>130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"06:22:45.375"</f>
        <v>06:22:45.375</v>
      </c>
      <c r="T3726" t="str">
        <f>"06:22:44.975"</f>
        <v>06:22:44.975</v>
      </c>
      <c r="U3726" t="str">
        <f t="shared" si="1610"/>
        <v>A7E2E0</v>
      </c>
      <c r="V3726">
        <v>0</v>
      </c>
      <c r="W3726">
        <v>0</v>
      </c>
      <c r="X3726">
        <v>1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3</v>
      </c>
      <c r="AG3726">
        <v>2</v>
      </c>
      <c r="AH3726">
        <v>0</v>
      </c>
      <c r="AI3726" t="s">
        <v>1682</v>
      </c>
      <c r="AJ3726">
        <v>38.799354999999998</v>
      </c>
      <c r="AK3726" t="s">
        <v>1561</v>
      </c>
      <c r="AL3726">
        <v>-87.605281000000005</v>
      </c>
      <c r="AM3726">
        <v>100</v>
      </c>
      <c r="AN3726">
        <v>1000</v>
      </c>
      <c r="AO3726" t="s">
        <v>118</v>
      </c>
      <c r="AP3726">
        <v>-8</v>
      </c>
      <c r="AQ3726">
        <v>-105</v>
      </c>
      <c r="AR3726">
        <v>-832</v>
      </c>
      <c r="AZ3726">
        <v>4552</v>
      </c>
      <c r="BA3726">
        <v>1</v>
      </c>
      <c r="BB3726" t="str">
        <f t="shared" si="1611"/>
        <v xml:space="preserve">N607SR  </v>
      </c>
      <c r="BC3726">
        <v>1</v>
      </c>
      <c r="BE3726">
        <v>0</v>
      </c>
      <c r="BF3726">
        <v>0</v>
      </c>
      <c r="BG3726">
        <v>0</v>
      </c>
      <c r="BH3726">
        <v>700</v>
      </c>
      <c r="BI3726">
        <v>1</v>
      </c>
      <c r="BJ3726">
        <v>1</v>
      </c>
      <c r="BK3726">
        <v>1</v>
      </c>
      <c r="BL3726">
        <v>0</v>
      </c>
      <c r="BO3726">
        <v>0</v>
      </c>
      <c r="BP3726">
        <v>0</v>
      </c>
      <c r="BW3726" t="str">
        <f>"06:22:45.376"</f>
        <v>06:22:45.376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5</v>
      </c>
      <c r="CP3726" t="s">
        <v>119</v>
      </c>
      <c r="CQ3726">
        <v>457</v>
      </c>
      <c r="CR3726">
        <v>0</v>
      </c>
      <c r="CW3726">
        <v>15527773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0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3">
      <c r="A3727" t="str">
        <f>"08/29/2020 06:22:42.121"</f>
        <v>08/29/2020 06:22:42.121</v>
      </c>
      <c r="C3727" t="str">
        <f t="shared" si="1609"/>
        <v>FFDFD3C0</v>
      </c>
      <c r="D3727" t="s">
        <v>121</v>
      </c>
      <c r="E3727">
        <v>13</v>
      </c>
      <c r="F3727">
        <v>1013</v>
      </c>
      <c r="G3727" t="s">
        <v>122</v>
      </c>
      <c r="J3727" t="s">
        <v>123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"06:22:45.375"</f>
        <v>06:22:45.375</v>
      </c>
      <c r="T3727" t="str">
        <f>"06:22:44.975"</f>
        <v>06:22:44.975</v>
      </c>
      <c r="U3727" t="str">
        <f t="shared" si="1610"/>
        <v>A7E2E0</v>
      </c>
      <c r="V3727">
        <v>0</v>
      </c>
      <c r="W3727">
        <v>0</v>
      </c>
      <c r="X3727">
        <v>1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0</v>
      </c>
      <c r="AI3727" t="s">
        <v>1682</v>
      </c>
      <c r="AJ3727">
        <v>38.799354999999998</v>
      </c>
      <c r="AK3727" t="s">
        <v>1561</v>
      </c>
      <c r="AL3727">
        <v>-87.605281000000005</v>
      </c>
      <c r="AM3727">
        <v>100</v>
      </c>
      <c r="AN3727">
        <v>1000</v>
      </c>
      <c r="AO3727" t="s">
        <v>118</v>
      </c>
      <c r="AP3727">
        <v>-8</v>
      </c>
      <c r="AQ3727">
        <v>-105</v>
      </c>
      <c r="AR3727">
        <v>-832</v>
      </c>
      <c r="AZ3727">
        <v>4552</v>
      </c>
      <c r="BA3727">
        <v>1</v>
      </c>
      <c r="BB3727" t="str">
        <f t="shared" si="1611"/>
        <v xml:space="preserve">N607SR  </v>
      </c>
      <c r="BC3727">
        <v>1</v>
      </c>
      <c r="BE3727">
        <v>0</v>
      </c>
      <c r="BF3727">
        <v>0</v>
      </c>
      <c r="BG3727">
        <v>0</v>
      </c>
      <c r="BH3727">
        <v>700</v>
      </c>
      <c r="BI3727">
        <v>1</v>
      </c>
      <c r="BJ3727">
        <v>1</v>
      </c>
      <c r="BK3727">
        <v>1</v>
      </c>
      <c r="BL3727">
        <v>0</v>
      </c>
      <c r="BO3727">
        <v>0</v>
      </c>
      <c r="BP3727">
        <v>0</v>
      </c>
      <c r="BW3727" t="str">
        <f>"06:22:45.376"</f>
        <v>06:22:45.376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5</v>
      </c>
      <c r="CP3727" t="s">
        <v>119</v>
      </c>
      <c r="CQ3727">
        <v>457</v>
      </c>
      <c r="CR3727">
        <v>0</v>
      </c>
      <c r="CW3727">
        <v>15527773</v>
      </c>
      <c r="CY3727">
        <v>1</v>
      </c>
      <c r="CZ3727">
        <v>0</v>
      </c>
      <c r="DA3727">
        <v>1</v>
      </c>
      <c r="DB3727">
        <v>0</v>
      </c>
      <c r="DC3727">
        <v>0</v>
      </c>
      <c r="DD3727">
        <v>0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3">
      <c r="A3728" t="str">
        <f>"08/29/2020 06:22:42.121"</f>
        <v>08/29/2020 06:22:42.121</v>
      </c>
      <c r="C3728" t="str">
        <f t="shared" si="1609"/>
        <v>FFDFD3C0</v>
      </c>
      <c r="D3728" t="s">
        <v>121</v>
      </c>
      <c r="E3728">
        <v>11</v>
      </c>
      <c r="F3728">
        <v>1011</v>
      </c>
      <c r="G3728" t="s">
        <v>125</v>
      </c>
      <c r="J3728" t="s">
        <v>123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"06:22:45.375"</f>
        <v>06:22:45.375</v>
      </c>
      <c r="T3728" t="str">
        <f>"06:22:44.975"</f>
        <v>06:22:44.975</v>
      </c>
      <c r="U3728" t="str">
        <f t="shared" si="1610"/>
        <v>A7E2E0</v>
      </c>
      <c r="V3728">
        <v>0</v>
      </c>
      <c r="W3728">
        <v>0</v>
      </c>
      <c r="X3728">
        <v>1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0</v>
      </c>
      <c r="AI3728" t="s">
        <v>1682</v>
      </c>
      <c r="AJ3728">
        <v>38.799354999999998</v>
      </c>
      <c r="AK3728" t="s">
        <v>1561</v>
      </c>
      <c r="AL3728">
        <v>-87.605281000000005</v>
      </c>
      <c r="AM3728">
        <v>100</v>
      </c>
      <c r="AN3728">
        <v>1000</v>
      </c>
      <c r="AO3728" t="s">
        <v>118</v>
      </c>
      <c r="AP3728">
        <v>-8</v>
      </c>
      <c r="AQ3728">
        <v>-105</v>
      </c>
      <c r="AR3728">
        <v>-832</v>
      </c>
      <c r="AZ3728">
        <v>4552</v>
      </c>
      <c r="BA3728">
        <v>1</v>
      </c>
      <c r="BB3728" t="str">
        <f t="shared" si="1611"/>
        <v xml:space="preserve">N607SR  </v>
      </c>
      <c r="BC3728">
        <v>1</v>
      </c>
      <c r="BE3728">
        <v>0</v>
      </c>
      <c r="BF3728">
        <v>0</v>
      </c>
      <c r="BG3728">
        <v>0</v>
      </c>
      <c r="BH3728">
        <v>700</v>
      </c>
      <c r="BI3728">
        <v>1</v>
      </c>
      <c r="BJ3728">
        <v>1</v>
      </c>
      <c r="BK3728">
        <v>1</v>
      </c>
      <c r="BL3728">
        <v>0</v>
      </c>
      <c r="BO3728">
        <v>0</v>
      </c>
      <c r="BP3728">
        <v>0</v>
      </c>
      <c r="BW3728" t="str">
        <f>"06:22:45.376"</f>
        <v>06:22:45.376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5</v>
      </c>
      <c r="CP3728" t="s">
        <v>119</v>
      </c>
      <c r="CQ3728">
        <v>457</v>
      </c>
      <c r="CR3728">
        <v>0</v>
      </c>
      <c r="CW3728">
        <v>15527773</v>
      </c>
      <c r="CY3728">
        <v>1</v>
      </c>
      <c r="CZ3728">
        <v>0</v>
      </c>
      <c r="DA3728">
        <v>1</v>
      </c>
      <c r="DB3728">
        <v>0</v>
      </c>
      <c r="DC3728">
        <v>0</v>
      </c>
      <c r="DD3728">
        <v>0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3">
      <c r="A3729" t="str">
        <f>"08/29/2020 06:22:43.021"</f>
        <v>08/29/2020 06:22:43.021</v>
      </c>
      <c r="C3729" t="str">
        <f t="shared" si="1609"/>
        <v>FFDFD3C0</v>
      </c>
      <c r="D3729" t="s">
        <v>121</v>
      </c>
      <c r="E3729">
        <v>11</v>
      </c>
      <c r="F3729">
        <v>1011</v>
      </c>
      <c r="G3729" t="s">
        <v>125</v>
      </c>
      <c r="J3729" t="s">
        <v>123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"06:22:46.219"</f>
        <v>06:22:46.219</v>
      </c>
      <c r="T3729" t="str">
        <f>"06:22:45.819"</f>
        <v>06:22:45.819</v>
      </c>
      <c r="U3729" t="str">
        <f t="shared" si="1610"/>
        <v>A7E2E0</v>
      </c>
      <c r="V3729">
        <v>0</v>
      </c>
      <c r="W3729">
        <v>0</v>
      </c>
      <c r="X3729">
        <v>1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0</v>
      </c>
      <c r="AI3729" t="s">
        <v>1683</v>
      </c>
      <c r="AJ3729">
        <v>38.798926000000002</v>
      </c>
      <c r="AK3729" t="s">
        <v>1561</v>
      </c>
      <c r="AL3729">
        <v>-87.605281000000005</v>
      </c>
      <c r="AM3729">
        <v>100</v>
      </c>
      <c r="AN3729">
        <v>900</v>
      </c>
      <c r="AO3729" t="s">
        <v>118</v>
      </c>
      <c r="AP3729">
        <v>-6</v>
      </c>
      <c r="AQ3729">
        <v>-105</v>
      </c>
      <c r="AR3729">
        <v>-896</v>
      </c>
      <c r="AZ3729">
        <v>4552</v>
      </c>
      <c r="BA3729">
        <v>1</v>
      </c>
      <c r="BB3729" t="str">
        <f t="shared" si="1611"/>
        <v xml:space="preserve">N607SR  </v>
      </c>
      <c r="BC3729">
        <v>1</v>
      </c>
      <c r="BE3729">
        <v>0</v>
      </c>
      <c r="BF3729">
        <v>0</v>
      </c>
      <c r="BG3729">
        <v>0</v>
      </c>
      <c r="BH3729">
        <v>600</v>
      </c>
      <c r="BI3729">
        <v>1</v>
      </c>
      <c r="BJ3729">
        <v>1</v>
      </c>
      <c r="BK3729">
        <v>1</v>
      </c>
      <c r="BL3729">
        <v>0</v>
      </c>
      <c r="BO3729">
        <v>0</v>
      </c>
      <c r="BP3729">
        <v>0</v>
      </c>
      <c r="BW3729" t="str">
        <f>"06:22:46.225"</f>
        <v>06:22:46.225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5</v>
      </c>
      <c r="CP3729" t="s">
        <v>119</v>
      </c>
      <c r="CQ3729">
        <v>457</v>
      </c>
      <c r="CR3729">
        <v>0</v>
      </c>
      <c r="CW3729">
        <v>15527807</v>
      </c>
      <c r="CY3729">
        <v>1</v>
      </c>
      <c r="CZ3729">
        <v>0</v>
      </c>
      <c r="DA3729">
        <v>0</v>
      </c>
      <c r="DB3729">
        <v>0</v>
      </c>
      <c r="DC3729">
        <v>0</v>
      </c>
      <c r="DD3729">
        <v>0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3">
      <c r="A3730" t="str">
        <f>"08/29/2020 06:22:43.021"</f>
        <v>08/29/2020 06:22:43.021</v>
      </c>
      <c r="C3730" t="str">
        <f t="shared" si="1609"/>
        <v>FFDFD3C0</v>
      </c>
      <c r="D3730" t="s">
        <v>113</v>
      </c>
      <c r="E3730">
        <v>5</v>
      </c>
      <c r="H3730">
        <v>163</v>
      </c>
      <c r="I3730" t="s">
        <v>114</v>
      </c>
      <c r="J3730" t="s">
        <v>115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"06:22:46.219"</f>
        <v>06:22:46.219</v>
      </c>
      <c r="T3730" t="str">
        <f>"06:22:45.819"</f>
        <v>06:22:45.819</v>
      </c>
      <c r="U3730" t="str">
        <f t="shared" si="1610"/>
        <v>A7E2E0</v>
      </c>
      <c r="V3730">
        <v>0</v>
      </c>
      <c r="W3730">
        <v>0</v>
      </c>
      <c r="X3730">
        <v>1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0</v>
      </c>
      <c r="AI3730" t="s">
        <v>1683</v>
      </c>
      <c r="AJ3730">
        <v>38.798926000000002</v>
      </c>
      <c r="AK3730" t="s">
        <v>1561</v>
      </c>
      <c r="AL3730">
        <v>-87.605281000000005</v>
      </c>
      <c r="AM3730">
        <v>100</v>
      </c>
      <c r="AN3730">
        <v>900</v>
      </c>
      <c r="AO3730" t="s">
        <v>118</v>
      </c>
      <c r="AP3730">
        <v>-6</v>
      </c>
      <c r="AQ3730">
        <v>-105</v>
      </c>
      <c r="AR3730">
        <v>-896</v>
      </c>
      <c r="AZ3730">
        <v>4552</v>
      </c>
      <c r="BA3730">
        <v>1</v>
      </c>
      <c r="BB3730" t="str">
        <f t="shared" si="1611"/>
        <v xml:space="preserve">N607SR  </v>
      </c>
      <c r="BC3730">
        <v>1</v>
      </c>
      <c r="BE3730">
        <v>0</v>
      </c>
      <c r="BF3730">
        <v>0</v>
      </c>
      <c r="BG3730">
        <v>0</v>
      </c>
      <c r="BH3730">
        <v>600</v>
      </c>
      <c r="BI3730">
        <v>1</v>
      </c>
      <c r="BJ3730">
        <v>1</v>
      </c>
      <c r="BK3730">
        <v>1</v>
      </c>
      <c r="BL3730">
        <v>0</v>
      </c>
      <c r="BO3730">
        <v>0</v>
      </c>
      <c r="BP3730">
        <v>0</v>
      </c>
      <c r="BW3730" t="str">
        <f>"06:22:46.225"</f>
        <v>06:22:46.225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5</v>
      </c>
      <c r="CP3730" t="s">
        <v>119</v>
      </c>
      <c r="CQ3730">
        <v>457</v>
      </c>
      <c r="CR3730">
        <v>0</v>
      </c>
      <c r="CW3730">
        <v>15527807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0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3">
      <c r="A3731" t="str">
        <f>"08/29/2020 06:22:43.021"</f>
        <v>08/29/2020 06:22:43.021</v>
      </c>
      <c r="C3731" t="str">
        <f t="shared" si="1609"/>
        <v>FFDFD3C0</v>
      </c>
      <c r="D3731" t="s">
        <v>121</v>
      </c>
      <c r="E3731">
        <v>10</v>
      </c>
      <c r="F3731">
        <v>1010</v>
      </c>
      <c r="G3731" t="s">
        <v>114</v>
      </c>
      <c r="J3731" t="s">
        <v>123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"06:22:46.219"</f>
        <v>06:22:46.219</v>
      </c>
      <c r="T3731" t="str">
        <f>"06:22:45.819"</f>
        <v>06:22:45.819</v>
      </c>
      <c r="U3731" t="str">
        <f t="shared" si="1610"/>
        <v>A7E2E0</v>
      </c>
      <c r="V3731">
        <v>0</v>
      </c>
      <c r="W3731">
        <v>0</v>
      </c>
      <c r="X3731">
        <v>1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3</v>
      </c>
      <c r="AG3731">
        <v>2</v>
      </c>
      <c r="AH3731">
        <v>0</v>
      </c>
      <c r="AI3731" t="s">
        <v>1683</v>
      </c>
      <c r="AJ3731">
        <v>38.798926000000002</v>
      </c>
      <c r="AK3731" t="s">
        <v>1561</v>
      </c>
      <c r="AL3731">
        <v>-87.605281000000005</v>
      </c>
      <c r="AM3731">
        <v>100</v>
      </c>
      <c r="AN3731">
        <v>900</v>
      </c>
      <c r="AO3731" t="s">
        <v>118</v>
      </c>
      <c r="AP3731">
        <v>-6</v>
      </c>
      <c r="AQ3731">
        <v>-105</v>
      </c>
      <c r="AR3731">
        <v>-896</v>
      </c>
      <c r="AZ3731">
        <v>4552</v>
      </c>
      <c r="BA3731">
        <v>1</v>
      </c>
      <c r="BB3731" t="str">
        <f t="shared" si="1611"/>
        <v xml:space="preserve">N607SR  </v>
      </c>
      <c r="BC3731">
        <v>1</v>
      </c>
      <c r="BE3731">
        <v>0</v>
      </c>
      <c r="BF3731">
        <v>0</v>
      </c>
      <c r="BG3731">
        <v>0</v>
      </c>
      <c r="BH3731">
        <v>600</v>
      </c>
      <c r="BI3731">
        <v>1</v>
      </c>
      <c r="BJ3731">
        <v>1</v>
      </c>
      <c r="BK3731">
        <v>1</v>
      </c>
      <c r="BL3731">
        <v>0</v>
      </c>
      <c r="BO3731">
        <v>0</v>
      </c>
      <c r="BP3731">
        <v>0</v>
      </c>
      <c r="BW3731" t="str">
        <f>"06:22:46.225"</f>
        <v>06:22:46.225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5</v>
      </c>
      <c r="CP3731" t="s">
        <v>119</v>
      </c>
      <c r="CQ3731">
        <v>457</v>
      </c>
      <c r="CR3731">
        <v>0</v>
      </c>
      <c r="CW3731">
        <v>15527807</v>
      </c>
      <c r="CY3731">
        <v>1</v>
      </c>
      <c r="CZ3731">
        <v>0</v>
      </c>
      <c r="DA3731">
        <v>1</v>
      </c>
      <c r="DB3731">
        <v>0</v>
      </c>
      <c r="DC3731">
        <v>0</v>
      </c>
      <c r="DD3731">
        <v>0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3">
      <c r="A3732" t="str">
        <f>"08/29/2020 06:22:43.021"</f>
        <v>08/29/2020 06:22:43.021</v>
      </c>
      <c r="C3732" t="str">
        <f t="shared" si="1609"/>
        <v>FFDFD3C0</v>
      </c>
      <c r="D3732" t="s">
        <v>128</v>
      </c>
      <c r="E3732">
        <v>5</v>
      </c>
      <c r="H3732">
        <v>241</v>
      </c>
      <c r="I3732" t="s">
        <v>129</v>
      </c>
      <c r="J3732" t="s">
        <v>130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"06:22:46.219"</f>
        <v>06:22:46.219</v>
      </c>
      <c r="T3732" t="str">
        <f>"06:22:45.819"</f>
        <v>06:22:45.819</v>
      </c>
      <c r="U3732" t="str">
        <f t="shared" si="1610"/>
        <v>A7E2E0</v>
      </c>
      <c r="V3732">
        <v>0</v>
      </c>
      <c r="W3732">
        <v>0</v>
      </c>
      <c r="X3732">
        <v>1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0</v>
      </c>
      <c r="AI3732" t="s">
        <v>1683</v>
      </c>
      <c r="AJ3732">
        <v>38.798926000000002</v>
      </c>
      <c r="AK3732" t="s">
        <v>1561</v>
      </c>
      <c r="AL3732">
        <v>-87.605281000000005</v>
      </c>
      <c r="AM3732">
        <v>100</v>
      </c>
      <c r="AN3732">
        <v>900</v>
      </c>
      <c r="AO3732" t="s">
        <v>118</v>
      </c>
      <c r="AP3732">
        <v>-6</v>
      </c>
      <c r="AQ3732">
        <v>-105</v>
      </c>
      <c r="AR3732">
        <v>-896</v>
      </c>
      <c r="AZ3732">
        <v>4552</v>
      </c>
      <c r="BA3732">
        <v>1</v>
      </c>
      <c r="BB3732" t="str">
        <f t="shared" si="1611"/>
        <v xml:space="preserve">N607SR  </v>
      </c>
      <c r="BC3732">
        <v>1</v>
      </c>
      <c r="BE3732">
        <v>0</v>
      </c>
      <c r="BF3732">
        <v>0</v>
      </c>
      <c r="BG3732">
        <v>0</v>
      </c>
      <c r="BH3732">
        <v>600</v>
      </c>
      <c r="BI3732">
        <v>1</v>
      </c>
      <c r="BJ3732">
        <v>1</v>
      </c>
      <c r="BK3732">
        <v>1</v>
      </c>
      <c r="BL3732">
        <v>0</v>
      </c>
      <c r="BO3732">
        <v>0</v>
      </c>
      <c r="BP3732">
        <v>0</v>
      </c>
      <c r="BW3732" t="str">
        <f>"06:22:46.225"</f>
        <v>06:22:46.225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5</v>
      </c>
      <c r="CP3732" t="s">
        <v>119</v>
      </c>
      <c r="CQ3732">
        <v>457</v>
      </c>
      <c r="CR3732">
        <v>0</v>
      </c>
      <c r="CW3732">
        <v>15527807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0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3">
      <c r="A3733" t="str">
        <f>"08/29/2020 06:22:43.021"</f>
        <v>08/29/2020 06:22:43.021</v>
      </c>
      <c r="C3733" t="str">
        <f t="shared" si="1609"/>
        <v>FFDFD3C0</v>
      </c>
      <c r="D3733" t="s">
        <v>121</v>
      </c>
      <c r="E3733">
        <v>13</v>
      </c>
      <c r="F3733">
        <v>1013</v>
      </c>
      <c r="G3733" t="s">
        <v>122</v>
      </c>
      <c r="J3733" t="s">
        <v>123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"06:22:46.219"</f>
        <v>06:22:46.219</v>
      </c>
      <c r="T3733" t="str">
        <f>"06:22:45.819"</f>
        <v>06:22:45.819</v>
      </c>
      <c r="U3733" t="str">
        <f t="shared" si="1610"/>
        <v>A7E2E0</v>
      </c>
      <c r="V3733">
        <v>0</v>
      </c>
      <c r="W3733">
        <v>0</v>
      </c>
      <c r="X3733">
        <v>1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0</v>
      </c>
      <c r="AI3733" t="s">
        <v>1683</v>
      </c>
      <c r="AJ3733">
        <v>38.798926000000002</v>
      </c>
      <c r="AK3733" t="s">
        <v>1561</v>
      </c>
      <c r="AL3733">
        <v>-87.605281000000005</v>
      </c>
      <c r="AM3733">
        <v>100</v>
      </c>
      <c r="AN3733">
        <v>900</v>
      </c>
      <c r="AO3733" t="s">
        <v>118</v>
      </c>
      <c r="AP3733">
        <v>-6</v>
      </c>
      <c r="AQ3733">
        <v>-105</v>
      </c>
      <c r="AR3733">
        <v>-896</v>
      </c>
      <c r="AZ3733">
        <v>4552</v>
      </c>
      <c r="BA3733">
        <v>1</v>
      </c>
      <c r="BB3733" t="str">
        <f t="shared" si="1611"/>
        <v xml:space="preserve">N607SR  </v>
      </c>
      <c r="BC3733">
        <v>1</v>
      </c>
      <c r="BE3733">
        <v>0</v>
      </c>
      <c r="BF3733">
        <v>0</v>
      </c>
      <c r="BG3733">
        <v>0</v>
      </c>
      <c r="BH3733">
        <v>600</v>
      </c>
      <c r="BI3733">
        <v>1</v>
      </c>
      <c r="BJ3733">
        <v>1</v>
      </c>
      <c r="BK3733">
        <v>1</v>
      </c>
      <c r="BL3733">
        <v>0</v>
      </c>
      <c r="BO3733">
        <v>0</v>
      </c>
      <c r="BP3733">
        <v>0</v>
      </c>
      <c r="BW3733" t="str">
        <f>"06:22:46.225"</f>
        <v>06:22:46.225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5</v>
      </c>
      <c r="CP3733" t="s">
        <v>119</v>
      </c>
      <c r="CQ3733">
        <v>457</v>
      </c>
      <c r="CR3733">
        <v>0</v>
      </c>
      <c r="CW3733">
        <v>15527807</v>
      </c>
      <c r="CY3733">
        <v>1</v>
      </c>
      <c r="CZ3733">
        <v>0</v>
      </c>
      <c r="DA3733">
        <v>1</v>
      </c>
      <c r="DB3733">
        <v>0</v>
      </c>
      <c r="DC3733">
        <v>0</v>
      </c>
      <c r="DD3733">
        <v>0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3">
      <c r="A3734" t="str">
        <f>"08/29/2020 06:22:43.996"</f>
        <v>08/29/2020 06:22:43.996</v>
      </c>
      <c r="C3734" t="str">
        <f t="shared" si="1609"/>
        <v>FFDFD3C0</v>
      </c>
      <c r="D3734" t="s">
        <v>121</v>
      </c>
      <c r="E3734">
        <v>10</v>
      </c>
      <c r="F3734">
        <v>1010</v>
      </c>
      <c r="G3734" t="s">
        <v>114</v>
      </c>
      <c r="J3734" t="s">
        <v>123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"06:22:47.195"</f>
        <v>06:22:47.195</v>
      </c>
      <c r="T3734" t="str">
        <f>"06:22:46.695"</f>
        <v>06:22:46.695</v>
      </c>
      <c r="U3734" t="str">
        <f t="shared" si="1610"/>
        <v>A7E2E0</v>
      </c>
      <c r="V3734">
        <v>0</v>
      </c>
      <c r="W3734">
        <v>0</v>
      </c>
      <c r="X3734">
        <v>1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3</v>
      </c>
      <c r="AG3734">
        <v>2</v>
      </c>
      <c r="AH3734">
        <v>0</v>
      </c>
      <c r="AI3734" t="s">
        <v>1684</v>
      </c>
      <c r="AJ3734">
        <v>38.798496999999998</v>
      </c>
      <c r="AK3734" t="s">
        <v>1226</v>
      </c>
      <c r="AL3734">
        <v>-87.605345</v>
      </c>
      <c r="AM3734">
        <v>100</v>
      </c>
      <c r="AN3734">
        <v>900</v>
      </c>
      <c r="AO3734" t="s">
        <v>118</v>
      </c>
      <c r="AP3734">
        <v>-4</v>
      </c>
      <c r="AQ3734">
        <v>-104</v>
      </c>
      <c r="AR3734">
        <v>-960</v>
      </c>
      <c r="AZ3734">
        <v>4552</v>
      </c>
      <c r="BA3734">
        <v>1</v>
      </c>
      <c r="BB3734" t="str">
        <f t="shared" si="1611"/>
        <v xml:space="preserve">N607SR  </v>
      </c>
      <c r="BC3734">
        <v>1</v>
      </c>
      <c r="BE3734">
        <v>0</v>
      </c>
      <c r="BF3734">
        <v>0</v>
      </c>
      <c r="BG3734">
        <v>0</v>
      </c>
      <c r="BH3734">
        <v>675</v>
      </c>
      <c r="BI3734">
        <v>1</v>
      </c>
      <c r="BJ3734">
        <v>1</v>
      </c>
      <c r="BK3734">
        <v>1</v>
      </c>
      <c r="BL3734">
        <v>0</v>
      </c>
      <c r="BO3734">
        <v>0</v>
      </c>
      <c r="BP3734">
        <v>0</v>
      </c>
      <c r="BW3734" t="str">
        <f>"06:22:47.201"</f>
        <v>06:22:47.201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4</v>
      </c>
      <c r="CP3734" t="s">
        <v>119</v>
      </c>
      <c r="CQ3734">
        <v>457</v>
      </c>
      <c r="CR3734">
        <v>0</v>
      </c>
      <c r="CW3734">
        <v>15527835</v>
      </c>
      <c r="CY3734">
        <v>1</v>
      </c>
      <c r="CZ3734">
        <v>0</v>
      </c>
      <c r="DA3734">
        <v>0</v>
      </c>
      <c r="DB3734">
        <v>0</v>
      </c>
      <c r="DC3734">
        <v>0</v>
      </c>
      <c r="DD3734">
        <v>0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3">
      <c r="A3735" t="str">
        <f>"08/29/2020 06:22:43.996"</f>
        <v>08/29/2020 06:22:43.996</v>
      </c>
      <c r="C3735" t="str">
        <f t="shared" si="1609"/>
        <v>FFDFD3C0</v>
      </c>
      <c r="D3735" t="s">
        <v>113</v>
      </c>
      <c r="E3735">
        <v>5</v>
      </c>
      <c r="H3735">
        <v>163</v>
      </c>
      <c r="I3735" t="s">
        <v>114</v>
      </c>
      <c r="J3735" t="s">
        <v>115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"06:22:47.195"</f>
        <v>06:22:47.195</v>
      </c>
      <c r="T3735" t="str">
        <f>"06:22:46.695"</f>
        <v>06:22:46.695</v>
      </c>
      <c r="U3735" t="str">
        <f t="shared" si="1610"/>
        <v>A7E2E0</v>
      </c>
      <c r="V3735">
        <v>0</v>
      </c>
      <c r="W3735">
        <v>0</v>
      </c>
      <c r="X3735">
        <v>1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0</v>
      </c>
      <c r="AI3735" t="s">
        <v>1684</v>
      </c>
      <c r="AJ3735">
        <v>38.798496999999998</v>
      </c>
      <c r="AK3735" t="s">
        <v>1226</v>
      </c>
      <c r="AL3735">
        <v>-87.605345</v>
      </c>
      <c r="AM3735">
        <v>100</v>
      </c>
      <c r="AN3735">
        <v>900</v>
      </c>
      <c r="AO3735" t="s">
        <v>118</v>
      </c>
      <c r="AP3735">
        <v>-4</v>
      </c>
      <c r="AQ3735">
        <v>-104</v>
      </c>
      <c r="AR3735">
        <v>-960</v>
      </c>
      <c r="AZ3735">
        <v>4552</v>
      </c>
      <c r="BA3735">
        <v>1</v>
      </c>
      <c r="BB3735" t="str">
        <f t="shared" si="1611"/>
        <v xml:space="preserve">N607SR  </v>
      </c>
      <c r="BC3735">
        <v>1</v>
      </c>
      <c r="BE3735">
        <v>0</v>
      </c>
      <c r="BF3735">
        <v>0</v>
      </c>
      <c r="BG3735">
        <v>0</v>
      </c>
      <c r="BH3735">
        <v>675</v>
      </c>
      <c r="BI3735">
        <v>1</v>
      </c>
      <c r="BJ3735">
        <v>1</v>
      </c>
      <c r="BK3735">
        <v>1</v>
      </c>
      <c r="BL3735">
        <v>0</v>
      </c>
      <c r="BO3735">
        <v>0</v>
      </c>
      <c r="BP3735">
        <v>0</v>
      </c>
      <c r="BW3735" t="str">
        <f>"06:22:47.201"</f>
        <v>06:22:47.201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4</v>
      </c>
      <c r="CP3735" t="s">
        <v>119</v>
      </c>
      <c r="CQ3735">
        <v>457</v>
      </c>
      <c r="CR3735">
        <v>0</v>
      </c>
      <c r="CW3735">
        <v>15527835</v>
      </c>
      <c r="CY3735">
        <v>1</v>
      </c>
      <c r="CZ3735">
        <v>0</v>
      </c>
      <c r="DA3735">
        <v>1</v>
      </c>
      <c r="DB3735">
        <v>0</v>
      </c>
      <c r="DC3735">
        <v>0</v>
      </c>
      <c r="DD3735">
        <v>0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3">
      <c r="A3736" t="str">
        <f>"08/29/2020 06:22:43.996"</f>
        <v>08/29/2020 06:22:43.996</v>
      </c>
      <c r="C3736" t="str">
        <f t="shared" si="1609"/>
        <v>FFDFD3C0</v>
      </c>
      <c r="D3736" t="s">
        <v>128</v>
      </c>
      <c r="E3736">
        <v>5</v>
      </c>
      <c r="H3736">
        <v>241</v>
      </c>
      <c r="I3736" t="s">
        <v>129</v>
      </c>
      <c r="J3736" t="s">
        <v>130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"06:22:47.195"</f>
        <v>06:22:47.195</v>
      </c>
      <c r="T3736" t="str">
        <f>"06:22:46.695"</f>
        <v>06:22:46.695</v>
      </c>
      <c r="U3736" t="str">
        <f t="shared" si="1610"/>
        <v>A7E2E0</v>
      </c>
      <c r="V3736">
        <v>0</v>
      </c>
      <c r="W3736">
        <v>0</v>
      </c>
      <c r="X3736">
        <v>1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0</v>
      </c>
      <c r="AI3736" t="s">
        <v>1684</v>
      </c>
      <c r="AJ3736">
        <v>38.798496999999998</v>
      </c>
      <c r="AK3736" t="s">
        <v>1226</v>
      </c>
      <c r="AL3736">
        <v>-87.605345</v>
      </c>
      <c r="AM3736">
        <v>100</v>
      </c>
      <c r="AN3736">
        <v>900</v>
      </c>
      <c r="AO3736" t="s">
        <v>118</v>
      </c>
      <c r="AP3736">
        <v>-4</v>
      </c>
      <c r="AQ3736">
        <v>-104</v>
      </c>
      <c r="AR3736">
        <v>-960</v>
      </c>
      <c r="AZ3736">
        <v>4552</v>
      </c>
      <c r="BA3736">
        <v>1</v>
      </c>
      <c r="BB3736" t="str">
        <f t="shared" si="1611"/>
        <v xml:space="preserve">N607SR  </v>
      </c>
      <c r="BC3736">
        <v>1</v>
      </c>
      <c r="BE3736">
        <v>0</v>
      </c>
      <c r="BF3736">
        <v>0</v>
      </c>
      <c r="BG3736">
        <v>0</v>
      </c>
      <c r="BH3736">
        <v>675</v>
      </c>
      <c r="BI3736">
        <v>1</v>
      </c>
      <c r="BJ3736">
        <v>1</v>
      </c>
      <c r="BK3736">
        <v>1</v>
      </c>
      <c r="BL3736">
        <v>0</v>
      </c>
      <c r="BO3736">
        <v>0</v>
      </c>
      <c r="BP3736">
        <v>0</v>
      </c>
      <c r="BW3736" t="str">
        <f>"06:22:47.201"</f>
        <v>06:22:47.201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4</v>
      </c>
      <c r="CP3736" t="s">
        <v>119</v>
      </c>
      <c r="CQ3736">
        <v>457</v>
      </c>
      <c r="CR3736">
        <v>0</v>
      </c>
      <c r="CW3736">
        <v>15527835</v>
      </c>
      <c r="CY3736">
        <v>1</v>
      </c>
      <c r="CZ3736">
        <v>0</v>
      </c>
      <c r="DA3736">
        <v>1</v>
      </c>
      <c r="DB3736">
        <v>0</v>
      </c>
      <c r="DC3736">
        <v>0</v>
      </c>
      <c r="DD3736">
        <v>0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3">
      <c r="A3737" t="str">
        <f>"08/29/2020 06:22:43.996"</f>
        <v>08/29/2020 06:22:43.996</v>
      </c>
      <c r="C3737" t="str">
        <f t="shared" si="1609"/>
        <v>FFDFD3C0</v>
      </c>
      <c r="D3737" t="s">
        <v>121</v>
      </c>
      <c r="E3737">
        <v>13</v>
      </c>
      <c r="F3737">
        <v>1013</v>
      </c>
      <c r="G3737" t="s">
        <v>122</v>
      </c>
      <c r="J3737" t="s">
        <v>123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"06:22:47.195"</f>
        <v>06:22:47.195</v>
      </c>
      <c r="T3737" t="str">
        <f>"06:22:46.695"</f>
        <v>06:22:46.695</v>
      </c>
      <c r="U3737" t="str">
        <f t="shared" si="1610"/>
        <v>A7E2E0</v>
      </c>
      <c r="V3737">
        <v>0</v>
      </c>
      <c r="W3737">
        <v>0</v>
      </c>
      <c r="X3737">
        <v>1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0</v>
      </c>
      <c r="AI3737" t="s">
        <v>1684</v>
      </c>
      <c r="AJ3737">
        <v>38.798496999999998</v>
      </c>
      <c r="AK3737" t="s">
        <v>1226</v>
      </c>
      <c r="AL3737">
        <v>-87.605345</v>
      </c>
      <c r="AM3737">
        <v>100</v>
      </c>
      <c r="AN3737">
        <v>900</v>
      </c>
      <c r="AO3737" t="s">
        <v>118</v>
      </c>
      <c r="AP3737">
        <v>-4</v>
      </c>
      <c r="AQ3737">
        <v>-104</v>
      </c>
      <c r="AR3737">
        <v>-960</v>
      </c>
      <c r="AZ3737">
        <v>4552</v>
      </c>
      <c r="BA3737">
        <v>1</v>
      </c>
      <c r="BB3737" t="str">
        <f t="shared" si="1611"/>
        <v xml:space="preserve">N607SR  </v>
      </c>
      <c r="BC3737">
        <v>1</v>
      </c>
      <c r="BE3737">
        <v>0</v>
      </c>
      <c r="BF3737">
        <v>0</v>
      </c>
      <c r="BG3737">
        <v>0</v>
      </c>
      <c r="BH3737">
        <v>675</v>
      </c>
      <c r="BI3737">
        <v>1</v>
      </c>
      <c r="BJ3737">
        <v>1</v>
      </c>
      <c r="BK3737">
        <v>1</v>
      </c>
      <c r="BL3737">
        <v>0</v>
      </c>
      <c r="BO3737">
        <v>0</v>
      </c>
      <c r="BP3737">
        <v>0</v>
      </c>
      <c r="BW3737" t="str">
        <f>"06:22:47.201"</f>
        <v>06:22:47.201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4</v>
      </c>
      <c r="CP3737" t="s">
        <v>119</v>
      </c>
      <c r="CQ3737">
        <v>457</v>
      </c>
      <c r="CR3737">
        <v>0</v>
      </c>
      <c r="CW3737">
        <v>15527835</v>
      </c>
      <c r="CY3737">
        <v>1</v>
      </c>
      <c r="CZ3737">
        <v>0</v>
      </c>
      <c r="DA3737">
        <v>1</v>
      </c>
      <c r="DB3737">
        <v>0</v>
      </c>
      <c r="DC3737">
        <v>0</v>
      </c>
      <c r="DD3737">
        <v>0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3">
      <c r="A3738" t="str">
        <f>"08/29/2020 06:22:43.996"</f>
        <v>08/29/2020 06:22:43.996</v>
      </c>
      <c r="C3738" t="str">
        <f t="shared" si="1609"/>
        <v>FFDFD3C0</v>
      </c>
      <c r="D3738" t="s">
        <v>121</v>
      </c>
      <c r="E3738">
        <v>11</v>
      </c>
      <c r="F3738">
        <v>1011</v>
      </c>
      <c r="G3738" t="s">
        <v>125</v>
      </c>
      <c r="J3738" t="s">
        <v>123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"06:22:47.195"</f>
        <v>06:22:47.195</v>
      </c>
      <c r="T3738" t="str">
        <f>"06:22:46.695"</f>
        <v>06:22:46.695</v>
      </c>
      <c r="U3738" t="str">
        <f t="shared" si="1610"/>
        <v>A7E2E0</v>
      </c>
      <c r="V3738">
        <v>0</v>
      </c>
      <c r="W3738">
        <v>0</v>
      </c>
      <c r="X3738">
        <v>1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0</v>
      </c>
      <c r="AI3738" t="s">
        <v>1684</v>
      </c>
      <c r="AJ3738">
        <v>38.798496999999998</v>
      </c>
      <c r="AK3738" t="s">
        <v>1226</v>
      </c>
      <c r="AL3738">
        <v>-87.605345</v>
      </c>
      <c r="AM3738">
        <v>100</v>
      </c>
      <c r="AN3738">
        <v>900</v>
      </c>
      <c r="AO3738" t="s">
        <v>118</v>
      </c>
      <c r="AP3738">
        <v>-4</v>
      </c>
      <c r="AQ3738">
        <v>-104</v>
      </c>
      <c r="AR3738">
        <v>-960</v>
      </c>
      <c r="AZ3738">
        <v>4552</v>
      </c>
      <c r="BA3738">
        <v>1</v>
      </c>
      <c r="BB3738" t="str">
        <f t="shared" si="1611"/>
        <v xml:space="preserve">N607SR  </v>
      </c>
      <c r="BC3738">
        <v>1</v>
      </c>
      <c r="BE3738">
        <v>0</v>
      </c>
      <c r="BF3738">
        <v>0</v>
      </c>
      <c r="BG3738">
        <v>0</v>
      </c>
      <c r="BH3738">
        <v>675</v>
      </c>
      <c r="BI3738">
        <v>1</v>
      </c>
      <c r="BJ3738">
        <v>1</v>
      </c>
      <c r="BK3738">
        <v>1</v>
      </c>
      <c r="BL3738">
        <v>0</v>
      </c>
      <c r="BO3738">
        <v>0</v>
      </c>
      <c r="BP3738">
        <v>0</v>
      </c>
      <c r="BW3738" t="str">
        <f>"06:22:47.201"</f>
        <v>06:22:47.201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4</v>
      </c>
      <c r="CP3738" t="s">
        <v>119</v>
      </c>
      <c r="CQ3738">
        <v>457</v>
      </c>
      <c r="CR3738">
        <v>0</v>
      </c>
      <c r="CW3738">
        <v>15527835</v>
      </c>
      <c r="CY3738">
        <v>1</v>
      </c>
      <c r="CZ3738">
        <v>0</v>
      </c>
      <c r="DA3738">
        <v>1</v>
      </c>
      <c r="DB3738">
        <v>0</v>
      </c>
      <c r="DC3738">
        <v>0</v>
      </c>
      <c r="DD3738">
        <v>0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3">
      <c r="A3739" t="str">
        <f>"08/29/2020 06:22:45.059"</f>
        <v>08/29/2020 06:22:45.059</v>
      </c>
      <c r="C3739" t="str">
        <f t="shared" si="1609"/>
        <v>FFDFD3C0</v>
      </c>
      <c r="D3739" t="s">
        <v>113</v>
      </c>
      <c r="E3739">
        <v>5</v>
      </c>
      <c r="H3739">
        <v>163</v>
      </c>
      <c r="I3739" t="s">
        <v>114</v>
      </c>
      <c r="J3739" t="s">
        <v>115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"06:22:48.258"</f>
        <v>06:22:48.258</v>
      </c>
      <c r="T3739" t="str">
        <f>"06:22:47.758"</f>
        <v>06:22:47.758</v>
      </c>
      <c r="U3739" t="str">
        <f t="shared" si="1610"/>
        <v>A7E2E0</v>
      </c>
      <c r="V3739">
        <v>0</v>
      </c>
      <c r="W3739">
        <v>0</v>
      </c>
      <c r="X3739">
        <v>1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0</v>
      </c>
      <c r="AI3739" t="s">
        <v>1685</v>
      </c>
      <c r="AJ3739">
        <v>38.797939</v>
      </c>
      <c r="AK3739" t="s">
        <v>1226</v>
      </c>
      <c r="AL3739">
        <v>-87.605345</v>
      </c>
      <c r="AM3739">
        <v>100</v>
      </c>
      <c r="AN3739">
        <v>900</v>
      </c>
      <c r="AO3739" t="s">
        <v>118</v>
      </c>
      <c r="AP3739">
        <v>-2</v>
      </c>
      <c r="AQ3739">
        <v>-104</v>
      </c>
      <c r="AR3739">
        <v>-1024</v>
      </c>
      <c r="AZ3739">
        <v>4552</v>
      </c>
      <c r="BA3739">
        <v>1</v>
      </c>
      <c r="BB3739" t="str">
        <f t="shared" si="1611"/>
        <v xml:space="preserve">N607SR  </v>
      </c>
      <c r="BC3739">
        <v>1</v>
      </c>
      <c r="BE3739">
        <v>0</v>
      </c>
      <c r="BF3739">
        <v>0</v>
      </c>
      <c r="BG3739">
        <v>0</v>
      </c>
      <c r="BH3739">
        <v>675</v>
      </c>
      <c r="BI3739">
        <v>1</v>
      </c>
      <c r="BJ3739">
        <v>1</v>
      </c>
      <c r="BK3739">
        <v>1</v>
      </c>
      <c r="BL3739">
        <v>0</v>
      </c>
      <c r="BO3739">
        <v>0</v>
      </c>
      <c r="BP3739">
        <v>0</v>
      </c>
      <c r="BW3739" t="str">
        <f>"06:22:48.263"</f>
        <v>06:22:48.263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4</v>
      </c>
      <c r="CP3739" t="s">
        <v>119</v>
      </c>
      <c r="CQ3739">
        <v>457</v>
      </c>
      <c r="CR3739">
        <v>0</v>
      </c>
      <c r="CW3739">
        <v>15527866</v>
      </c>
      <c r="CY3739">
        <v>1</v>
      </c>
      <c r="CZ3739">
        <v>0</v>
      </c>
      <c r="DA3739">
        <v>0</v>
      </c>
      <c r="DB3739">
        <v>0</v>
      </c>
      <c r="DC3739">
        <v>0</v>
      </c>
      <c r="DD3739">
        <v>0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3">
      <c r="A3740" t="str">
        <f>"08/29/2020 06:22:45.059"</f>
        <v>08/29/2020 06:22:45.059</v>
      </c>
      <c r="C3740" t="str">
        <f t="shared" si="1609"/>
        <v>FFDFD3C0</v>
      </c>
      <c r="D3740" t="s">
        <v>121</v>
      </c>
      <c r="E3740">
        <v>10</v>
      </c>
      <c r="F3740">
        <v>1010</v>
      </c>
      <c r="G3740" t="s">
        <v>114</v>
      </c>
      <c r="J3740" t="s">
        <v>123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"06:22:48.258"</f>
        <v>06:22:48.258</v>
      </c>
      <c r="T3740" t="str">
        <f>"06:22:47.758"</f>
        <v>06:22:47.758</v>
      </c>
      <c r="U3740" t="str">
        <f t="shared" si="1610"/>
        <v>A7E2E0</v>
      </c>
      <c r="V3740">
        <v>0</v>
      </c>
      <c r="W3740">
        <v>0</v>
      </c>
      <c r="X3740">
        <v>1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0</v>
      </c>
      <c r="AI3740" t="s">
        <v>1685</v>
      </c>
      <c r="AJ3740">
        <v>38.797939</v>
      </c>
      <c r="AK3740" t="s">
        <v>1226</v>
      </c>
      <c r="AL3740">
        <v>-87.605345</v>
      </c>
      <c r="AM3740">
        <v>100</v>
      </c>
      <c r="AN3740">
        <v>900</v>
      </c>
      <c r="AO3740" t="s">
        <v>118</v>
      </c>
      <c r="AP3740">
        <v>-2</v>
      </c>
      <c r="AQ3740">
        <v>-104</v>
      </c>
      <c r="AR3740">
        <v>-1024</v>
      </c>
      <c r="AZ3740">
        <v>4552</v>
      </c>
      <c r="BA3740">
        <v>1</v>
      </c>
      <c r="BB3740" t="str">
        <f t="shared" si="1611"/>
        <v xml:space="preserve">N607SR  </v>
      </c>
      <c r="BC3740">
        <v>1</v>
      </c>
      <c r="BE3740">
        <v>0</v>
      </c>
      <c r="BF3740">
        <v>0</v>
      </c>
      <c r="BG3740">
        <v>0</v>
      </c>
      <c r="BH3740">
        <v>675</v>
      </c>
      <c r="BI3740">
        <v>1</v>
      </c>
      <c r="BJ3740">
        <v>1</v>
      </c>
      <c r="BK3740">
        <v>1</v>
      </c>
      <c r="BL3740">
        <v>0</v>
      </c>
      <c r="BO3740">
        <v>0</v>
      </c>
      <c r="BP3740">
        <v>0</v>
      </c>
      <c r="BW3740" t="str">
        <f>"06:22:48.263"</f>
        <v>06:22:48.263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4</v>
      </c>
      <c r="CP3740" t="s">
        <v>119</v>
      </c>
      <c r="CQ3740">
        <v>457</v>
      </c>
      <c r="CR3740">
        <v>0</v>
      </c>
      <c r="CW3740">
        <v>15527866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0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3">
      <c r="A3741" t="str">
        <f>"08/29/2020 06:22:45.059"</f>
        <v>08/29/2020 06:22:45.059</v>
      </c>
      <c r="C3741" t="str">
        <f t="shared" si="1609"/>
        <v>FFDFD3C0</v>
      </c>
      <c r="D3741" t="s">
        <v>128</v>
      </c>
      <c r="E3741">
        <v>5</v>
      </c>
      <c r="H3741">
        <v>241</v>
      </c>
      <c r="I3741" t="s">
        <v>129</v>
      </c>
      <c r="J3741" t="s">
        <v>130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"06:22:48.258"</f>
        <v>06:22:48.258</v>
      </c>
      <c r="T3741" t="str">
        <f>"06:22:47.758"</f>
        <v>06:22:47.758</v>
      </c>
      <c r="U3741" t="str">
        <f t="shared" si="1610"/>
        <v>A7E2E0</v>
      </c>
      <c r="V3741">
        <v>0</v>
      </c>
      <c r="W3741">
        <v>0</v>
      </c>
      <c r="X3741">
        <v>1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0</v>
      </c>
      <c r="AI3741" t="s">
        <v>1685</v>
      </c>
      <c r="AJ3741">
        <v>38.797939</v>
      </c>
      <c r="AK3741" t="s">
        <v>1226</v>
      </c>
      <c r="AL3741">
        <v>-87.605345</v>
      </c>
      <c r="AM3741">
        <v>100</v>
      </c>
      <c r="AN3741">
        <v>900</v>
      </c>
      <c r="AO3741" t="s">
        <v>118</v>
      </c>
      <c r="AP3741">
        <v>-2</v>
      </c>
      <c r="AQ3741">
        <v>-104</v>
      </c>
      <c r="AR3741">
        <v>-1024</v>
      </c>
      <c r="AZ3741">
        <v>4552</v>
      </c>
      <c r="BA3741">
        <v>1</v>
      </c>
      <c r="BB3741" t="str">
        <f t="shared" si="1611"/>
        <v xml:space="preserve">N607SR  </v>
      </c>
      <c r="BC3741">
        <v>1</v>
      </c>
      <c r="BE3741">
        <v>0</v>
      </c>
      <c r="BF3741">
        <v>0</v>
      </c>
      <c r="BG3741">
        <v>0</v>
      </c>
      <c r="BH3741">
        <v>675</v>
      </c>
      <c r="BI3741">
        <v>1</v>
      </c>
      <c r="BJ3741">
        <v>1</v>
      </c>
      <c r="BK3741">
        <v>1</v>
      </c>
      <c r="BL3741">
        <v>0</v>
      </c>
      <c r="BO3741">
        <v>0</v>
      </c>
      <c r="BP3741">
        <v>0</v>
      </c>
      <c r="BW3741" t="str">
        <f>"06:22:48.263"</f>
        <v>06:22:48.263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4</v>
      </c>
      <c r="CP3741" t="s">
        <v>119</v>
      </c>
      <c r="CQ3741">
        <v>457</v>
      </c>
      <c r="CR3741">
        <v>0</v>
      </c>
      <c r="CW3741">
        <v>15527866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0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3">
      <c r="A3742" t="str">
        <f>"08/29/2020 06:22:45.059"</f>
        <v>08/29/2020 06:22:45.059</v>
      </c>
      <c r="C3742" t="str">
        <f t="shared" si="1609"/>
        <v>FFDFD3C0</v>
      </c>
      <c r="D3742" t="s">
        <v>121</v>
      </c>
      <c r="E3742">
        <v>13</v>
      </c>
      <c r="F3742">
        <v>1013</v>
      </c>
      <c r="G3742" t="s">
        <v>122</v>
      </c>
      <c r="J3742" t="s">
        <v>123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"06:22:48.258"</f>
        <v>06:22:48.258</v>
      </c>
      <c r="T3742" t="str">
        <f>"06:22:47.758"</f>
        <v>06:22:47.758</v>
      </c>
      <c r="U3742" t="str">
        <f t="shared" si="1610"/>
        <v>A7E2E0</v>
      </c>
      <c r="V3742">
        <v>0</v>
      </c>
      <c r="W3742">
        <v>0</v>
      </c>
      <c r="X3742">
        <v>1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3</v>
      </c>
      <c r="AG3742">
        <v>2</v>
      </c>
      <c r="AH3742">
        <v>0</v>
      </c>
      <c r="AI3742" t="s">
        <v>1685</v>
      </c>
      <c r="AJ3742">
        <v>38.797939</v>
      </c>
      <c r="AK3742" t="s">
        <v>1226</v>
      </c>
      <c r="AL3742">
        <v>-87.605345</v>
      </c>
      <c r="AM3742">
        <v>100</v>
      </c>
      <c r="AN3742">
        <v>900</v>
      </c>
      <c r="AO3742" t="s">
        <v>118</v>
      </c>
      <c r="AP3742">
        <v>-2</v>
      </c>
      <c r="AQ3742">
        <v>-104</v>
      </c>
      <c r="AR3742">
        <v>-1024</v>
      </c>
      <c r="AZ3742">
        <v>4552</v>
      </c>
      <c r="BA3742">
        <v>1</v>
      </c>
      <c r="BB3742" t="str">
        <f t="shared" si="1611"/>
        <v xml:space="preserve">N607SR  </v>
      </c>
      <c r="BC3742">
        <v>1</v>
      </c>
      <c r="BE3742">
        <v>0</v>
      </c>
      <c r="BF3742">
        <v>0</v>
      </c>
      <c r="BG3742">
        <v>0</v>
      </c>
      <c r="BH3742">
        <v>675</v>
      </c>
      <c r="BI3742">
        <v>1</v>
      </c>
      <c r="BJ3742">
        <v>1</v>
      </c>
      <c r="BK3742">
        <v>1</v>
      </c>
      <c r="BL3742">
        <v>0</v>
      </c>
      <c r="BO3742">
        <v>0</v>
      </c>
      <c r="BP3742">
        <v>0</v>
      </c>
      <c r="BW3742" t="str">
        <f>"06:22:48.263"</f>
        <v>06:22:48.263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4</v>
      </c>
      <c r="CP3742" t="s">
        <v>119</v>
      </c>
      <c r="CQ3742">
        <v>457</v>
      </c>
      <c r="CR3742">
        <v>0</v>
      </c>
      <c r="CW3742">
        <v>15527866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0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3">
      <c r="A3743" t="str">
        <f>"08/29/2020 06:22:45.059"</f>
        <v>08/29/2020 06:22:45.059</v>
      </c>
      <c r="C3743" t="str">
        <f t="shared" si="1609"/>
        <v>FFDFD3C0</v>
      </c>
      <c r="D3743" t="s">
        <v>121</v>
      </c>
      <c r="E3743">
        <v>11</v>
      </c>
      <c r="F3743">
        <v>1011</v>
      </c>
      <c r="G3743" t="s">
        <v>125</v>
      </c>
      <c r="J3743" t="s">
        <v>123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"06:22:48.258"</f>
        <v>06:22:48.258</v>
      </c>
      <c r="T3743" t="str">
        <f>"06:22:47.758"</f>
        <v>06:22:47.758</v>
      </c>
      <c r="U3743" t="str">
        <f t="shared" si="1610"/>
        <v>A7E2E0</v>
      </c>
      <c r="V3743">
        <v>0</v>
      </c>
      <c r="W3743">
        <v>0</v>
      </c>
      <c r="X3743">
        <v>1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0</v>
      </c>
      <c r="AI3743" t="s">
        <v>1685</v>
      </c>
      <c r="AJ3743">
        <v>38.797939</v>
      </c>
      <c r="AK3743" t="s">
        <v>1226</v>
      </c>
      <c r="AL3743">
        <v>-87.605345</v>
      </c>
      <c r="AM3743">
        <v>100</v>
      </c>
      <c r="AN3743">
        <v>900</v>
      </c>
      <c r="AO3743" t="s">
        <v>118</v>
      </c>
      <c r="AP3743">
        <v>-2</v>
      </c>
      <c r="AQ3743">
        <v>-104</v>
      </c>
      <c r="AR3743">
        <v>-1024</v>
      </c>
      <c r="AZ3743">
        <v>4552</v>
      </c>
      <c r="BA3743">
        <v>1</v>
      </c>
      <c r="BB3743" t="str">
        <f t="shared" si="1611"/>
        <v xml:space="preserve">N607SR  </v>
      </c>
      <c r="BC3743">
        <v>1</v>
      </c>
      <c r="BE3743">
        <v>0</v>
      </c>
      <c r="BF3743">
        <v>0</v>
      </c>
      <c r="BG3743">
        <v>0</v>
      </c>
      <c r="BH3743">
        <v>675</v>
      </c>
      <c r="BI3743">
        <v>1</v>
      </c>
      <c r="BJ3743">
        <v>1</v>
      </c>
      <c r="BK3743">
        <v>1</v>
      </c>
      <c r="BL3743">
        <v>0</v>
      </c>
      <c r="BO3743">
        <v>0</v>
      </c>
      <c r="BP3743">
        <v>0</v>
      </c>
      <c r="BW3743" t="str">
        <f>"06:22:48.263"</f>
        <v>06:22:48.263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4</v>
      </c>
      <c r="CP3743" t="s">
        <v>119</v>
      </c>
      <c r="CQ3743">
        <v>457</v>
      </c>
      <c r="CR3743">
        <v>0</v>
      </c>
      <c r="CW3743">
        <v>15527866</v>
      </c>
      <c r="CY3743">
        <v>1</v>
      </c>
      <c r="CZ3743">
        <v>0</v>
      </c>
      <c r="DA3743">
        <v>1</v>
      </c>
      <c r="DB3743">
        <v>0</v>
      </c>
      <c r="DC3743">
        <v>0</v>
      </c>
      <c r="DD3743">
        <v>0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3">
      <c r="A3744" t="str">
        <f>"08/29/2020 06:22:45.916"</f>
        <v>08/29/2020 06:22:45.916</v>
      </c>
      <c r="C3744" t="str">
        <f t="shared" si="1609"/>
        <v>FFDFD3C0</v>
      </c>
      <c r="D3744" t="s">
        <v>121</v>
      </c>
      <c r="E3744">
        <v>10</v>
      </c>
      <c r="F3744">
        <v>1010</v>
      </c>
      <c r="G3744" t="s">
        <v>114</v>
      </c>
      <c r="J3744" t="s">
        <v>123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"06:22:49.125"</f>
        <v>06:22:49.125</v>
      </c>
      <c r="T3744" t="str">
        <f>"06:22:48.725"</f>
        <v>06:22:48.725</v>
      </c>
      <c r="U3744" t="str">
        <f t="shared" si="1610"/>
        <v>A7E2E0</v>
      </c>
      <c r="V3744">
        <v>0</v>
      </c>
      <c r="W3744">
        <v>0</v>
      </c>
      <c r="X3744">
        <v>1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0</v>
      </c>
      <c r="AI3744" t="s">
        <v>1686</v>
      </c>
      <c r="AJ3744">
        <v>38.797530999999999</v>
      </c>
      <c r="AK3744" t="s">
        <v>1226</v>
      </c>
      <c r="AL3744">
        <v>-87.605345</v>
      </c>
      <c r="AM3744">
        <v>100</v>
      </c>
      <c r="AN3744">
        <v>900</v>
      </c>
      <c r="AO3744" t="s">
        <v>118</v>
      </c>
      <c r="AP3744">
        <v>-1</v>
      </c>
      <c r="AQ3744">
        <v>-104</v>
      </c>
      <c r="AR3744">
        <v>-1088</v>
      </c>
      <c r="AZ3744">
        <v>4552</v>
      </c>
      <c r="BA3744">
        <v>1</v>
      </c>
      <c r="BB3744" t="str">
        <f t="shared" si="1611"/>
        <v xml:space="preserve">N607SR  </v>
      </c>
      <c r="BC3744">
        <v>1</v>
      </c>
      <c r="BE3744">
        <v>0</v>
      </c>
      <c r="BF3744">
        <v>0</v>
      </c>
      <c r="BG3744">
        <v>0</v>
      </c>
      <c r="BH3744">
        <v>650</v>
      </c>
      <c r="BI3744">
        <v>1</v>
      </c>
      <c r="BJ3744">
        <v>1</v>
      </c>
      <c r="BK3744">
        <v>1</v>
      </c>
      <c r="BL3744">
        <v>0</v>
      </c>
      <c r="BO3744">
        <v>0</v>
      </c>
      <c r="BP3744">
        <v>0</v>
      </c>
      <c r="BW3744" t="str">
        <f>"06:22:49.126"</f>
        <v>06:22:49.126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4</v>
      </c>
      <c r="CP3744" t="s">
        <v>119</v>
      </c>
      <c r="CQ3744">
        <v>457</v>
      </c>
      <c r="CR3744">
        <v>0</v>
      </c>
      <c r="CW3744">
        <v>15527890</v>
      </c>
      <c r="CY3744">
        <v>1</v>
      </c>
      <c r="CZ3744">
        <v>0</v>
      </c>
      <c r="DA3744">
        <v>0</v>
      </c>
      <c r="DB3744">
        <v>0</v>
      </c>
      <c r="DC3744">
        <v>0</v>
      </c>
      <c r="DD3744">
        <v>0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3">
      <c r="A3745" t="str">
        <f>"08/29/2020 06:22:45.916"</f>
        <v>08/29/2020 06:22:45.916</v>
      </c>
      <c r="C3745" t="str">
        <f t="shared" si="1609"/>
        <v>FFDFD3C0</v>
      </c>
      <c r="D3745" t="s">
        <v>113</v>
      </c>
      <c r="E3745">
        <v>5</v>
      </c>
      <c r="H3745">
        <v>163</v>
      </c>
      <c r="I3745" t="s">
        <v>114</v>
      </c>
      <c r="J3745" t="s">
        <v>115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"06:22:49.125"</f>
        <v>06:22:49.125</v>
      </c>
      <c r="T3745" t="str">
        <f>"06:22:48.725"</f>
        <v>06:22:48.725</v>
      </c>
      <c r="U3745" t="str">
        <f t="shared" si="1610"/>
        <v>A7E2E0</v>
      </c>
      <c r="V3745">
        <v>0</v>
      </c>
      <c r="W3745">
        <v>0</v>
      </c>
      <c r="X3745">
        <v>1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0</v>
      </c>
      <c r="AI3745" t="s">
        <v>1686</v>
      </c>
      <c r="AJ3745">
        <v>38.797530999999999</v>
      </c>
      <c r="AK3745" t="s">
        <v>1226</v>
      </c>
      <c r="AL3745">
        <v>-87.605345</v>
      </c>
      <c r="AM3745">
        <v>100</v>
      </c>
      <c r="AN3745">
        <v>900</v>
      </c>
      <c r="AO3745" t="s">
        <v>118</v>
      </c>
      <c r="AP3745">
        <v>-1</v>
      </c>
      <c r="AQ3745">
        <v>-104</v>
      </c>
      <c r="AR3745">
        <v>-1088</v>
      </c>
      <c r="AZ3745">
        <v>4552</v>
      </c>
      <c r="BA3745">
        <v>1</v>
      </c>
      <c r="BB3745" t="str">
        <f t="shared" si="1611"/>
        <v xml:space="preserve">N607SR  </v>
      </c>
      <c r="BC3745">
        <v>1</v>
      </c>
      <c r="BE3745">
        <v>0</v>
      </c>
      <c r="BF3745">
        <v>0</v>
      </c>
      <c r="BG3745">
        <v>0</v>
      </c>
      <c r="BH3745">
        <v>650</v>
      </c>
      <c r="BI3745">
        <v>1</v>
      </c>
      <c r="BJ3745">
        <v>1</v>
      </c>
      <c r="BK3745">
        <v>1</v>
      </c>
      <c r="BL3745">
        <v>0</v>
      </c>
      <c r="BO3745">
        <v>0</v>
      </c>
      <c r="BP3745">
        <v>0</v>
      </c>
      <c r="BW3745" t="str">
        <f>"06:22:49.126"</f>
        <v>06:22:49.126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4</v>
      </c>
      <c r="CP3745" t="s">
        <v>119</v>
      </c>
      <c r="CQ3745">
        <v>457</v>
      </c>
      <c r="CR3745">
        <v>0</v>
      </c>
      <c r="CW3745">
        <v>15527890</v>
      </c>
      <c r="CY3745">
        <v>1</v>
      </c>
      <c r="CZ3745">
        <v>0</v>
      </c>
      <c r="DA3745">
        <v>1</v>
      </c>
      <c r="DB3745">
        <v>0</v>
      </c>
      <c r="DC3745">
        <v>0</v>
      </c>
      <c r="DD3745">
        <v>0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3">
      <c r="A3746" t="str">
        <f>"08/29/2020 06:22:45.916"</f>
        <v>08/29/2020 06:22:45.916</v>
      </c>
      <c r="C3746" t="str">
        <f t="shared" si="1609"/>
        <v>FFDFD3C0</v>
      </c>
      <c r="D3746" t="s">
        <v>128</v>
      </c>
      <c r="E3746">
        <v>5</v>
      </c>
      <c r="H3746">
        <v>241</v>
      </c>
      <c r="I3746" t="s">
        <v>129</v>
      </c>
      <c r="J3746" t="s">
        <v>130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"06:22:49.125"</f>
        <v>06:22:49.125</v>
      </c>
      <c r="T3746" t="str">
        <f>"06:22:48.725"</f>
        <v>06:22:48.725</v>
      </c>
      <c r="U3746" t="str">
        <f t="shared" si="1610"/>
        <v>A7E2E0</v>
      </c>
      <c r="V3746">
        <v>0</v>
      </c>
      <c r="W3746">
        <v>0</v>
      </c>
      <c r="X3746">
        <v>1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0</v>
      </c>
      <c r="AI3746" t="s">
        <v>1686</v>
      </c>
      <c r="AJ3746">
        <v>38.797530999999999</v>
      </c>
      <c r="AK3746" t="s">
        <v>1226</v>
      </c>
      <c r="AL3746">
        <v>-87.605345</v>
      </c>
      <c r="AM3746">
        <v>100</v>
      </c>
      <c r="AN3746">
        <v>900</v>
      </c>
      <c r="AO3746" t="s">
        <v>118</v>
      </c>
      <c r="AP3746">
        <v>-1</v>
      </c>
      <c r="AQ3746">
        <v>-104</v>
      </c>
      <c r="AR3746">
        <v>-1088</v>
      </c>
      <c r="AZ3746">
        <v>4552</v>
      </c>
      <c r="BA3746">
        <v>1</v>
      </c>
      <c r="BB3746" t="str">
        <f t="shared" si="1611"/>
        <v xml:space="preserve">N607SR  </v>
      </c>
      <c r="BC3746">
        <v>1</v>
      </c>
      <c r="BE3746">
        <v>0</v>
      </c>
      <c r="BF3746">
        <v>0</v>
      </c>
      <c r="BG3746">
        <v>0</v>
      </c>
      <c r="BH3746">
        <v>650</v>
      </c>
      <c r="BI3746">
        <v>1</v>
      </c>
      <c r="BJ3746">
        <v>1</v>
      </c>
      <c r="BK3746">
        <v>1</v>
      </c>
      <c r="BL3746">
        <v>0</v>
      </c>
      <c r="BO3746">
        <v>0</v>
      </c>
      <c r="BP3746">
        <v>0</v>
      </c>
      <c r="BW3746" t="str">
        <f>"06:22:49.126"</f>
        <v>06:22:49.126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4</v>
      </c>
      <c r="CP3746" t="s">
        <v>119</v>
      </c>
      <c r="CQ3746">
        <v>457</v>
      </c>
      <c r="CR3746">
        <v>0</v>
      </c>
      <c r="CW3746">
        <v>15527890</v>
      </c>
      <c r="CY3746">
        <v>1</v>
      </c>
      <c r="CZ3746">
        <v>0</v>
      </c>
      <c r="DA3746">
        <v>1</v>
      </c>
      <c r="DB3746">
        <v>0</v>
      </c>
      <c r="DC3746">
        <v>0</v>
      </c>
      <c r="DD3746">
        <v>0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3">
      <c r="A3747" t="str">
        <f>"08/29/2020 06:22:45.916"</f>
        <v>08/29/2020 06:22:45.916</v>
      </c>
      <c r="C3747" t="str">
        <f t="shared" si="1609"/>
        <v>FFDFD3C0</v>
      </c>
      <c r="D3747" t="s">
        <v>121</v>
      </c>
      <c r="E3747">
        <v>13</v>
      </c>
      <c r="F3747">
        <v>1013</v>
      </c>
      <c r="G3747" t="s">
        <v>122</v>
      </c>
      <c r="J3747" t="s">
        <v>123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"06:22:49.125"</f>
        <v>06:22:49.125</v>
      </c>
      <c r="T3747" t="str">
        <f>"06:22:48.725"</f>
        <v>06:22:48.725</v>
      </c>
      <c r="U3747" t="str">
        <f t="shared" si="1610"/>
        <v>A7E2E0</v>
      </c>
      <c r="V3747">
        <v>0</v>
      </c>
      <c r="W3747">
        <v>0</v>
      </c>
      <c r="X3747">
        <v>1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3</v>
      </c>
      <c r="AG3747">
        <v>2</v>
      </c>
      <c r="AH3747">
        <v>0</v>
      </c>
      <c r="AI3747" t="s">
        <v>1686</v>
      </c>
      <c r="AJ3747">
        <v>38.797530999999999</v>
      </c>
      <c r="AK3747" t="s">
        <v>1226</v>
      </c>
      <c r="AL3747">
        <v>-87.605345</v>
      </c>
      <c r="AM3747">
        <v>100</v>
      </c>
      <c r="AN3747">
        <v>900</v>
      </c>
      <c r="AO3747" t="s">
        <v>118</v>
      </c>
      <c r="AP3747">
        <v>-1</v>
      </c>
      <c r="AQ3747">
        <v>-104</v>
      </c>
      <c r="AR3747">
        <v>-1088</v>
      </c>
      <c r="AZ3747">
        <v>4552</v>
      </c>
      <c r="BA3747">
        <v>1</v>
      </c>
      <c r="BB3747" t="str">
        <f t="shared" si="1611"/>
        <v xml:space="preserve">N607SR  </v>
      </c>
      <c r="BC3747">
        <v>1</v>
      </c>
      <c r="BE3747">
        <v>0</v>
      </c>
      <c r="BF3747">
        <v>0</v>
      </c>
      <c r="BG3747">
        <v>0</v>
      </c>
      <c r="BH3747">
        <v>650</v>
      </c>
      <c r="BI3747">
        <v>1</v>
      </c>
      <c r="BJ3747">
        <v>1</v>
      </c>
      <c r="BK3747">
        <v>1</v>
      </c>
      <c r="BL3747">
        <v>0</v>
      </c>
      <c r="BO3747">
        <v>0</v>
      </c>
      <c r="BP3747">
        <v>0</v>
      </c>
      <c r="BW3747" t="str">
        <f>"06:22:49.126"</f>
        <v>06:22:49.126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4</v>
      </c>
      <c r="CP3747" t="s">
        <v>119</v>
      </c>
      <c r="CQ3747">
        <v>457</v>
      </c>
      <c r="CR3747">
        <v>0</v>
      </c>
      <c r="CW3747">
        <v>15527890</v>
      </c>
      <c r="CY3747">
        <v>1</v>
      </c>
      <c r="CZ3747">
        <v>0</v>
      </c>
      <c r="DA3747">
        <v>1</v>
      </c>
      <c r="DB3747">
        <v>0</v>
      </c>
      <c r="DC3747">
        <v>0</v>
      </c>
      <c r="DD3747">
        <v>0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3">
      <c r="A3748" t="str">
        <f>"08/29/2020 06:22:45.916"</f>
        <v>08/29/2020 06:22:45.916</v>
      </c>
      <c r="C3748" t="str">
        <f t="shared" si="1609"/>
        <v>FFDFD3C0</v>
      </c>
      <c r="D3748" t="s">
        <v>121</v>
      </c>
      <c r="E3748">
        <v>11</v>
      </c>
      <c r="F3748">
        <v>1011</v>
      </c>
      <c r="G3748" t="s">
        <v>125</v>
      </c>
      <c r="J3748" t="s">
        <v>123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"06:22:49.125"</f>
        <v>06:22:49.125</v>
      </c>
      <c r="T3748" t="str">
        <f>"06:22:48.725"</f>
        <v>06:22:48.725</v>
      </c>
      <c r="U3748" t="str">
        <f t="shared" si="1610"/>
        <v>A7E2E0</v>
      </c>
      <c r="V3748">
        <v>0</v>
      </c>
      <c r="W3748">
        <v>0</v>
      </c>
      <c r="X3748">
        <v>1</v>
      </c>
      <c r="Z3748">
        <v>0</v>
      </c>
      <c r="AA3748">
        <v>9</v>
      </c>
      <c r="AB3748">
        <v>3</v>
      </c>
      <c r="AC3748">
        <v>0</v>
      </c>
      <c r="AD3748">
        <v>10</v>
      </c>
      <c r="AE3748">
        <v>0</v>
      </c>
      <c r="AF3748">
        <v>3</v>
      </c>
      <c r="AG3748">
        <v>2</v>
      </c>
      <c r="AH3748">
        <v>0</v>
      </c>
      <c r="AI3748" t="s">
        <v>1686</v>
      </c>
      <c r="AJ3748">
        <v>38.797530999999999</v>
      </c>
      <c r="AK3748" t="s">
        <v>1226</v>
      </c>
      <c r="AL3748">
        <v>-87.605345</v>
      </c>
      <c r="AM3748">
        <v>100</v>
      </c>
      <c r="AN3748">
        <v>900</v>
      </c>
      <c r="AO3748" t="s">
        <v>118</v>
      </c>
      <c r="AP3748">
        <v>-1</v>
      </c>
      <c r="AQ3748">
        <v>-104</v>
      </c>
      <c r="AR3748">
        <v>-1088</v>
      </c>
      <c r="AZ3748">
        <v>4552</v>
      </c>
      <c r="BA3748">
        <v>1</v>
      </c>
      <c r="BB3748" t="str">
        <f t="shared" si="1611"/>
        <v xml:space="preserve">N607SR  </v>
      </c>
      <c r="BC3748">
        <v>1</v>
      </c>
      <c r="BE3748">
        <v>0</v>
      </c>
      <c r="BF3748">
        <v>0</v>
      </c>
      <c r="BG3748">
        <v>0</v>
      </c>
      <c r="BH3748">
        <v>650</v>
      </c>
      <c r="BI3748">
        <v>1</v>
      </c>
      <c r="BJ3748">
        <v>1</v>
      </c>
      <c r="BK3748">
        <v>1</v>
      </c>
      <c r="BL3748">
        <v>0</v>
      </c>
      <c r="BO3748">
        <v>0</v>
      </c>
      <c r="BP3748">
        <v>0</v>
      </c>
      <c r="BW3748" t="str">
        <f>"06:22:49.126"</f>
        <v>06:22:49.126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4</v>
      </c>
      <c r="CP3748" t="s">
        <v>119</v>
      </c>
      <c r="CQ3748">
        <v>457</v>
      </c>
      <c r="CR3748">
        <v>0</v>
      </c>
      <c r="CW3748">
        <v>15527890</v>
      </c>
      <c r="CY3748">
        <v>1</v>
      </c>
      <c r="CZ3748">
        <v>0</v>
      </c>
      <c r="DA3748">
        <v>1</v>
      </c>
      <c r="DB3748">
        <v>0</v>
      </c>
      <c r="DC3748">
        <v>0</v>
      </c>
      <c r="DD3748">
        <v>0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3">
      <c r="A3749" t="str">
        <f>"08/29/2020 06:22:47.991"</f>
        <v>08/29/2020 06:22:47.991</v>
      </c>
      <c r="C3749" t="str">
        <f t="shared" si="1609"/>
        <v>FFDFD3C0</v>
      </c>
      <c r="D3749" t="s">
        <v>121</v>
      </c>
      <c r="E3749">
        <v>10</v>
      </c>
      <c r="F3749">
        <v>1010</v>
      </c>
      <c r="G3749" t="s">
        <v>114</v>
      </c>
      <c r="J3749" t="s">
        <v>123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"06:22:51.188"</f>
        <v>06:22:51.188</v>
      </c>
      <c r="T3749" t="str">
        <f>"06:22:50.188"</f>
        <v>06:22:50.188</v>
      </c>
      <c r="U3749" t="str">
        <f t="shared" si="1610"/>
        <v>A7E2E0</v>
      </c>
      <c r="V3749">
        <v>0</v>
      </c>
      <c r="W3749">
        <v>0</v>
      </c>
      <c r="X3749">
        <v>1</v>
      </c>
      <c r="Z3749">
        <v>0</v>
      </c>
      <c r="AA3749">
        <v>9</v>
      </c>
      <c r="AB3749">
        <v>3</v>
      </c>
      <c r="AC3749">
        <v>0</v>
      </c>
      <c r="AD3749">
        <v>10</v>
      </c>
      <c r="AE3749">
        <v>0</v>
      </c>
      <c r="AF3749">
        <v>3</v>
      </c>
      <c r="AG3749">
        <v>2</v>
      </c>
      <c r="AH3749">
        <v>0</v>
      </c>
      <c r="AI3749" t="s">
        <v>1687</v>
      </c>
      <c r="AJ3749">
        <v>38.796565999999999</v>
      </c>
      <c r="AK3749" t="s">
        <v>1226</v>
      </c>
      <c r="AL3749">
        <v>-87.605345</v>
      </c>
      <c r="AM3749">
        <v>100</v>
      </c>
      <c r="AN3749">
        <v>900</v>
      </c>
      <c r="AO3749" t="s">
        <v>118</v>
      </c>
      <c r="AP3749">
        <v>1</v>
      </c>
      <c r="AQ3749">
        <v>-104</v>
      </c>
      <c r="AR3749">
        <v>-1152</v>
      </c>
      <c r="AZ3749">
        <v>4552</v>
      </c>
      <c r="BA3749">
        <v>1</v>
      </c>
      <c r="BB3749" t="str">
        <f t="shared" si="1611"/>
        <v xml:space="preserve">N607SR  </v>
      </c>
      <c r="BC3749">
        <v>1</v>
      </c>
      <c r="BE3749">
        <v>0</v>
      </c>
      <c r="BF3749">
        <v>0</v>
      </c>
      <c r="BG3749">
        <v>0</v>
      </c>
      <c r="BH3749">
        <v>625</v>
      </c>
      <c r="BI3749">
        <v>1</v>
      </c>
      <c r="BJ3749">
        <v>1</v>
      </c>
      <c r="BK3749">
        <v>1</v>
      </c>
      <c r="BL3749">
        <v>0</v>
      </c>
      <c r="BO3749">
        <v>0</v>
      </c>
      <c r="BP3749">
        <v>0</v>
      </c>
      <c r="BW3749" t="str">
        <f>"06:22:51.194"</f>
        <v>06:22:51.194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2</v>
      </c>
      <c r="CP3749" t="s">
        <v>119</v>
      </c>
      <c r="CQ3749">
        <v>517</v>
      </c>
      <c r="CR3749">
        <v>1</v>
      </c>
      <c r="CW3749">
        <v>2492603</v>
      </c>
      <c r="CY3749">
        <v>1</v>
      </c>
      <c r="CZ3749">
        <v>0</v>
      </c>
      <c r="DA3749">
        <v>0</v>
      </c>
      <c r="DB3749">
        <v>0</v>
      </c>
      <c r="DC3749">
        <v>0</v>
      </c>
      <c r="DD3749">
        <v>0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3">
      <c r="A3750" t="str">
        <f>"08/29/2020 06:22:47.991"</f>
        <v>08/29/2020 06:22:47.991</v>
      </c>
      <c r="C3750" t="str">
        <f t="shared" si="1609"/>
        <v>FFDFD3C0</v>
      </c>
      <c r="D3750" t="s">
        <v>113</v>
      </c>
      <c r="E3750">
        <v>5</v>
      </c>
      <c r="H3750">
        <v>163</v>
      </c>
      <c r="I3750" t="s">
        <v>114</v>
      </c>
      <c r="J3750" t="s">
        <v>115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"06:22:51.188"</f>
        <v>06:22:51.188</v>
      </c>
      <c r="T3750" t="str">
        <f>"06:22:50.188"</f>
        <v>06:22:50.188</v>
      </c>
      <c r="U3750" t="str">
        <f t="shared" si="1610"/>
        <v>A7E2E0</v>
      </c>
      <c r="V3750">
        <v>0</v>
      </c>
      <c r="W3750">
        <v>0</v>
      </c>
      <c r="X3750">
        <v>1</v>
      </c>
      <c r="Z3750">
        <v>0</v>
      </c>
      <c r="AA3750">
        <v>9</v>
      </c>
      <c r="AB3750">
        <v>3</v>
      </c>
      <c r="AC3750">
        <v>0</v>
      </c>
      <c r="AD3750">
        <v>10</v>
      </c>
      <c r="AE3750">
        <v>0</v>
      </c>
      <c r="AF3750">
        <v>3</v>
      </c>
      <c r="AG3750">
        <v>2</v>
      </c>
      <c r="AH3750">
        <v>0</v>
      </c>
      <c r="AI3750" t="s">
        <v>1687</v>
      </c>
      <c r="AJ3750">
        <v>38.796565999999999</v>
      </c>
      <c r="AK3750" t="s">
        <v>1226</v>
      </c>
      <c r="AL3750">
        <v>-87.605345</v>
      </c>
      <c r="AM3750">
        <v>100</v>
      </c>
      <c r="AN3750">
        <v>900</v>
      </c>
      <c r="AO3750" t="s">
        <v>118</v>
      </c>
      <c r="AP3750">
        <v>1</v>
      </c>
      <c r="AQ3750">
        <v>-104</v>
      </c>
      <c r="AR3750">
        <v>-1152</v>
      </c>
      <c r="AZ3750">
        <v>4552</v>
      </c>
      <c r="BA3750">
        <v>1</v>
      </c>
      <c r="BB3750" t="str">
        <f t="shared" si="1611"/>
        <v xml:space="preserve">N607SR  </v>
      </c>
      <c r="BC3750">
        <v>1</v>
      </c>
      <c r="BE3750">
        <v>0</v>
      </c>
      <c r="BF3750">
        <v>0</v>
      </c>
      <c r="BG3750">
        <v>0</v>
      </c>
      <c r="BH3750">
        <v>625</v>
      </c>
      <c r="BI3750">
        <v>1</v>
      </c>
      <c r="BJ3750">
        <v>1</v>
      </c>
      <c r="BK3750">
        <v>1</v>
      </c>
      <c r="BL3750">
        <v>0</v>
      </c>
      <c r="BO3750">
        <v>0</v>
      </c>
      <c r="BP3750">
        <v>0</v>
      </c>
      <c r="BW3750" t="str">
        <f>"06:22:51.194"</f>
        <v>06:22:51.194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2</v>
      </c>
      <c r="CP3750" t="s">
        <v>119</v>
      </c>
      <c r="CQ3750">
        <v>517</v>
      </c>
      <c r="CR3750">
        <v>1</v>
      </c>
      <c r="CW3750">
        <v>2492603</v>
      </c>
      <c r="CY3750">
        <v>1</v>
      </c>
      <c r="CZ3750">
        <v>0</v>
      </c>
      <c r="DA3750">
        <v>1</v>
      </c>
      <c r="DB3750">
        <v>0</v>
      </c>
      <c r="DC3750">
        <v>0</v>
      </c>
      <c r="DD3750">
        <v>0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3">
      <c r="A3751" t="str">
        <f>"08/29/2020 06:22:47.991"</f>
        <v>08/29/2020 06:22:47.991</v>
      </c>
      <c r="C3751" t="str">
        <f t="shared" si="1609"/>
        <v>FFDFD3C0</v>
      </c>
      <c r="D3751" t="s">
        <v>128</v>
      </c>
      <c r="E3751">
        <v>5</v>
      </c>
      <c r="H3751">
        <v>241</v>
      </c>
      <c r="I3751" t="s">
        <v>129</v>
      </c>
      <c r="J3751" t="s">
        <v>130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"06:22:51.188"</f>
        <v>06:22:51.188</v>
      </c>
      <c r="T3751" t="str">
        <f>"06:22:50.188"</f>
        <v>06:22:50.188</v>
      </c>
      <c r="U3751" t="str">
        <f t="shared" si="1610"/>
        <v>A7E2E0</v>
      </c>
      <c r="V3751">
        <v>0</v>
      </c>
      <c r="W3751">
        <v>0</v>
      </c>
      <c r="X3751">
        <v>1</v>
      </c>
      <c r="Z3751">
        <v>0</v>
      </c>
      <c r="AA3751">
        <v>9</v>
      </c>
      <c r="AB3751">
        <v>3</v>
      </c>
      <c r="AC3751">
        <v>0</v>
      </c>
      <c r="AD3751">
        <v>10</v>
      </c>
      <c r="AE3751">
        <v>0</v>
      </c>
      <c r="AF3751">
        <v>3</v>
      </c>
      <c r="AG3751">
        <v>2</v>
      </c>
      <c r="AH3751">
        <v>0</v>
      </c>
      <c r="AI3751" t="s">
        <v>1687</v>
      </c>
      <c r="AJ3751">
        <v>38.796565999999999</v>
      </c>
      <c r="AK3751" t="s">
        <v>1226</v>
      </c>
      <c r="AL3751">
        <v>-87.605345</v>
      </c>
      <c r="AM3751">
        <v>100</v>
      </c>
      <c r="AN3751">
        <v>900</v>
      </c>
      <c r="AO3751" t="s">
        <v>118</v>
      </c>
      <c r="AP3751">
        <v>1</v>
      </c>
      <c r="AQ3751">
        <v>-104</v>
      </c>
      <c r="AR3751">
        <v>-1152</v>
      </c>
      <c r="AZ3751">
        <v>4552</v>
      </c>
      <c r="BA3751">
        <v>1</v>
      </c>
      <c r="BB3751" t="str">
        <f t="shared" si="1611"/>
        <v xml:space="preserve">N607SR  </v>
      </c>
      <c r="BC3751">
        <v>1</v>
      </c>
      <c r="BE3751">
        <v>0</v>
      </c>
      <c r="BF3751">
        <v>0</v>
      </c>
      <c r="BG3751">
        <v>0</v>
      </c>
      <c r="BH3751">
        <v>625</v>
      </c>
      <c r="BI3751">
        <v>1</v>
      </c>
      <c r="BJ3751">
        <v>1</v>
      </c>
      <c r="BK3751">
        <v>1</v>
      </c>
      <c r="BL3751">
        <v>0</v>
      </c>
      <c r="BO3751">
        <v>0</v>
      </c>
      <c r="BP3751">
        <v>0</v>
      </c>
      <c r="BW3751" t="str">
        <f>"06:22:51.194"</f>
        <v>06:22:51.194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2</v>
      </c>
      <c r="CP3751" t="s">
        <v>119</v>
      </c>
      <c r="CQ3751">
        <v>517</v>
      </c>
      <c r="CR3751">
        <v>1</v>
      </c>
      <c r="CW3751">
        <v>2492603</v>
      </c>
      <c r="CY3751">
        <v>1</v>
      </c>
      <c r="CZ3751">
        <v>0</v>
      </c>
      <c r="DA3751">
        <v>1</v>
      </c>
      <c r="DB3751">
        <v>0</v>
      </c>
      <c r="DC3751">
        <v>0</v>
      </c>
      <c r="DD3751">
        <v>0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3">
      <c r="A3752" t="str">
        <f>"08/29/2020 06:22:47.991"</f>
        <v>08/29/2020 06:22:47.991</v>
      </c>
      <c r="C3752" t="str">
        <f t="shared" si="1609"/>
        <v>FFDFD3C0</v>
      </c>
      <c r="D3752" t="s">
        <v>121</v>
      </c>
      <c r="E3752">
        <v>13</v>
      </c>
      <c r="F3752">
        <v>1013</v>
      </c>
      <c r="G3752" t="s">
        <v>122</v>
      </c>
      <c r="J3752" t="s">
        <v>123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"06:22:51.188"</f>
        <v>06:22:51.188</v>
      </c>
      <c r="T3752" t="str">
        <f>"06:22:50.188"</f>
        <v>06:22:50.188</v>
      </c>
      <c r="U3752" t="str">
        <f t="shared" si="1610"/>
        <v>A7E2E0</v>
      </c>
      <c r="V3752">
        <v>0</v>
      </c>
      <c r="W3752">
        <v>0</v>
      </c>
      <c r="X3752">
        <v>1</v>
      </c>
      <c r="Z3752">
        <v>0</v>
      </c>
      <c r="AA3752">
        <v>9</v>
      </c>
      <c r="AB3752">
        <v>3</v>
      </c>
      <c r="AC3752">
        <v>0</v>
      </c>
      <c r="AD3752">
        <v>10</v>
      </c>
      <c r="AE3752">
        <v>0</v>
      </c>
      <c r="AF3752">
        <v>3</v>
      </c>
      <c r="AG3752">
        <v>2</v>
      </c>
      <c r="AH3752">
        <v>0</v>
      </c>
      <c r="AI3752" t="s">
        <v>1687</v>
      </c>
      <c r="AJ3752">
        <v>38.796565999999999</v>
      </c>
      <c r="AK3752" t="s">
        <v>1226</v>
      </c>
      <c r="AL3752">
        <v>-87.605345</v>
      </c>
      <c r="AM3752">
        <v>100</v>
      </c>
      <c r="AN3752">
        <v>900</v>
      </c>
      <c r="AO3752" t="s">
        <v>118</v>
      </c>
      <c r="AP3752">
        <v>1</v>
      </c>
      <c r="AQ3752">
        <v>-104</v>
      </c>
      <c r="AR3752">
        <v>-1152</v>
      </c>
      <c r="AZ3752">
        <v>4552</v>
      </c>
      <c r="BA3752">
        <v>1</v>
      </c>
      <c r="BB3752" t="str">
        <f t="shared" si="1611"/>
        <v xml:space="preserve">N607SR  </v>
      </c>
      <c r="BC3752">
        <v>1</v>
      </c>
      <c r="BE3752">
        <v>0</v>
      </c>
      <c r="BF3752">
        <v>0</v>
      </c>
      <c r="BG3752">
        <v>0</v>
      </c>
      <c r="BH3752">
        <v>625</v>
      </c>
      <c r="BI3752">
        <v>1</v>
      </c>
      <c r="BJ3752">
        <v>1</v>
      </c>
      <c r="BK3752">
        <v>1</v>
      </c>
      <c r="BL3752">
        <v>0</v>
      </c>
      <c r="BO3752">
        <v>0</v>
      </c>
      <c r="BP3752">
        <v>0</v>
      </c>
      <c r="BW3752" t="str">
        <f>"06:22:51.194"</f>
        <v>06:22:51.194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2</v>
      </c>
      <c r="CP3752" t="s">
        <v>119</v>
      </c>
      <c r="CQ3752">
        <v>517</v>
      </c>
      <c r="CR3752">
        <v>1</v>
      </c>
      <c r="CW3752">
        <v>2492603</v>
      </c>
      <c r="CY3752">
        <v>1</v>
      </c>
      <c r="CZ3752">
        <v>0</v>
      </c>
      <c r="DA3752">
        <v>1</v>
      </c>
      <c r="DB3752">
        <v>0</v>
      </c>
      <c r="DC3752">
        <v>0</v>
      </c>
      <c r="DD3752">
        <v>0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3">
      <c r="A3753" t="str">
        <f>"08/29/2020 06:22:48.902"</f>
        <v>08/29/2020 06:22:48.902</v>
      </c>
      <c r="C3753" t="str">
        <f t="shared" si="1609"/>
        <v>FFDFD3C0</v>
      </c>
      <c r="D3753" t="s">
        <v>121</v>
      </c>
      <c r="E3753">
        <v>10</v>
      </c>
      <c r="F3753">
        <v>1010</v>
      </c>
      <c r="G3753" t="s">
        <v>114</v>
      </c>
      <c r="J3753" t="s">
        <v>123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"06:22:52.086"</f>
        <v>06:22:52.086</v>
      </c>
      <c r="T3753" t="str">
        <f>"06:22:51.286"</f>
        <v>06:22:51.286</v>
      </c>
      <c r="U3753" t="str">
        <f t="shared" si="1610"/>
        <v>A7E2E0</v>
      </c>
      <c r="V3753">
        <v>0</v>
      </c>
      <c r="W3753">
        <v>0</v>
      </c>
      <c r="X3753">
        <v>1</v>
      </c>
      <c r="Z3753">
        <v>0</v>
      </c>
      <c r="AA3753">
        <v>9</v>
      </c>
      <c r="AB3753">
        <v>3</v>
      </c>
      <c r="AC3753">
        <v>0</v>
      </c>
      <c r="AD3753">
        <v>10</v>
      </c>
      <c r="AE3753">
        <v>0</v>
      </c>
      <c r="AF3753">
        <v>3</v>
      </c>
      <c r="AG3753">
        <v>2</v>
      </c>
      <c r="AH3753">
        <v>0</v>
      </c>
      <c r="AI3753" t="s">
        <v>1688</v>
      </c>
      <c r="AJ3753">
        <v>38.796115</v>
      </c>
      <c r="AK3753" t="s">
        <v>1561</v>
      </c>
      <c r="AL3753">
        <v>-87.605281000000005</v>
      </c>
      <c r="AM3753">
        <v>100</v>
      </c>
      <c r="AN3753">
        <v>800</v>
      </c>
      <c r="AO3753" t="s">
        <v>118</v>
      </c>
      <c r="AP3753">
        <v>2</v>
      </c>
      <c r="AQ3753">
        <v>-104</v>
      </c>
      <c r="AR3753">
        <v>-1152</v>
      </c>
      <c r="AZ3753">
        <v>4552</v>
      </c>
      <c r="BA3753">
        <v>1</v>
      </c>
      <c r="BB3753" t="str">
        <f t="shared" si="1611"/>
        <v xml:space="preserve">N607SR  </v>
      </c>
      <c r="BC3753">
        <v>1</v>
      </c>
      <c r="BE3753">
        <v>0</v>
      </c>
      <c r="BF3753">
        <v>0</v>
      </c>
      <c r="BG3753">
        <v>0</v>
      </c>
      <c r="BH3753">
        <v>500</v>
      </c>
      <c r="BI3753">
        <v>1</v>
      </c>
      <c r="BJ3753">
        <v>1</v>
      </c>
      <c r="BK3753">
        <v>1</v>
      </c>
      <c r="BL3753">
        <v>0</v>
      </c>
      <c r="BO3753">
        <v>0</v>
      </c>
      <c r="BP3753">
        <v>0</v>
      </c>
      <c r="BW3753" t="str">
        <f>"06:22:52.089"</f>
        <v>06:22:52.089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2</v>
      </c>
      <c r="CP3753" t="s">
        <v>119</v>
      </c>
      <c r="CQ3753">
        <v>517</v>
      </c>
      <c r="CR3753">
        <v>1</v>
      </c>
      <c r="CW3753">
        <v>2492630</v>
      </c>
      <c r="CY3753">
        <v>1</v>
      </c>
      <c r="CZ3753">
        <v>0</v>
      </c>
      <c r="DA3753">
        <v>0</v>
      </c>
      <c r="DB3753">
        <v>0</v>
      </c>
      <c r="DC3753">
        <v>0</v>
      </c>
      <c r="DD3753">
        <v>0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3">
      <c r="A3754" t="str">
        <f>"08/29/2020 06:22:48.902"</f>
        <v>08/29/2020 06:22:48.902</v>
      </c>
      <c r="C3754" t="str">
        <f t="shared" si="1609"/>
        <v>FFDFD3C0</v>
      </c>
      <c r="D3754" t="s">
        <v>113</v>
      </c>
      <c r="E3754">
        <v>5</v>
      </c>
      <c r="H3754">
        <v>163</v>
      </c>
      <c r="I3754" t="s">
        <v>114</v>
      </c>
      <c r="J3754" t="s">
        <v>115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"06:22:52.086"</f>
        <v>06:22:52.086</v>
      </c>
      <c r="T3754" t="str">
        <f>"06:22:51.286"</f>
        <v>06:22:51.286</v>
      </c>
      <c r="U3754" t="str">
        <f t="shared" si="1610"/>
        <v>A7E2E0</v>
      </c>
      <c r="V3754">
        <v>0</v>
      </c>
      <c r="W3754">
        <v>0</v>
      </c>
      <c r="X3754">
        <v>1</v>
      </c>
      <c r="Z3754">
        <v>0</v>
      </c>
      <c r="AA3754">
        <v>9</v>
      </c>
      <c r="AB3754">
        <v>3</v>
      </c>
      <c r="AC3754">
        <v>0</v>
      </c>
      <c r="AD3754">
        <v>10</v>
      </c>
      <c r="AE3754">
        <v>0</v>
      </c>
      <c r="AF3754">
        <v>3</v>
      </c>
      <c r="AG3754">
        <v>2</v>
      </c>
      <c r="AH3754">
        <v>0</v>
      </c>
      <c r="AI3754" t="s">
        <v>1688</v>
      </c>
      <c r="AJ3754">
        <v>38.796115</v>
      </c>
      <c r="AK3754" t="s">
        <v>1561</v>
      </c>
      <c r="AL3754">
        <v>-87.605281000000005</v>
      </c>
      <c r="AM3754">
        <v>100</v>
      </c>
      <c r="AN3754">
        <v>800</v>
      </c>
      <c r="AO3754" t="s">
        <v>118</v>
      </c>
      <c r="AP3754">
        <v>2</v>
      </c>
      <c r="AQ3754">
        <v>-104</v>
      </c>
      <c r="AR3754">
        <v>-1152</v>
      </c>
      <c r="AZ3754">
        <v>4552</v>
      </c>
      <c r="BA3754">
        <v>1</v>
      </c>
      <c r="BB3754" t="str">
        <f t="shared" si="1611"/>
        <v xml:space="preserve">N607SR  </v>
      </c>
      <c r="BC3754">
        <v>1</v>
      </c>
      <c r="BE3754">
        <v>0</v>
      </c>
      <c r="BF3754">
        <v>0</v>
      </c>
      <c r="BG3754">
        <v>0</v>
      </c>
      <c r="BH3754">
        <v>500</v>
      </c>
      <c r="BI3754">
        <v>1</v>
      </c>
      <c r="BJ3754">
        <v>1</v>
      </c>
      <c r="BK3754">
        <v>1</v>
      </c>
      <c r="BL3754">
        <v>0</v>
      </c>
      <c r="BO3754">
        <v>0</v>
      </c>
      <c r="BP3754">
        <v>0</v>
      </c>
      <c r="BW3754" t="str">
        <f>"06:22:52.089"</f>
        <v>06:22:52.089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2</v>
      </c>
      <c r="CP3754" t="s">
        <v>119</v>
      </c>
      <c r="CQ3754">
        <v>517</v>
      </c>
      <c r="CR3754">
        <v>1</v>
      </c>
      <c r="CW3754">
        <v>2492630</v>
      </c>
      <c r="CY3754">
        <v>1</v>
      </c>
      <c r="CZ3754">
        <v>0</v>
      </c>
      <c r="DA3754">
        <v>1</v>
      </c>
      <c r="DB3754">
        <v>0</v>
      </c>
      <c r="DC3754">
        <v>0</v>
      </c>
      <c r="DD3754">
        <v>0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3">
      <c r="A3755" t="str">
        <f>"08/29/2020 06:22:48.902"</f>
        <v>08/29/2020 06:22:48.902</v>
      </c>
      <c r="C3755" t="str">
        <f t="shared" si="1609"/>
        <v>FFDFD3C0</v>
      </c>
      <c r="D3755" t="s">
        <v>128</v>
      </c>
      <c r="E3755">
        <v>5</v>
      </c>
      <c r="H3755">
        <v>241</v>
      </c>
      <c r="I3755" t="s">
        <v>129</v>
      </c>
      <c r="J3755" t="s">
        <v>130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"06:22:52.086"</f>
        <v>06:22:52.086</v>
      </c>
      <c r="T3755" t="str">
        <f>"06:22:51.286"</f>
        <v>06:22:51.286</v>
      </c>
      <c r="U3755" t="str">
        <f t="shared" si="1610"/>
        <v>A7E2E0</v>
      </c>
      <c r="V3755">
        <v>0</v>
      </c>
      <c r="W3755">
        <v>0</v>
      </c>
      <c r="X3755">
        <v>1</v>
      </c>
      <c r="Z3755">
        <v>0</v>
      </c>
      <c r="AA3755">
        <v>9</v>
      </c>
      <c r="AB3755">
        <v>3</v>
      </c>
      <c r="AC3755">
        <v>0</v>
      </c>
      <c r="AD3755">
        <v>10</v>
      </c>
      <c r="AE3755">
        <v>0</v>
      </c>
      <c r="AF3755">
        <v>3</v>
      </c>
      <c r="AG3755">
        <v>2</v>
      </c>
      <c r="AH3755">
        <v>0</v>
      </c>
      <c r="AI3755" t="s">
        <v>1688</v>
      </c>
      <c r="AJ3755">
        <v>38.796115</v>
      </c>
      <c r="AK3755" t="s">
        <v>1561</v>
      </c>
      <c r="AL3755">
        <v>-87.605281000000005</v>
      </c>
      <c r="AM3755">
        <v>100</v>
      </c>
      <c r="AN3755">
        <v>800</v>
      </c>
      <c r="AO3755" t="s">
        <v>118</v>
      </c>
      <c r="AP3755">
        <v>2</v>
      </c>
      <c r="AQ3755">
        <v>-104</v>
      </c>
      <c r="AR3755">
        <v>-1152</v>
      </c>
      <c r="AZ3755">
        <v>4552</v>
      </c>
      <c r="BA3755">
        <v>1</v>
      </c>
      <c r="BB3755" t="str">
        <f t="shared" si="1611"/>
        <v xml:space="preserve">N607SR  </v>
      </c>
      <c r="BC3755">
        <v>1</v>
      </c>
      <c r="BE3755">
        <v>0</v>
      </c>
      <c r="BF3755">
        <v>0</v>
      </c>
      <c r="BG3755">
        <v>0</v>
      </c>
      <c r="BH3755">
        <v>500</v>
      </c>
      <c r="BI3755">
        <v>1</v>
      </c>
      <c r="BJ3755">
        <v>1</v>
      </c>
      <c r="BK3755">
        <v>1</v>
      </c>
      <c r="BL3755">
        <v>0</v>
      </c>
      <c r="BO3755">
        <v>0</v>
      </c>
      <c r="BP3755">
        <v>0</v>
      </c>
      <c r="BW3755" t="str">
        <f>"06:22:52.089"</f>
        <v>06:22:52.089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2</v>
      </c>
      <c r="CP3755" t="s">
        <v>119</v>
      </c>
      <c r="CQ3755">
        <v>517</v>
      </c>
      <c r="CR3755">
        <v>1</v>
      </c>
      <c r="CW3755">
        <v>2492630</v>
      </c>
      <c r="CY3755">
        <v>1</v>
      </c>
      <c r="CZ3755">
        <v>0</v>
      </c>
      <c r="DA3755">
        <v>1</v>
      </c>
      <c r="DB3755">
        <v>0</v>
      </c>
      <c r="DC3755">
        <v>0</v>
      </c>
      <c r="DD3755">
        <v>0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3">
      <c r="A3756" t="str">
        <f>"08/29/2020 06:22:48.902"</f>
        <v>08/29/2020 06:22:48.902</v>
      </c>
      <c r="C3756" t="str">
        <f t="shared" si="1609"/>
        <v>FFDFD3C0</v>
      </c>
      <c r="D3756" t="s">
        <v>121</v>
      </c>
      <c r="E3756">
        <v>13</v>
      </c>
      <c r="F3756">
        <v>1013</v>
      </c>
      <c r="G3756" t="s">
        <v>122</v>
      </c>
      <c r="J3756" t="s">
        <v>123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"06:22:52.086"</f>
        <v>06:22:52.086</v>
      </c>
      <c r="T3756" t="str">
        <f>"06:22:51.286"</f>
        <v>06:22:51.286</v>
      </c>
      <c r="U3756" t="str">
        <f t="shared" si="1610"/>
        <v>A7E2E0</v>
      </c>
      <c r="V3756">
        <v>0</v>
      </c>
      <c r="W3756">
        <v>0</v>
      </c>
      <c r="X3756">
        <v>1</v>
      </c>
      <c r="Z3756">
        <v>0</v>
      </c>
      <c r="AA3756">
        <v>9</v>
      </c>
      <c r="AB3756">
        <v>3</v>
      </c>
      <c r="AC3756">
        <v>0</v>
      </c>
      <c r="AD3756">
        <v>10</v>
      </c>
      <c r="AE3756">
        <v>0</v>
      </c>
      <c r="AF3756">
        <v>3</v>
      </c>
      <c r="AG3756">
        <v>2</v>
      </c>
      <c r="AH3756">
        <v>0</v>
      </c>
      <c r="AI3756" t="s">
        <v>1688</v>
      </c>
      <c r="AJ3756">
        <v>38.796115</v>
      </c>
      <c r="AK3756" t="s">
        <v>1561</v>
      </c>
      <c r="AL3756">
        <v>-87.605281000000005</v>
      </c>
      <c r="AM3756">
        <v>100</v>
      </c>
      <c r="AN3756">
        <v>800</v>
      </c>
      <c r="AO3756" t="s">
        <v>118</v>
      </c>
      <c r="AP3756">
        <v>2</v>
      </c>
      <c r="AQ3756">
        <v>-104</v>
      </c>
      <c r="AR3756">
        <v>-1152</v>
      </c>
      <c r="AZ3756">
        <v>4552</v>
      </c>
      <c r="BA3756">
        <v>1</v>
      </c>
      <c r="BB3756" t="str">
        <f t="shared" si="1611"/>
        <v xml:space="preserve">N607SR  </v>
      </c>
      <c r="BC3756">
        <v>1</v>
      </c>
      <c r="BE3756">
        <v>0</v>
      </c>
      <c r="BF3756">
        <v>0</v>
      </c>
      <c r="BG3756">
        <v>0</v>
      </c>
      <c r="BH3756">
        <v>500</v>
      </c>
      <c r="BI3756">
        <v>1</v>
      </c>
      <c r="BJ3756">
        <v>1</v>
      </c>
      <c r="BK3756">
        <v>1</v>
      </c>
      <c r="BL3756">
        <v>0</v>
      </c>
      <c r="BO3756">
        <v>0</v>
      </c>
      <c r="BP3756">
        <v>0</v>
      </c>
      <c r="BW3756" t="str">
        <f>"06:22:52.089"</f>
        <v>06:22:52.089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2</v>
      </c>
      <c r="CP3756" t="s">
        <v>119</v>
      </c>
      <c r="CQ3756">
        <v>517</v>
      </c>
      <c r="CR3756">
        <v>1</v>
      </c>
      <c r="CW3756">
        <v>2492630</v>
      </c>
      <c r="CY3756">
        <v>1</v>
      </c>
      <c r="CZ3756">
        <v>0</v>
      </c>
      <c r="DA3756">
        <v>1</v>
      </c>
      <c r="DB3756">
        <v>0</v>
      </c>
      <c r="DC3756">
        <v>0</v>
      </c>
      <c r="DD3756">
        <v>0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3">
      <c r="A3757" t="str">
        <f>"08/29/2020 06:22:51.464"</f>
        <v>08/29/2020 06:22:51.464</v>
      </c>
      <c r="C3757" t="str">
        <f t="shared" si="1609"/>
        <v>FFDFD3C0</v>
      </c>
      <c r="D3757" t="s">
        <v>121</v>
      </c>
      <c r="E3757">
        <v>13</v>
      </c>
      <c r="F3757">
        <v>1013</v>
      </c>
      <c r="G3757" t="s">
        <v>122</v>
      </c>
      <c r="J3757" t="s">
        <v>123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"06:22:54.648"</f>
        <v>06:22:54.648</v>
      </c>
      <c r="T3757" t="str">
        <f>"06:22:53.148"</f>
        <v>06:22:53.148</v>
      </c>
      <c r="U3757" t="str">
        <f t="shared" si="1610"/>
        <v>A7E2E0</v>
      </c>
      <c r="V3757">
        <v>0</v>
      </c>
      <c r="W3757">
        <v>0</v>
      </c>
      <c r="X3757">
        <v>1</v>
      </c>
      <c r="Z3757">
        <v>0</v>
      </c>
      <c r="AA3757">
        <v>9</v>
      </c>
      <c r="AB3757">
        <v>3</v>
      </c>
      <c r="AC3757">
        <v>0</v>
      </c>
      <c r="AD3757">
        <v>10</v>
      </c>
      <c r="AE3757">
        <v>0</v>
      </c>
      <c r="AF3757">
        <v>3</v>
      </c>
      <c r="AG3757">
        <v>2</v>
      </c>
      <c r="AH3757">
        <v>0</v>
      </c>
      <c r="AI3757" t="s">
        <v>1689</v>
      </c>
      <c r="AJ3757">
        <v>38.794870000000003</v>
      </c>
      <c r="AK3757" t="s">
        <v>1561</v>
      </c>
      <c r="AL3757">
        <v>-87.605281000000005</v>
      </c>
      <c r="AM3757">
        <v>100</v>
      </c>
      <c r="AN3757">
        <v>800</v>
      </c>
      <c r="AO3757" t="s">
        <v>118</v>
      </c>
      <c r="AP3757">
        <v>2</v>
      </c>
      <c r="AQ3757">
        <v>-103</v>
      </c>
      <c r="AR3757">
        <v>-1088</v>
      </c>
      <c r="AZ3757">
        <v>4552</v>
      </c>
      <c r="BA3757">
        <v>1</v>
      </c>
      <c r="BB3757" t="str">
        <f t="shared" si="1611"/>
        <v xml:space="preserve">N607SR  </v>
      </c>
      <c r="BC3757">
        <v>1</v>
      </c>
      <c r="BE3757">
        <v>0</v>
      </c>
      <c r="BF3757">
        <v>0</v>
      </c>
      <c r="BG3757">
        <v>0</v>
      </c>
      <c r="BH3757">
        <v>575</v>
      </c>
      <c r="BI3757">
        <v>1</v>
      </c>
      <c r="BJ3757">
        <v>1</v>
      </c>
      <c r="BK3757">
        <v>1</v>
      </c>
      <c r="BL3757">
        <v>0</v>
      </c>
      <c r="BO3757">
        <v>0</v>
      </c>
      <c r="BP3757">
        <v>0</v>
      </c>
      <c r="BW3757" t="str">
        <f>"06:22:54.651"</f>
        <v>06:22:54.651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1</v>
      </c>
      <c r="CP3757" t="s">
        <v>119</v>
      </c>
      <c r="CQ3757">
        <v>517</v>
      </c>
      <c r="CR3757">
        <v>1</v>
      </c>
      <c r="CW3757">
        <v>2492709</v>
      </c>
      <c r="CY3757">
        <v>1</v>
      </c>
      <c r="CZ3757">
        <v>0</v>
      </c>
      <c r="DA3757">
        <v>0</v>
      </c>
      <c r="DB3757">
        <v>0</v>
      </c>
      <c r="DC3757">
        <v>0</v>
      </c>
      <c r="DD3757">
        <v>0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3">
      <c r="A3758" t="str">
        <f>"08/29/2020 06:22:51.464"</f>
        <v>08/29/2020 06:22:51.464</v>
      </c>
      <c r="C3758" t="str">
        <f t="shared" si="1609"/>
        <v>FFDFD3C0</v>
      </c>
      <c r="D3758" t="s">
        <v>121</v>
      </c>
      <c r="E3758">
        <v>10</v>
      </c>
      <c r="F3758">
        <v>1010</v>
      </c>
      <c r="G3758" t="s">
        <v>114</v>
      </c>
      <c r="J3758" t="s">
        <v>123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"06:22:54.648"</f>
        <v>06:22:54.648</v>
      </c>
      <c r="T3758" t="str">
        <f>"06:22:53.148"</f>
        <v>06:22:53.148</v>
      </c>
      <c r="U3758" t="str">
        <f t="shared" si="1610"/>
        <v>A7E2E0</v>
      </c>
      <c r="V3758">
        <v>0</v>
      </c>
      <c r="W3758">
        <v>0</v>
      </c>
      <c r="X3758">
        <v>1</v>
      </c>
      <c r="Z3758">
        <v>0</v>
      </c>
      <c r="AA3758">
        <v>9</v>
      </c>
      <c r="AB3758">
        <v>3</v>
      </c>
      <c r="AC3758">
        <v>0</v>
      </c>
      <c r="AD3758">
        <v>10</v>
      </c>
      <c r="AE3758">
        <v>0</v>
      </c>
      <c r="AF3758">
        <v>3</v>
      </c>
      <c r="AG3758">
        <v>2</v>
      </c>
      <c r="AH3758">
        <v>0</v>
      </c>
      <c r="AI3758" t="s">
        <v>1689</v>
      </c>
      <c r="AJ3758">
        <v>38.794870000000003</v>
      </c>
      <c r="AK3758" t="s">
        <v>1561</v>
      </c>
      <c r="AL3758">
        <v>-87.605281000000005</v>
      </c>
      <c r="AM3758">
        <v>100</v>
      </c>
      <c r="AN3758">
        <v>800</v>
      </c>
      <c r="AO3758" t="s">
        <v>118</v>
      </c>
      <c r="AP3758">
        <v>2</v>
      </c>
      <c r="AQ3758">
        <v>-103</v>
      </c>
      <c r="AR3758">
        <v>-1088</v>
      </c>
      <c r="AZ3758">
        <v>4552</v>
      </c>
      <c r="BA3758">
        <v>1</v>
      </c>
      <c r="BB3758" t="str">
        <f t="shared" si="1611"/>
        <v xml:space="preserve">N607SR  </v>
      </c>
      <c r="BC3758">
        <v>1</v>
      </c>
      <c r="BE3758">
        <v>0</v>
      </c>
      <c r="BF3758">
        <v>0</v>
      </c>
      <c r="BG3758">
        <v>0</v>
      </c>
      <c r="BH3758">
        <v>575</v>
      </c>
      <c r="BI3758">
        <v>1</v>
      </c>
      <c r="BJ3758">
        <v>1</v>
      </c>
      <c r="BK3758">
        <v>1</v>
      </c>
      <c r="BL3758">
        <v>0</v>
      </c>
      <c r="BO3758">
        <v>0</v>
      </c>
      <c r="BP3758">
        <v>0</v>
      </c>
      <c r="BW3758" t="str">
        <f>"06:22:54.651"</f>
        <v>06:22:54.651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1</v>
      </c>
      <c r="CP3758" t="s">
        <v>119</v>
      </c>
      <c r="CQ3758">
        <v>517</v>
      </c>
      <c r="CR3758">
        <v>1</v>
      </c>
      <c r="CW3758">
        <v>2492709</v>
      </c>
      <c r="CY3758">
        <v>1</v>
      </c>
      <c r="CZ3758">
        <v>0</v>
      </c>
      <c r="DA3758">
        <v>1</v>
      </c>
      <c r="DB3758">
        <v>0</v>
      </c>
      <c r="DC3758">
        <v>0</v>
      </c>
      <c r="DD3758">
        <v>0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3">
      <c r="A3759" t="str">
        <f>"08/29/2020 06:22:51.464"</f>
        <v>08/29/2020 06:22:51.464</v>
      </c>
      <c r="C3759" t="str">
        <f t="shared" si="1609"/>
        <v>FFDFD3C0</v>
      </c>
      <c r="D3759" t="s">
        <v>113</v>
      </c>
      <c r="E3759">
        <v>5</v>
      </c>
      <c r="H3759">
        <v>163</v>
      </c>
      <c r="I3759" t="s">
        <v>114</v>
      </c>
      <c r="J3759" t="s">
        <v>115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"06:22:54.648"</f>
        <v>06:22:54.648</v>
      </c>
      <c r="T3759" t="str">
        <f>"06:22:53.148"</f>
        <v>06:22:53.148</v>
      </c>
      <c r="U3759" t="str">
        <f t="shared" si="1610"/>
        <v>A7E2E0</v>
      </c>
      <c r="V3759">
        <v>0</v>
      </c>
      <c r="W3759">
        <v>0</v>
      </c>
      <c r="X3759">
        <v>1</v>
      </c>
      <c r="Z3759">
        <v>0</v>
      </c>
      <c r="AA3759">
        <v>9</v>
      </c>
      <c r="AB3759">
        <v>3</v>
      </c>
      <c r="AC3759">
        <v>0</v>
      </c>
      <c r="AD3759">
        <v>10</v>
      </c>
      <c r="AE3759">
        <v>0</v>
      </c>
      <c r="AF3759">
        <v>3</v>
      </c>
      <c r="AG3759">
        <v>2</v>
      </c>
      <c r="AH3759">
        <v>0</v>
      </c>
      <c r="AI3759" t="s">
        <v>1689</v>
      </c>
      <c r="AJ3759">
        <v>38.794870000000003</v>
      </c>
      <c r="AK3759" t="s">
        <v>1561</v>
      </c>
      <c r="AL3759">
        <v>-87.605281000000005</v>
      </c>
      <c r="AM3759">
        <v>100</v>
      </c>
      <c r="AN3759">
        <v>800</v>
      </c>
      <c r="AO3759" t="s">
        <v>118</v>
      </c>
      <c r="AP3759">
        <v>2</v>
      </c>
      <c r="AQ3759">
        <v>-103</v>
      </c>
      <c r="AR3759">
        <v>-1088</v>
      </c>
      <c r="AZ3759">
        <v>4552</v>
      </c>
      <c r="BA3759">
        <v>1</v>
      </c>
      <c r="BB3759" t="str">
        <f t="shared" si="1611"/>
        <v xml:space="preserve">N607SR  </v>
      </c>
      <c r="BC3759">
        <v>1</v>
      </c>
      <c r="BE3759">
        <v>0</v>
      </c>
      <c r="BF3759">
        <v>0</v>
      </c>
      <c r="BG3759">
        <v>0</v>
      </c>
      <c r="BH3759">
        <v>575</v>
      </c>
      <c r="BI3759">
        <v>1</v>
      </c>
      <c r="BJ3759">
        <v>1</v>
      </c>
      <c r="BK3759">
        <v>1</v>
      </c>
      <c r="BL3759">
        <v>0</v>
      </c>
      <c r="BO3759">
        <v>0</v>
      </c>
      <c r="BP3759">
        <v>0</v>
      </c>
      <c r="BW3759" t="str">
        <f>"06:22:54.651"</f>
        <v>06:22:54.651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1</v>
      </c>
      <c r="CP3759" t="s">
        <v>119</v>
      </c>
      <c r="CQ3759">
        <v>517</v>
      </c>
      <c r="CR3759">
        <v>1</v>
      </c>
      <c r="CW3759">
        <v>2492709</v>
      </c>
      <c r="CY3759">
        <v>1</v>
      </c>
      <c r="CZ3759">
        <v>0</v>
      </c>
      <c r="DA3759">
        <v>1</v>
      </c>
      <c r="DB3759">
        <v>0</v>
      </c>
      <c r="DC3759">
        <v>0</v>
      </c>
      <c r="DD3759">
        <v>0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3">
      <c r="A3760" t="str">
        <f>"08/29/2020 06:22:51.464"</f>
        <v>08/29/2020 06:22:51.464</v>
      </c>
      <c r="C3760" t="str">
        <f t="shared" si="1609"/>
        <v>FFDFD3C0</v>
      </c>
      <c r="D3760" t="s">
        <v>128</v>
      </c>
      <c r="E3760">
        <v>5</v>
      </c>
      <c r="H3760">
        <v>241</v>
      </c>
      <c r="I3760" t="s">
        <v>129</v>
      </c>
      <c r="J3760" t="s">
        <v>130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"06:22:54.648"</f>
        <v>06:22:54.648</v>
      </c>
      <c r="T3760" t="str">
        <f>"06:22:53.148"</f>
        <v>06:22:53.148</v>
      </c>
      <c r="U3760" t="str">
        <f t="shared" si="1610"/>
        <v>A7E2E0</v>
      </c>
      <c r="V3760">
        <v>0</v>
      </c>
      <c r="W3760">
        <v>0</v>
      </c>
      <c r="X3760">
        <v>1</v>
      </c>
      <c r="Z3760">
        <v>0</v>
      </c>
      <c r="AA3760">
        <v>9</v>
      </c>
      <c r="AB3760">
        <v>3</v>
      </c>
      <c r="AC3760">
        <v>0</v>
      </c>
      <c r="AD3760">
        <v>10</v>
      </c>
      <c r="AE3760">
        <v>0</v>
      </c>
      <c r="AF3760">
        <v>3</v>
      </c>
      <c r="AG3760">
        <v>2</v>
      </c>
      <c r="AH3760">
        <v>0</v>
      </c>
      <c r="AI3760" t="s">
        <v>1689</v>
      </c>
      <c r="AJ3760">
        <v>38.794870000000003</v>
      </c>
      <c r="AK3760" t="s">
        <v>1561</v>
      </c>
      <c r="AL3760">
        <v>-87.605281000000005</v>
      </c>
      <c r="AM3760">
        <v>100</v>
      </c>
      <c r="AN3760">
        <v>800</v>
      </c>
      <c r="AO3760" t="s">
        <v>118</v>
      </c>
      <c r="AP3760">
        <v>2</v>
      </c>
      <c r="AQ3760">
        <v>-103</v>
      </c>
      <c r="AR3760">
        <v>-1088</v>
      </c>
      <c r="AZ3760">
        <v>4552</v>
      </c>
      <c r="BA3760">
        <v>1</v>
      </c>
      <c r="BB3760" t="str">
        <f t="shared" si="1611"/>
        <v xml:space="preserve">N607SR  </v>
      </c>
      <c r="BC3760">
        <v>1</v>
      </c>
      <c r="BE3760">
        <v>0</v>
      </c>
      <c r="BF3760">
        <v>0</v>
      </c>
      <c r="BG3760">
        <v>0</v>
      </c>
      <c r="BH3760">
        <v>575</v>
      </c>
      <c r="BI3760">
        <v>1</v>
      </c>
      <c r="BJ3760">
        <v>1</v>
      </c>
      <c r="BK3760">
        <v>1</v>
      </c>
      <c r="BL3760">
        <v>0</v>
      </c>
      <c r="BO3760">
        <v>0</v>
      </c>
      <c r="BP3760">
        <v>0</v>
      </c>
      <c r="BW3760" t="str">
        <f>"06:22:54.651"</f>
        <v>06:22:54.651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1</v>
      </c>
      <c r="CP3760" t="s">
        <v>119</v>
      </c>
      <c r="CQ3760">
        <v>517</v>
      </c>
      <c r="CR3760">
        <v>1</v>
      </c>
      <c r="CW3760">
        <v>2492709</v>
      </c>
      <c r="CY3760">
        <v>1</v>
      </c>
      <c r="CZ3760">
        <v>0</v>
      </c>
      <c r="DA3760">
        <v>1</v>
      </c>
      <c r="DB3760">
        <v>0</v>
      </c>
      <c r="DC3760">
        <v>0</v>
      </c>
      <c r="DD3760">
        <v>0</v>
      </c>
      <c r="DE3760">
        <v>0</v>
      </c>
      <c r="DF3760">
        <v>0</v>
      </c>
      <c r="DG3760">
        <v>0</v>
      </c>
      <c r="DH3760">
        <v>0</v>
      </c>
      <c r="DI37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20200829_A7E2E0_434447370_ADSB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2020-08-31T14:44:00Z</dcterms:created>
  <dcterms:modified xsi:type="dcterms:W3CDTF">2020-08-31T14:44:01Z</dcterms:modified>
</cp:coreProperties>
</file>